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0" yWindow="120" windowWidth="14085" windowHeight="10590"/>
  </bookViews>
  <sheets>
    <sheet name="Sheet1" sheetId="1" r:id="rId1"/>
    <sheet name="SimData1" sheetId="9" r:id="rId2"/>
    <sheet name="SERFTbl1" sheetId="14" r:id="rId3"/>
    <sheet name="SimData2" sheetId="5" r:id="rId4"/>
    <sheet name="SERFTbl2" sheetId="15" r:id="rId5"/>
  </sheets>
  <calcPr calcId="125725"/>
</workbook>
</file>

<file path=xl/calcChain.xml><?xml version="1.0" encoding="utf-8"?>
<calcChain xmlns="http://schemas.openxmlformats.org/spreadsheetml/2006/main">
  <c r="B4" i="14"/>
  <c r="B4" i="15"/>
  <c r="B12"/>
  <c r="G11"/>
  <c r="N11"/>
  <c r="B11"/>
  <c r="I11"/>
  <c r="I12"/>
  <c r="E9"/>
  <c r="E8"/>
  <c r="D5"/>
  <c r="D3"/>
  <c r="A1"/>
  <c r="E119" i="5"/>
  <c r="E117"/>
  <c r="E115"/>
  <c r="E113"/>
  <c r="E111"/>
  <c r="E8"/>
  <c r="F11" i="15" s="1"/>
  <c r="M11" s="1"/>
  <c r="E7" i="5"/>
  <c r="E6"/>
  <c r="E4"/>
  <c r="E3"/>
  <c r="D119"/>
  <c r="D117"/>
  <c r="D115"/>
  <c r="D113"/>
  <c r="D111"/>
  <c r="D8"/>
  <c r="E11" i="15" s="1"/>
  <c r="L11" s="1"/>
  <c r="D7" i="5"/>
  <c r="D6"/>
  <c r="D4"/>
  <c r="D5" s="1"/>
  <c r="D3"/>
  <c r="C119"/>
  <c r="C117"/>
  <c r="C115"/>
  <c r="C113"/>
  <c r="C111"/>
  <c r="C8"/>
  <c r="D11" i="15" s="1"/>
  <c r="K11" s="1"/>
  <c r="C7" i="5"/>
  <c r="C6"/>
  <c r="C4"/>
  <c r="C3"/>
  <c r="B119"/>
  <c r="B117"/>
  <c r="B115"/>
  <c r="B113"/>
  <c r="B111"/>
  <c r="B8"/>
  <c r="B7"/>
  <c r="B6"/>
  <c r="B4"/>
  <c r="B5" s="1"/>
  <c r="B3"/>
  <c r="F119"/>
  <c r="F117"/>
  <c r="F115"/>
  <c r="F113"/>
  <c r="F111"/>
  <c r="Y7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Y102" s="1"/>
  <c r="Y103" s="1"/>
  <c r="Y104" s="1"/>
  <c r="Y105" s="1"/>
  <c r="X105"/>
  <c r="W7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V105"/>
  <c r="U7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T105"/>
  <c r="S7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R105"/>
  <c r="Q7"/>
  <c r="Q8" s="1"/>
  <c r="Q9" s="1"/>
  <c r="Q10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P105"/>
  <c r="X104"/>
  <c r="V104"/>
  <c r="T104"/>
  <c r="R104"/>
  <c r="P104"/>
  <c r="X103"/>
  <c r="V103"/>
  <c r="T103"/>
  <c r="R103"/>
  <c r="P103"/>
  <c r="X102"/>
  <c r="V102"/>
  <c r="T102"/>
  <c r="R102"/>
  <c r="P102"/>
  <c r="X101"/>
  <c r="V101"/>
  <c r="T101"/>
  <c r="R101"/>
  <c r="P101"/>
  <c r="X100"/>
  <c r="V100"/>
  <c r="T100"/>
  <c r="R100"/>
  <c r="P100"/>
  <c r="X99"/>
  <c r="V99"/>
  <c r="T99"/>
  <c r="R99"/>
  <c r="P99"/>
  <c r="X98"/>
  <c r="V98"/>
  <c r="T98"/>
  <c r="R98"/>
  <c r="P98"/>
  <c r="X97"/>
  <c r="V97"/>
  <c r="T97"/>
  <c r="R97"/>
  <c r="P97"/>
  <c r="X96"/>
  <c r="V96"/>
  <c r="T96"/>
  <c r="R96"/>
  <c r="P96"/>
  <c r="X95"/>
  <c r="V95"/>
  <c r="T95"/>
  <c r="R95"/>
  <c r="P95"/>
  <c r="X94"/>
  <c r="V94"/>
  <c r="T94"/>
  <c r="R94"/>
  <c r="P94"/>
  <c r="X93"/>
  <c r="V93"/>
  <c r="T93"/>
  <c r="R93"/>
  <c r="P93"/>
  <c r="X92"/>
  <c r="V92"/>
  <c r="T92"/>
  <c r="R92"/>
  <c r="P92"/>
  <c r="X91"/>
  <c r="V91"/>
  <c r="T91"/>
  <c r="R91"/>
  <c r="P91"/>
  <c r="X90"/>
  <c r="V90"/>
  <c r="T90"/>
  <c r="R90"/>
  <c r="P90"/>
  <c r="X89"/>
  <c r="V89"/>
  <c r="T89"/>
  <c r="R89"/>
  <c r="P89"/>
  <c r="X88"/>
  <c r="V88"/>
  <c r="T88"/>
  <c r="R88"/>
  <c r="P88"/>
  <c r="X87"/>
  <c r="V87"/>
  <c r="T87"/>
  <c r="R87"/>
  <c r="P87"/>
  <c r="X86"/>
  <c r="V86"/>
  <c r="T86"/>
  <c r="R86"/>
  <c r="P86"/>
  <c r="X85"/>
  <c r="V85"/>
  <c r="T85"/>
  <c r="R85"/>
  <c r="P85"/>
  <c r="X84"/>
  <c r="V84"/>
  <c r="T84"/>
  <c r="R84"/>
  <c r="P84"/>
  <c r="X83"/>
  <c r="V83"/>
  <c r="T83"/>
  <c r="R83"/>
  <c r="P83"/>
  <c r="X82"/>
  <c r="V82"/>
  <c r="T82"/>
  <c r="R82"/>
  <c r="P82"/>
  <c r="X81"/>
  <c r="V81"/>
  <c r="T81"/>
  <c r="R81"/>
  <c r="P81"/>
  <c r="X80"/>
  <c r="V80"/>
  <c r="T80"/>
  <c r="R80"/>
  <c r="P80"/>
  <c r="X79"/>
  <c r="V79"/>
  <c r="T79"/>
  <c r="R79"/>
  <c r="P79"/>
  <c r="X78"/>
  <c r="V78"/>
  <c r="T78"/>
  <c r="R78"/>
  <c r="P78"/>
  <c r="X77"/>
  <c r="V77"/>
  <c r="T77"/>
  <c r="R77"/>
  <c r="P77"/>
  <c r="X76"/>
  <c r="V76"/>
  <c r="T76"/>
  <c r="R76"/>
  <c r="P76"/>
  <c r="X75"/>
  <c r="V75"/>
  <c r="T75"/>
  <c r="R75"/>
  <c r="P75"/>
  <c r="X74"/>
  <c r="V74"/>
  <c r="T74"/>
  <c r="R74"/>
  <c r="P74"/>
  <c r="X73"/>
  <c r="V73"/>
  <c r="T73"/>
  <c r="R73"/>
  <c r="P73"/>
  <c r="X72"/>
  <c r="V72"/>
  <c r="T72"/>
  <c r="R72"/>
  <c r="P72"/>
  <c r="X71"/>
  <c r="V71"/>
  <c r="T71"/>
  <c r="R71"/>
  <c r="P71"/>
  <c r="X70"/>
  <c r="V70"/>
  <c r="T70"/>
  <c r="R70"/>
  <c r="P70"/>
  <c r="X69"/>
  <c r="V69"/>
  <c r="T69"/>
  <c r="R69"/>
  <c r="P69"/>
  <c r="X68"/>
  <c r="V68"/>
  <c r="T68"/>
  <c r="R68"/>
  <c r="P68"/>
  <c r="X67"/>
  <c r="V67"/>
  <c r="T67"/>
  <c r="R67"/>
  <c r="P67"/>
  <c r="X66"/>
  <c r="V66"/>
  <c r="T66"/>
  <c r="R66"/>
  <c r="P66"/>
  <c r="X65"/>
  <c r="V65"/>
  <c r="T65"/>
  <c r="R65"/>
  <c r="P65"/>
  <c r="X64"/>
  <c r="V64"/>
  <c r="T64"/>
  <c r="R64"/>
  <c r="P64"/>
  <c r="X63"/>
  <c r="V63"/>
  <c r="T63"/>
  <c r="R63"/>
  <c r="P63"/>
  <c r="X62"/>
  <c r="V62"/>
  <c r="T62"/>
  <c r="R62"/>
  <c r="P62"/>
  <c r="X61"/>
  <c r="V61"/>
  <c r="T61"/>
  <c r="R61"/>
  <c r="P61"/>
  <c r="X60"/>
  <c r="V60"/>
  <c r="T60"/>
  <c r="R60"/>
  <c r="P60"/>
  <c r="X59"/>
  <c r="V59"/>
  <c r="T59"/>
  <c r="R59"/>
  <c r="P59"/>
  <c r="X58"/>
  <c r="V58"/>
  <c r="T58"/>
  <c r="R58"/>
  <c r="P58"/>
  <c r="X57"/>
  <c r="V57"/>
  <c r="T57"/>
  <c r="R57"/>
  <c r="P57"/>
  <c r="X56"/>
  <c r="V56"/>
  <c r="T56"/>
  <c r="R56"/>
  <c r="P56"/>
  <c r="X55"/>
  <c r="V55"/>
  <c r="T55"/>
  <c r="R55"/>
  <c r="P55"/>
  <c r="X54"/>
  <c r="V54"/>
  <c r="T54"/>
  <c r="R54"/>
  <c r="P54"/>
  <c r="X53"/>
  <c r="V53"/>
  <c r="T53"/>
  <c r="R53"/>
  <c r="P53"/>
  <c r="X52"/>
  <c r="V52"/>
  <c r="T52"/>
  <c r="R52"/>
  <c r="P52"/>
  <c r="X51"/>
  <c r="V51"/>
  <c r="T51"/>
  <c r="R51"/>
  <c r="P51"/>
  <c r="X50"/>
  <c r="V50"/>
  <c r="T50"/>
  <c r="R50"/>
  <c r="P50"/>
  <c r="X49"/>
  <c r="V49"/>
  <c r="T49"/>
  <c r="R49"/>
  <c r="P49"/>
  <c r="X48"/>
  <c r="V48"/>
  <c r="T48"/>
  <c r="R48"/>
  <c r="P48"/>
  <c r="X47"/>
  <c r="V47"/>
  <c r="T47"/>
  <c r="R47"/>
  <c r="P47"/>
  <c r="X46"/>
  <c r="V46"/>
  <c r="T46"/>
  <c r="R46"/>
  <c r="P46"/>
  <c r="X45"/>
  <c r="V45"/>
  <c r="T45"/>
  <c r="R45"/>
  <c r="P45"/>
  <c r="X44"/>
  <c r="V44"/>
  <c r="T44"/>
  <c r="R44"/>
  <c r="P44"/>
  <c r="X43"/>
  <c r="V43"/>
  <c r="T43"/>
  <c r="R43"/>
  <c r="P43"/>
  <c r="X42"/>
  <c r="V42"/>
  <c r="T42"/>
  <c r="R42"/>
  <c r="P42"/>
  <c r="X41"/>
  <c r="V41"/>
  <c r="T41"/>
  <c r="R41"/>
  <c r="P41"/>
  <c r="X40"/>
  <c r="V40"/>
  <c r="T40"/>
  <c r="R40"/>
  <c r="P40"/>
  <c r="X39"/>
  <c r="V39"/>
  <c r="T39"/>
  <c r="R39"/>
  <c r="P39"/>
  <c r="X38"/>
  <c r="V38"/>
  <c r="T38"/>
  <c r="R38"/>
  <c r="P38"/>
  <c r="X37"/>
  <c r="V37"/>
  <c r="T37"/>
  <c r="R37"/>
  <c r="P37"/>
  <c r="X36"/>
  <c r="V36"/>
  <c r="T36"/>
  <c r="R36"/>
  <c r="P36"/>
  <c r="X35"/>
  <c r="V35"/>
  <c r="T35"/>
  <c r="R35"/>
  <c r="P35"/>
  <c r="X34"/>
  <c r="V34"/>
  <c r="T34"/>
  <c r="R34"/>
  <c r="P34"/>
  <c r="X33"/>
  <c r="V33"/>
  <c r="T33"/>
  <c r="R33"/>
  <c r="P33"/>
  <c r="X32"/>
  <c r="V32"/>
  <c r="T32"/>
  <c r="R32"/>
  <c r="P32"/>
  <c r="X31"/>
  <c r="V31"/>
  <c r="T31"/>
  <c r="R31"/>
  <c r="P31"/>
  <c r="X30"/>
  <c r="V30"/>
  <c r="T30"/>
  <c r="R30"/>
  <c r="P30"/>
  <c r="X29"/>
  <c r="V29"/>
  <c r="T29"/>
  <c r="R29"/>
  <c r="P29"/>
  <c r="X28"/>
  <c r="V28"/>
  <c r="T28"/>
  <c r="R28"/>
  <c r="P28"/>
  <c r="X27"/>
  <c r="V27"/>
  <c r="T27"/>
  <c r="R27"/>
  <c r="P27"/>
  <c r="X26"/>
  <c r="V26"/>
  <c r="T26"/>
  <c r="R26"/>
  <c r="P26"/>
  <c r="X25"/>
  <c r="V25"/>
  <c r="T25"/>
  <c r="R25"/>
  <c r="P25"/>
  <c r="X24"/>
  <c r="V24"/>
  <c r="T24"/>
  <c r="R24"/>
  <c r="P24"/>
  <c r="X23"/>
  <c r="V23"/>
  <c r="T23"/>
  <c r="R23"/>
  <c r="P23"/>
  <c r="X22"/>
  <c r="V22"/>
  <c r="T22"/>
  <c r="R22"/>
  <c r="P22"/>
  <c r="X21"/>
  <c r="V21"/>
  <c r="T21"/>
  <c r="R21"/>
  <c r="P21"/>
  <c r="X20"/>
  <c r="V20"/>
  <c r="T20"/>
  <c r="R20"/>
  <c r="P20"/>
  <c r="X19"/>
  <c r="V19"/>
  <c r="T19"/>
  <c r="R19"/>
  <c r="P19"/>
  <c r="X18"/>
  <c r="V18"/>
  <c r="T18"/>
  <c r="R18"/>
  <c r="P18"/>
  <c r="X17"/>
  <c r="V17"/>
  <c r="T17"/>
  <c r="R17"/>
  <c r="P17"/>
  <c r="X16"/>
  <c r="V16"/>
  <c r="T16"/>
  <c r="R16"/>
  <c r="P16"/>
  <c r="X15"/>
  <c r="V15"/>
  <c r="T15"/>
  <c r="R15"/>
  <c r="P15"/>
  <c r="X14"/>
  <c r="V14"/>
  <c r="T14"/>
  <c r="R14"/>
  <c r="P14"/>
  <c r="X13"/>
  <c r="V13"/>
  <c r="T13"/>
  <c r="R13"/>
  <c r="P13"/>
  <c r="X12"/>
  <c r="V12"/>
  <c r="T12"/>
  <c r="R12"/>
  <c r="P12"/>
  <c r="X11"/>
  <c r="V11"/>
  <c r="T11"/>
  <c r="R11"/>
  <c r="P11"/>
  <c r="X10"/>
  <c r="V10"/>
  <c r="T10"/>
  <c r="R10"/>
  <c r="P10"/>
  <c r="X9"/>
  <c r="V9"/>
  <c r="T9"/>
  <c r="R9"/>
  <c r="P9"/>
  <c r="X8"/>
  <c r="V8"/>
  <c r="T8"/>
  <c r="R8"/>
  <c r="P8"/>
  <c r="X7"/>
  <c r="V7"/>
  <c r="T7"/>
  <c r="R7"/>
  <c r="P7"/>
  <c r="F7"/>
  <c r="X6"/>
  <c r="V6"/>
  <c r="T6"/>
  <c r="R6"/>
  <c r="P6"/>
  <c r="F6"/>
  <c r="X5"/>
  <c r="T5"/>
  <c r="R5"/>
  <c r="F4"/>
  <c r="F3"/>
  <c r="F5"/>
  <c r="B12" i="14"/>
  <c r="B8" i="9"/>
  <c r="C11" i="14" s="1"/>
  <c r="E8" i="9"/>
  <c r="F11" i="14"/>
  <c r="L11" s="1"/>
  <c r="D8" i="9"/>
  <c r="E11" i="14" s="1"/>
  <c r="K11" s="1"/>
  <c r="C8" i="9"/>
  <c r="D11" i="14"/>
  <c r="J11" s="1"/>
  <c r="B11"/>
  <c r="H11"/>
  <c r="E9"/>
  <c r="E8"/>
  <c r="D5"/>
  <c r="D3"/>
  <c r="A1"/>
  <c r="I119" i="9"/>
  <c r="H119"/>
  <c r="G119"/>
  <c r="F119"/>
  <c r="E119"/>
  <c r="D119"/>
  <c r="C119"/>
  <c r="B119"/>
  <c r="I117"/>
  <c r="H117"/>
  <c r="G117"/>
  <c r="F117"/>
  <c r="E117"/>
  <c r="D117"/>
  <c r="C117"/>
  <c r="B117"/>
  <c r="I115"/>
  <c r="H115"/>
  <c r="G115"/>
  <c r="F115"/>
  <c r="E115"/>
  <c r="D115"/>
  <c r="C115"/>
  <c r="B115"/>
  <c r="I113"/>
  <c r="H113"/>
  <c r="G113"/>
  <c r="F113"/>
  <c r="E113"/>
  <c r="D113"/>
  <c r="C113"/>
  <c r="B113"/>
  <c r="I111"/>
  <c r="H111"/>
  <c r="G111"/>
  <c r="F111"/>
  <c r="E111"/>
  <c r="D111"/>
  <c r="C111"/>
  <c r="B111"/>
  <c r="AB7"/>
  <c r="AB8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B103" s="1"/>
  <c r="AB104" s="1"/>
  <c r="AB105" s="1"/>
  <c r="AA105"/>
  <c r="Z7"/>
  <c r="Z8"/>
  <c r="Z9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Y105"/>
  <c r="X7"/>
  <c r="X8"/>
  <c r="X9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W105"/>
  <c r="V7"/>
  <c r="V8"/>
  <c r="V9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U105"/>
  <c r="T7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S105"/>
  <c r="R7"/>
  <c r="R8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Q105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O105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M105"/>
  <c r="AA104"/>
  <c r="Y104"/>
  <c r="W104"/>
  <c r="U104"/>
  <c r="S104"/>
  <c r="Q104"/>
  <c r="O104"/>
  <c r="M104"/>
  <c r="AA103"/>
  <c r="Y103"/>
  <c r="W103"/>
  <c r="U103"/>
  <c r="S103"/>
  <c r="Q103"/>
  <c r="O103"/>
  <c r="M103"/>
  <c r="AA102"/>
  <c r="Y102"/>
  <c r="W102"/>
  <c r="U102"/>
  <c r="S102"/>
  <c r="Q102"/>
  <c r="O102"/>
  <c r="M102"/>
  <c r="AA101"/>
  <c r="Y101"/>
  <c r="W101"/>
  <c r="U101"/>
  <c r="S101"/>
  <c r="Q101"/>
  <c r="O101"/>
  <c r="M101"/>
  <c r="AA100"/>
  <c r="Y100"/>
  <c r="W100"/>
  <c r="U100"/>
  <c r="S100"/>
  <c r="Q100"/>
  <c r="O100"/>
  <c r="M100"/>
  <c r="AA99"/>
  <c r="Y99"/>
  <c r="W99"/>
  <c r="U99"/>
  <c r="S99"/>
  <c r="Q99"/>
  <c r="O99"/>
  <c r="M99"/>
  <c r="AA98"/>
  <c r="Y98"/>
  <c r="W98"/>
  <c r="U98"/>
  <c r="S98"/>
  <c r="Q98"/>
  <c r="O98"/>
  <c r="M98"/>
  <c r="AA97"/>
  <c r="Y97"/>
  <c r="W97"/>
  <c r="U97"/>
  <c r="S97"/>
  <c r="Q97"/>
  <c r="O97"/>
  <c r="M97"/>
  <c r="AA96"/>
  <c r="Y96"/>
  <c r="W96"/>
  <c r="U96"/>
  <c r="S96"/>
  <c r="Q96"/>
  <c r="O96"/>
  <c r="M96"/>
  <c r="AA95"/>
  <c r="Y95"/>
  <c r="W95"/>
  <c r="U95"/>
  <c r="S95"/>
  <c r="Q95"/>
  <c r="O95"/>
  <c r="M95"/>
  <c r="AA94"/>
  <c r="Y94"/>
  <c r="W94"/>
  <c r="U94"/>
  <c r="S94"/>
  <c r="Q94"/>
  <c r="O94"/>
  <c r="M94"/>
  <c r="AA93"/>
  <c r="Y93"/>
  <c r="W93"/>
  <c r="U93"/>
  <c r="S93"/>
  <c r="Q93"/>
  <c r="O93"/>
  <c r="M93"/>
  <c r="AA92"/>
  <c r="Y92"/>
  <c r="W92"/>
  <c r="U92"/>
  <c r="S92"/>
  <c r="Q92"/>
  <c r="O92"/>
  <c r="M92"/>
  <c r="AA91"/>
  <c r="Y91"/>
  <c r="W91"/>
  <c r="U91"/>
  <c r="S91"/>
  <c r="Q91"/>
  <c r="O91"/>
  <c r="M91"/>
  <c r="AA90"/>
  <c r="Y90"/>
  <c r="W90"/>
  <c r="U90"/>
  <c r="S90"/>
  <c r="Q90"/>
  <c r="O90"/>
  <c r="M90"/>
  <c r="AA89"/>
  <c r="Y89"/>
  <c r="W89"/>
  <c r="U89"/>
  <c r="S89"/>
  <c r="Q89"/>
  <c r="O89"/>
  <c r="M89"/>
  <c r="AA88"/>
  <c r="Y88"/>
  <c r="W88"/>
  <c r="U88"/>
  <c r="S88"/>
  <c r="Q88"/>
  <c r="O88"/>
  <c r="M88"/>
  <c r="AA87"/>
  <c r="Y87"/>
  <c r="W87"/>
  <c r="U87"/>
  <c r="S87"/>
  <c r="Q87"/>
  <c r="O87"/>
  <c r="M87"/>
  <c r="AA86"/>
  <c r="Y86"/>
  <c r="W86"/>
  <c r="U86"/>
  <c r="S86"/>
  <c r="Q86"/>
  <c r="O86"/>
  <c r="M86"/>
  <c r="AA85"/>
  <c r="Y85"/>
  <c r="W85"/>
  <c r="U85"/>
  <c r="S85"/>
  <c r="Q85"/>
  <c r="O85"/>
  <c r="M85"/>
  <c r="AA84"/>
  <c r="Y84"/>
  <c r="W84"/>
  <c r="U84"/>
  <c r="S84"/>
  <c r="Q84"/>
  <c r="O84"/>
  <c r="M84"/>
  <c r="AA83"/>
  <c r="Y83"/>
  <c r="W83"/>
  <c r="U83"/>
  <c r="S83"/>
  <c r="Q83"/>
  <c r="O83"/>
  <c r="M83"/>
  <c r="AA82"/>
  <c r="Y82"/>
  <c r="W82"/>
  <c r="U82"/>
  <c r="S82"/>
  <c r="Q82"/>
  <c r="O82"/>
  <c r="M82"/>
  <c r="AA81"/>
  <c r="Y81"/>
  <c r="W81"/>
  <c r="U81"/>
  <c r="S81"/>
  <c r="Q81"/>
  <c r="O81"/>
  <c r="M81"/>
  <c r="AA80"/>
  <c r="Y80"/>
  <c r="W80"/>
  <c r="U80"/>
  <c r="S80"/>
  <c r="Q80"/>
  <c r="O80"/>
  <c r="M80"/>
  <c r="AA79"/>
  <c r="Y79"/>
  <c r="W79"/>
  <c r="U79"/>
  <c r="S79"/>
  <c r="Q79"/>
  <c r="O79"/>
  <c r="M79"/>
  <c r="AA78"/>
  <c r="Y78"/>
  <c r="W78"/>
  <c r="U78"/>
  <c r="S78"/>
  <c r="Q78"/>
  <c r="O78"/>
  <c r="M78"/>
  <c r="AA77"/>
  <c r="Y77"/>
  <c r="W77"/>
  <c r="U77"/>
  <c r="S77"/>
  <c r="Q77"/>
  <c r="O77"/>
  <c r="M77"/>
  <c r="AA76"/>
  <c r="Y76"/>
  <c r="W76"/>
  <c r="U76"/>
  <c r="S76"/>
  <c r="Q76"/>
  <c r="O76"/>
  <c r="M76"/>
  <c r="AA75"/>
  <c r="Y75"/>
  <c r="W75"/>
  <c r="U75"/>
  <c r="S75"/>
  <c r="Q75"/>
  <c r="O75"/>
  <c r="M75"/>
  <c r="AA74"/>
  <c r="Y74"/>
  <c r="W74"/>
  <c r="U74"/>
  <c r="S74"/>
  <c r="Q74"/>
  <c r="O74"/>
  <c r="M74"/>
  <c r="AA73"/>
  <c r="Y73"/>
  <c r="W73"/>
  <c r="U73"/>
  <c r="S73"/>
  <c r="Q73"/>
  <c r="O73"/>
  <c r="M73"/>
  <c r="AA72"/>
  <c r="Y72"/>
  <c r="W72"/>
  <c r="U72"/>
  <c r="S72"/>
  <c r="Q72"/>
  <c r="O72"/>
  <c r="M72"/>
  <c r="AA71"/>
  <c r="Y71"/>
  <c r="W71"/>
  <c r="U71"/>
  <c r="S71"/>
  <c r="Q71"/>
  <c r="O71"/>
  <c r="M71"/>
  <c r="AA70"/>
  <c r="Y70"/>
  <c r="W70"/>
  <c r="U70"/>
  <c r="S70"/>
  <c r="Q70"/>
  <c r="O70"/>
  <c r="M70"/>
  <c r="AA69"/>
  <c r="Y69"/>
  <c r="W69"/>
  <c r="U69"/>
  <c r="S69"/>
  <c r="Q69"/>
  <c r="O69"/>
  <c r="M69"/>
  <c r="AA68"/>
  <c r="Y68"/>
  <c r="W68"/>
  <c r="U68"/>
  <c r="S68"/>
  <c r="Q68"/>
  <c r="O68"/>
  <c r="M68"/>
  <c r="AA67"/>
  <c r="Y67"/>
  <c r="W67"/>
  <c r="U67"/>
  <c r="S67"/>
  <c r="Q67"/>
  <c r="O67"/>
  <c r="M67"/>
  <c r="AA66"/>
  <c r="Y66"/>
  <c r="W66"/>
  <c r="U66"/>
  <c r="S66"/>
  <c r="Q66"/>
  <c r="O66"/>
  <c r="M66"/>
  <c r="AA65"/>
  <c r="Y65"/>
  <c r="W65"/>
  <c r="U65"/>
  <c r="S65"/>
  <c r="Q65"/>
  <c r="O65"/>
  <c r="M65"/>
  <c r="AA64"/>
  <c r="Y64"/>
  <c r="W64"/>
  <c r="U64"/>
  <c r="S64"/>
  <c r="Q64"/>
  <c r="O64"/>
  <c r="M64"/>
  <c r="AA63"/>
  <c r="Y63"/>
  <c r="W63"/>
  <c r="U63"/>
  <c r="S63"/>
  <c r="Q63"/>
  <c r="O63"/>
  <c r="M63"/>
  <c r="AA62"/>
  <c r="Y62"/>
  <c r="W62"/>
  <c r="U62"/>
  <c r="S62"/>
  <c r="Q62"/>
  <c r="O62"/>
  <c r="M62"/>
  <c r="AA61"/>
  <c r="Y61"/>
  <c r="W61"/>
  <c r="U61"/>
  <c r="S61"/>
  <c r="Q61"/>
  <c r="O61"/>
  <c r="M61"/>
  <c r="AA60"/>
  <c r="Y60"/>
  <c r="W60"/>
  <c r="U60"/>
  <c r="S60"/>
  <c r="Q60"/>
  <c r="O60"/>
  <c r="M60"/>
  <c r="AA59"/>
  <c r="Y59"/>
  <c r="W59"/>
  <c r="U59"/>
  <c r="S59"/>
  <c r="Q59"/>
  <c r="O59"/>
  <c r="M59"/>
  <c r="AA58"/>
  <c r="Y58"/>
  <c r="W58"/>
  <c r="U58"/>
  <c r="S58"/>
  <c r="Q58"/>
  <c r="O58"/>
  <c r="M58"/>
  <c r="AA57"/>
  <c r="Y57"/>
  <c r="W57"/>
  <c r="U57"/>
  <c r="S57"/>
  <c r="Q57"/>
  <c r="O57"/>
  <c r="M57"/>
  <c r="AA56"/>
  <c r="Y56"/>
  <c r="W56"/>
  <c r="U56"/>
  <c r="S56"/>
  <c r="Q56"/>
  <c r="O56"/>
  <c r="M56"/>
  <c r="AA55"/>
  <c r="Y55"/>
  <c r="W55"/>
  <c r="U55"/>
  <c r="S55"/>
  <c r="Q55"/>
  <c r="O55"/>
  <c r="M55"/>
  <c r="AA54"/>
  <c r="Y54"/>
  <c r="W54"/>
  <c r="U54"/>
  <c r="S54"/>
  <c r="Q54"/>
  <c r="O54"/>
  <c r="M54"/>
  <c r="AA53"/>
  <c r="Y53"/>
  <c r="W53"/>
  <c r="U53"/>
  <c r="S53"/>
  <c r="Q53"/>
  <c r="O53"/>
  <c r="M53"/>
  <c r="AA52"/>
  <c r="Y52"/>
  <c r="W52"/>
  <c r="U52"/>
  <c r="S52"/>
  <c r="Q52"/>
  <c r="O52"/>
  <c r="M52"/>
  <c r="AA51"/>
  <c r="Y51"/>
  <c r="W51"/>
  <c r="U51"/>
  <c r="S51"/>
  <c r="Q51"/>
  <c r="O51"/>
  <c r="M51"/>
  <c r="AA50"/>
  <c r="Y50"/>
  <c r="W50"/>
  <c r="U50"/>
  <c r="S50"/>
  <c r="Q50"/>
  <c r="O50"/>
  <c r="M50"/>
  <c r="AA49"/>
  <c r="Y49"/>
  <c r="W49"/>
  <c r="U49"/>
  <c r="S49"/>
  <c r="Q49"/>
  <c r="O49"/>
  <c r="M49"/>
  <c r="AA48"/>
  <c r="Y48"/>
  <c r="W48"/>
  <c r="U48"/>
  <c r="S48"/>
  <c r="Q48"/>
  <c r="O48"/>
  <c r="M48"/>
  <c r="AA47"/>
  <c r="Y47"/>
  <c r="W47"/>
  <c r="U47"/>
  <c r="S47"/>
  <c r="Q47"/>
  <c r="O47"/>
  <c r="M47"/>
  <c r="AA46"/>
  <c r="Y46"/>
  <c r="W46"/>
  <c r="U46"/>
  <c r="S46"/>
  <c r="Q46"/>
  <c r="O46"/>
  <c r="M46"/>
  <c r="AA45"/>
  <c r="Y45"/>
  <c r="W45"/>
  <c r="U45"/>
  <c r="S45"/>
  <c r="Q45"/>
  <c r="O45"/>
  <c r="M45"/>
  <c r="AA44"/>
  <c r="Y44"/>
  <c r="W44"/>
  <c r="U44"/>
  <c r="S44"/>
  <c r="Q44"/>
  <c r="O44"/>
  <c r="M44"/>
  <c r="AA43"/>
  <c r="Y43"/>
  <c r="W43"/>
  <c r="U43"/>
  <c r="S43"/>
  <c r="Q43"/>
  <c r="O43"/>
  <c r="M43"/>
  <c r="AA42"/>
  <c r="Y42"/>
  <c r="W42"/>
  <c r="U42"/>
  <c r="S42"/>
  <c r="Q42"/>
  <c r="O42"/>
  <c r="M42"/>
  <c r="AA41"/>
  <c r="Y41"/>
  <c r="W41"/>
  <c r="U41"/>
  <c r="S41"/>
  <c r="Q41"/>
  <c r="O41"/>
  <c r="M41"/>
  <c r="AA40"/>
  <c r="Y40"/>
  <c r="W40"/>
  <c r="U40"/>
  <c r="S40"/>
  <c r="Q40"/>
  <c r="O40"/>
  <c r="M40"/>
  <c r="AA39"/>
  <c r="Y39"/>
  <c r="W39"/>
  <c r="U39"/>
  <c r="S39"/>
  <c r="Q39"/>
  <c r="O39"/>
  <c r="M39"/>
  <c r="AA38"/>
  <c r="Y38"/>
  <c r="W38"/>
  <c r="U38"/>
  <c r="S38"/>
  <c r="Q38"/>
  <c r="O38"/>
  <c r="M38"/>
  <c r="AA37"/>
  <c r="Y37"/>
  <c r="W37"/>
  <c r="U37"/>
  <c r="S37"/>
  <c r="Q37"/>
  <c r="O37"/>
  <c r="M37"/>
  <c r="AA36"/>
  <c r="Y36"/>
  <c r="W36"/>
  <c r="U36"/>
  <c r="S36"/>
  <c r="Q36"/>
  <c r="O36"/>
  <c r="M36"/>
  <c r="AA35"/>
  <c r="Y35"/>
  <c r="W35"/>
  <c r="U35"/>
  <c r="S35"/>
  <c r="Q35"/>
  <c r="O35"/>
  <c r="M35"/>
  <c r="AA34"/>
  <c r="Y34"/>
  <c r="W34"/>
  <c r="U34"/>
  <c r="S34"/>
  <c r="Q34"/>
  <c r="O34"/>
  <c r="M34"/>
  <c r="AA33"/>
  <c r="Y33"/>
  <c r="W33"/>
  <c r="U33"/>
  <c r="S33"/>
  <c r="Q33"/>
  <c r="O33"/>
  <c r="M33"/>
  <c r="AA32"/>
  <c r="Y32"/>
  <c r="W32"/>
  <c r="U32"/>
  <c r="S32"/>
  <c r="Q32"/>
  <c r="O32"/>
  <c r="M32"/>
  <c r="AA31"/>
  <c r="Y31"/>
  <c r="W31"/>
  <c r="U31"/>
  <c r="S31"/>
  <c r="Q31"/>
  <c r="O31"/>
  <c r="M31"/>
  <c r="AA30"/>
  <c r="Y30"/>
  <c r="W30"/>
  <c r="U30"/>
  <c r="S30"/>
  <c r="Q30"/>
  <c r="O30"/>
  <c r="M30"/>
  <c r="AA29"/>
  <c r="Y29"/>
  <c r="W29"/>
  <c r="U29"/>
  <c r="S29"/>
  <c r="Q29"/>
  <c r="O29"/>
  <c r="M29"/>
  <c r="AA28"/>
  <c r="Y28"/>
  <c r="W28"/>
  <c r="U28"/>
  <c r="S28"/>
  <c r="Q28"/>
  <c r="O28"/>
  <c r="M28"/>
  <c r="AA27"/>
  <c r="Y27"/>
  <c r="W27"/>
  <c r="U27"/>
  <c r="S27"/>
  <c r="Q27"/>
  <c r="O27"/>
  <c r="M27"/>
  <c r="AA26"/>
  <c r="Y26"/>
  <c r="W26"/>
  <c r="U26"/>
  <c r="S26"/>
  <c r="Q26"/>
  <c r="O26"/>
  <c r="M26"/>
  <c r="AA25"/>
  <c r="Y25"/>
  <c r="W25"/>
  <c r="U25"/>
  <c r="S25"/>
  <c r="Q25"/>
  <c r="O25"/>
  <c r="M25"/>
  <c r="AA24"/>
  <c r="Y24"/>
  <c r="W24"/>
  <c r="U24"/>
  <c r="S24"/>
  <c r="Q24"/>
  <c r="O24"/>
  <c r="M24"/>
  <c r="AA23"/>
  <c r="Y23"/>
  <c r="W23"/>
  <c r="U23"/>
  <c r="S23"/>
  <c r="Q23"/>
  <c r="O23"/>
  <c r="M23"/>
  <c r="AA22"/>
  <c r="Y22"/>
  <c r="W22"/>
  <c r="U22"/>
  <c r="S22"/>
  <c r="Q22"/>
  <c r="O22"/>
  <c r="M22"/>
  <c r="AA21"/>
  <c r="Y21"/>
  <c r="W21"/>
  <c r="U21"/>
  <c r="S21"/>
  <c r="Q21"/>
  <c r="O21"/>
  <c r="M21"/>
  <c r="AA20"/>
  <c r="Y20"/>
  <c r="W20"/>
  <c r="U20"/>
  <c r="S20"/>
  <c r="Q20"/>
  <c r="O20"/>
  <c r="M20"/>
  <c r="AA19"/>
  <c r="Y19"/>
  <c r="W19"/>
  <c r="U19"/>
  <c r="S19"/>
  <c r="Q19"/>
  <c r="O19"/>
  <c r="M19"/>
  <c r="AA18"/>
  <c r="Y18"/>
  <c r="W18"/>
  <c r="U18"/>
  <c r="S18"/>
  <c r="Q18"/>
  <c r="O18"/>
  <c r="M18"/>
  <c r="AA17"/>
  <c r="Y17"/>
  <c r="W17"/>
  <c r="U17"/>
  <c r="S17"/>
  <c r="Q17"/>
  <c r="O17"/>
  <c r="M17"/>
  <c r="AA16"/>
  <c r="Y16"/>
  <c r="W16"/>
  <c r="U16"/>
  <c r="S16"/>
  <c r="Q16"/>
  <c r="O16"/>
  <c r="M16"/>
  <c r="AA15"/>
  <c r="Y15"/>
  <c r="W15"/>
  <c r="U15"/>
  <c r="S15"/>
  <c r="Q15"/>
  <c r="O15"/>
  <c r="M15"/>
  <c r="AA14"/>
  <c r="Y14"/>
  <c r="W14"/>
  <c r="U14"/>
  <c r="S14"/>
  <c r="Q14"/>
  <c r="O14"/>
  <c r="M14"/>
  <c r="AA13"/>
  <c r="Y13"/>
  <c r="W13"/>
  <c r="U13"/>
  <c r="S13"/>
  <c r="Q13"/>
  <c r="O13"/>
  <c r="M13"/>
  <c r="AA12"/>
  <c r="Y12"/>
  <c r="W12"/>
  <c r="U12"/>
  <c r="S12"/>
  <c r="Q12"/>
  <c r="O12"/>
  <c r="M12"/>
  <c r="AA11"/>
  <c r="Y11"/>
  <c r="W11"/>
  <c r="U11"/>
  <c r="S11"/>
  <c r="Q11"/>
  <c r="O11"/>
  <c r="M11"/>
  <c r="AA10"/>
  <c r="Y10"/>
  <c r="W10"/>
  <c r="U10"/>
  <c r="S10"/>
  <c r="Q10"/>
  <c r="O10"/>
  <c r="M10"/>
  <c r="AA9"/>
  <c r="Y9"/>
  <c r="W9"/>
  <c r="U9"/>
  <c r="S9"/>
  <c r="Q9"/>
  <c r="O9"/>
  <c r="M9"/>
  <c r="AA8"/>
  <c r="Y8"/>
  <c r="W8"/>
  <c r="U8"/>
  <c r="S8"/>
  <c r="Q8"/>
  <c r="O8"/>
  <c r="M8"/>
  <c r="A67" i="1"/>
  <c r="I8" i="9" s="1"/>
  <c r="AA5" s="1"/>
  <c r="H8"/>
  <c r="Y5" s="1"/>
  <c r="G8"/>
  <c r="F8"/>
  <c r="AA7"/>
  <c r="Y7"/>
  <c r="W7"/>
  <c r="U7"/>
  <c r="S7"/>
  <c r="Q7"/>
  <c r="O7"/>
  <c r="M7"/>
  <c r="I7"/>
  <c r="H7"/>
  <c r="G7"/>
  <c r="F7"/>
  <c r="E7"/>
  <c r="D7"/>
  <c r="C7"/>
  <c r="B7"/>
  <c r="AA6"/>
  <c r="Y6"/>
  <c r="W6"/>
  <c r="U6"/>
  <c r="S6"/>
  <c r="Q6"/>
  <c r="O6"/>
  <c r="M6"/>
  <c r="I6"/>
  <c r="H6"/>
  <c r="G6"/>
  <c r="F6"/>
  <c r="E6"/>
  <c r="D6"/>
  <c r="C6"/>
  <c r="B6"/>
  <c r="W5"/>
  <c r="U5"/>
  <c r="S5"/>
  <c r="O5"/>
  <c r="I4"/>
  <c r="I3"/>
  <c r="I5" s="1"/>
  <c r="H4"/>
  <c r="H3"/>
  <c r="H5"/>
  <c r="G4"/>
  <c r="G5" s="1"/>
  <c r="G3"/>
  <c r="F4"/>
  <c r="F5" s="1"/>
  <c r="F3"/>
  <c r="E4"/>
  <c r="E3"/>
  <c r="E5" s="1"/>
  <c r="D4"/>
  <c r="D3"/>
  <c r="D5"/>
  <c r="C4"/>
  <c r="C5" s="1"/>
  <c r="C3"/>
  <c r="B4"/>
  <c r="B5" s="1"/>
  <c r="B3"/>
  <c r="B19" i="1"/>
  <c r="B22" s="1"/>
  <c r="A66"/>
  <c r="A65"/>
  <c r="A64"/>
  <c r="A63"/>
  <c r="F2" i="5"/>
  <c r="E12" i="14"/>
  <c r="E2" i="5"/>
  <c r="D2"/>
  <c r="C2"/>
  <c r="B2"/>
  <c r="G12" i="15"/>
  <c r="F12"/>
  <c r="D12"/>
  <c r="C12"/>
  <c r="E12"/>
  <c r="D12" i="14"/>
  <c r="I2" i="9"/>
  <c r="E2"/>
  <c r="B16" i="1"/>
  <c r="B14"/>
  <c r="C16"/>
  <c r="D16"/>
  <c r="E16"/>
  <c r="F16"/>
  <c r="G16"/>
  <c r="H16"/>
  <c r="I16"/>
  <c r="J16"/>
  <c r="K16"/>
  <c r="A1"/>
  <c r="F2" i="9"/>
  <c r="B2"/>
  <c r="B17" i="1"/>
  <c r="F12" i="14"/>
  <c r="C2" i="9"/>
  <c r="C12" i="14"/>
  <c r="G2" i="9"/>
  <c r="D2"/>
  <c r="H2"/>
  <c r="Q5" l="1"/>
  <c r="V5" i="5"/>
  <c r="K49" i="1"/>
  <c r="K23"/>
  <c r="J49"/>
  <c r="J23"/>
  <c r="I49"/>
  <c r="I23"/>
  <c r="H49"/>
  <c r="H23"/>
  <c r="G49"/>
  <c r="G23"/>
  <c r="F23"/>
  <c r="F49"/>
  <c r="E49"/>
  <c r="E23"/>
  <c r="D23"/>
  <c r="D49"/>
  <c r="C49"/>
  <c r="C23"/>
  <c r="B20"/>
  <c r="B23"/>
  <c r="B49"/>
  <c r="B13" i="14"/>
  <c r="H12"/>
  <c r="P5" i="5"/>
  <c r="C11" i="15"/>
  <c r="I11" i="14"/>
  <c r="H3"/>
  <c r="H1" s="1"/>
  <c r="B28" i="1"/>
  <c r="M5" i="9"/>
  <c r="C5" i="5"/>
  <c r="E5"/>
  <c r="B13" i="15"/>
  <c r="D13" i="14"/>
  <c r="E13"/>
  <c r="C13"/>
  <c r="F13"/>
  <c r="G13" i="15"/>
  <c r="D13"/>
  <c r="E13"/>
  <c r="F13"/>
  <c r="C13"/>
  <c r="K12" i="14" l="1"/>
  <c r="L12"/>
  <c r="L13"/>
  <c r="I13"/>
  <c r="K13"/>
  <c r="J13"/>
  <c r="I13" i="15"/>
  <c r="B14"/>
  <c r="I3"/>
  <c r="L13" s="1"/>
  <c r="J11"/>
  <c r="B29" i="1"/>
  <c r="C21"/>
  <c r="B30"/>
  <c r="I12" i="14"/>
  <c r="B24" i="1"/>
  <c r="B26" s="1"/>
  <c r="H13" i="14"/>
  <c r="B14"/>
  <c r="J12"/>
  <c r="E14"/>
  <c r="F14"/>
  <c r="D14"/>
  <c r="C14"/>
  <c r="F14" i="15"/>
  <c r="D14"/>
  <c r="E14"/>
  <c r="C14"/>
  <c r="G14"/>
  <c r="J13" l="1"/>
  <c r="N13"/>
  <c r="N14"/>
  <c r="J14"/>
  <c r="L14"/>
  <c r="K14"/>
  <c r="M14"/>
  <c r="I14" i="14"/>
  <c r="J14"/>
  <c r="L14"/>
  <c r="K14"/>
  <c r="B33" i="1"/>
  <c r="B31"/>
  <c r="B32" s="1"/>
  <c r="B25"/>
  <c r="B15" i="15"/>
  <c r="I14"/>
  <c r="M13"/>
  <c r="B15" i="14"/>
  <c r="H14"/>
  <c r="I1" i="15"/>
  <c r="M12"/>
  <c r="J12"/>
  <c r="L12"/>
  <c r="N12"/>
  <c r="K12"/>
  <c r="K13"/>
  <c r="C15"/>
  <c r="D15"/>
  <c r="E15"/>
  <c r="F15"/>
  <c r="G15"/>
  <c r="C15" i="14"/>
  <c r="D15"/>
  <c r="F15"/>
  <c r="E15"/>
  <c r="K15" l="1"/>
  <c r="L15"/>
  <c r="J15"/>
  <c r="I15"/>
  <c r="N15" i="15"/>
  <c r="M15"/>
  <c r="L15"/>
  <c r="K15"/>
  <c r="J15"/>
  <c r="H15" i="14"/>
  <c r="B16"/>
  <c r="B34" i="1"/>
  <c r="I15" i="15"/>
  <c r="B16"/>
  <c r="C19" i="1"/>
  <c r="G16" i="15"/>
  <c r="E16"/>
  <c r="C16"/>
  <c r="D16"/>
  <c r="F16"/>
  <c r="D16" i="14"/>
  <c r="F16"/>
  <c r="C16"/>
  <c r="E16"/>
  <c r="K16" l="1"/>
  <c r="I16"/>
  <c r="L16"/>
  <c r="J16"/>
  <c r="M16" i="15"/>
  <c r="K16"/>
  <c r="J16"/>
  <c r="L16"/>
  <c r="N16"/>
  <c r="C22" i="1"/>
  <c r="C28"/>
  <c r="C20"/>
  <c r="H16" i="14"/>
  <c r="B17"/>
  <c r="B17" i="15"/>
  <c r="I16"/>
  <c r="G17"/>
  <c r="D17"/>
  <c r="E17"/>
  <c r="F17"/>
  <c r="C17"/>
  <c r="E17" i="14"/>
  <c r="D17"/>
  <c r="C17"/>
  <c r="F17"/>
  <c r="L17" l="1"/>
  <c r="I17"/>
  <c r="J17"/>
  <c r="K17"/>
  <c r="J17" i="15"/>
  <c r="M17"/>
  <c r="L17"/>
  <c r="K17"/>
  <c r="N17"/>
  <c r="H17" i="14"/>
  <c r="B18"/>
  <c r="C24" i="1"/>
  <c r="C25" s="1"/>
  <c r="I17" i="15"/>
  <c r="B18"/>
  <c r="C30" i="1"/>
  <c r="C29"/>
  <c r="D21"/>
  <c r="F18" i="14"/>
  <c r="E18"/>
  <c r="D18"/>
  <c r="C18"/>
  <c r="D18" i="15"/>
  <c r="F18"/>
  <c r="E18"/>
  <c r="C18"/>
  <c r="G18"/>
  <c r="N18" l="1"/>
  <c r="J18"/>
  <c r="L18"/>
  <c r="M18"/>
  <c r="K18"/>
  <c r="I18" i="14"/>
  <c r="J18"/>
  <c r="K18"/>
  <c r="L18"/>
  <c r="I18" i="15"/>
  <c r="B19"/>
  <c r="B19" i="14"/>
  <c r="H18"/>
  <c r="D19" i="1"/>
  <c r="C33"/>
  <c r="C31"/>
  <c r="C32" s="1"/>
  <c r="C26"/>
  <c r="D19" i="14"/>
  <c r="F19"/>
  <c r="C19"/>
  <c r="E19"/>
  <c r="C19" i="15"/>
  <c r="D19"/>
  <c r="E19"/>
  <c r="F19"/>
  <c r="G19"/>
  <c r="N19" l="1"/>
  <c r="M19"/>
  <c r="L19"/>
  <c r="K19"/>
  <c r="J19"/>
  <c r="K19" i="14"/>
  <c r="I19"/>
  <c r="L19"/>
  <c r="J19"/>
  <c r="I19" i="15"/>
  <c r="B20"/>
  <c r="C34" i="1"/>
  <c r="B20" i="14"/>
  <c r="H19"/>
  <c r="D22" i="1"/>
  <c r="D20"/>
  <c r="D28"/>
  <c r="C20" i="15"/>
  <c r="E20"/>
  <c r="D20"/>
  <c r="F20"/>
  <c r="G20"/>
  <c r="D20" i="14"/>
  <c r="F20"/>
  <c r="C20"/>
  <c r="E20"/>
  <c r="K20" l="1"/>
  <c r="I20"/>
  <c r="L20"/>
  <c r="J20"/>
  <c r="N20" i="15"/>
  <c r="M20"/>
  <c r="K20"/>
  <c r="L20"/>
  <c r="J20"/>
  <c r="D24" i="1"/>
  <c r="D25" s="1"/>
  <c r="B21" i="14"/>
  <c r="H20"/>
  <c r="D30" i="1"/>
  <c r="E21"/>
  <c r="D29"/>
  <c r="B21" i="15"/>
  <c r="I20"/>
  <c r="C21" i="14"/>
  <c r="E21"/>
  <c r="D21"/>
  <c r="F21"/>
  <c r="G21" i="15"/>
  <c r="D21"/>
  <c r="E21"/>
  <c r="F21"/>
  <c r="C21"/>
  <c r="J21" l="1"/>
  <c r="M21"/>
  <c r="L21"/>
  <c r="K21"/>
  <c r="N21"/>
  <c r="L21" i="14"/>
  <c r="J21"/>
  <c r="K21"/>
  <c r="I21"/>
  <c r="I21" i="15"/>
  <c r="B22"/>
  <c r="E19" i="1"/>
  <c r="D33"/>
  <c r="D31"/>
  <c r="D32" s="1"/>
  <c r="D26"/>
  <c r="H21" i="14"/>
  <c r="B22"/>
  <c r="F22" i="15"/>
  <c r="D22"/>
  <c r="E22"/>
  <c r="C22"/>
  <c r="G22"/>
  <c r="F22" i="14"/>
  <c r="E22"/>
  <c r="D22"/>
  <c r="C22"/>
  <c r="I22" l="1"/>
  <c r="J22"/>
  <c r="K22"/>
  <c r="L22"/>
  <c r="N22" i="15"/>
  <c r="J22"/>
  <c r="L22"/>
  <c r="K22"/>
  <c r="M22"/>
  <c r="B23" i="14"/>
  <c r="H22"/>
  <c r="D34" i="1"/>
  <c r="E28"/>
  <c r="E22"/>
  <c r="E20"/>
  <c r="B23" i="15"/>
  <c r="I22"/>
  <c r="C23"/>
  <c r="D23"/>
  <c r="E23"/>
  <c r="F23"/>
  <c r="G23"/>
  <c r="E23" i="14"/>
  <c r="D23"/>
  <c r="F23"/>
  <c r="C23"/>
  <c r="I23" l="1"/>
  <c r="L23"/>
  <c r="J23"/>
  <c r="K23"/>
  <c r="N23" i="15"/>
  <c r="M23"/>
  <c r="L23"/>
  <c r="K23"/>
  <c r="J23"/>
  <c r="E30" i="1"/>
  <c r="F21"/>
  <c r="E29"/>
  <c r="B24" i="14"/>
  <c r="H23"/>
  <c r="I23" i="15"/>
  <c r="B24"/>
  <c r="E24" i="1"/>
  <c r="E25" s="1"/>
  <c r="C24" i="14"/>
  <c r="D24"/>
  <c r="F24"/>
  <c r="E24"/>
  <c r="G24" i="15"/>
  <c r="E24"/>
  <c r="C24"/>
  <c r="D24"/>
  <c r="F24"/>
  <c r="M24" l="1"/>
  <c r="K24"/>
  <c r="J24"/>
  <c r="L24"/>
  <c r="N24"/>
  <c r="K24" i="14"/>
  <c r="L24"/>
  <c r="J24"/>
  <c r="I24"/>
  <c r="B25" i="15"/>
  <c r="I24"/>
  <c r="F19" i="1"/>
  <c r="E33"/>
  <c r="E31"/>
  <c r="E32" s="1"/>
  <c r="E26"/>
  <c r="B25" i="14"/>
  <c r="H24"/>
  <c r="G25" i="15"/>
  <c r="D25"/>
  <c r="E25"/>
  <c r="F25"/>
  <c r="C25"/>
  <c r="C25" i="14"/>
  <c r="D25"/>
  <c r="E25"/>
  <c r="F25"/>
  <c r="L25" l="1"/>
  <c r="K25"/>
  <c r="J25"/>
  <c r="I25"/>
  <c r="J25" i="15"/>
  <c r="M25"/>
  <c r="L25"/>
  <c r="K25"/>
  <c r="N25"/>
  <c r="H25" i="14"/>
  <c r="B26"/>
  <c r="E34" i="1"/>
  <c r="I25" i="15"/>
  <c r="B26"/>
  <c r="F22" i="1"/>
  <c r="F28"/>
  <c r="F20"/>
  <c r="E26" i="14"/>
  <c r="F26"/>
  <c r="D26"/>
  <c r="C26"/>
  <c r="D26" i="15"/>
  <c r="F26"/>
  <c r="E26"/>
  <c r="C26"/>
  <c r="G26"/>
  <c r="N26" l="1"/>
  <c r="J26"/>
  <c r="L26"/>
  <c r="M26"/>
  <c r="K26"/>
  <c r="I26" i="14"/>
  <c r="J26"/>
  <c r="L26"/>
  <c r="K26"/>
  <c r="F29" i="1"/>
  <c r="G21"/>
  <c r="F30"/>
  <c r="I26" i="15"/>
  <c r="B27"/>
  <c r="B27" i="14"/>
  <c r="H26"/>
  <c r="F24" i="1"/>
  <c r="F25" s="1"/>
  <c r="E27" i="14"/>
  <c r="C27"/>
  <c r="D27"/>
  <c r="F27"/>
  <c r="C27" i="15"/>
  <c r="D27"/>
  <c r="E27"/>
  <c r="F27"/>
  <c r="G27"/>
  <c r="N27" l="1"/>
  <c r="M27"/>
  <c r="L27"/>
  <c r="K27"/>
  <c r="J27"/>
  <c r="L27" i="14"/>
  <c r="J27"/>
  <c r="I27"/>
  <c r="K27"/>
  <c r="G19" i="1"/>
  <c r="I27" i="15"/>
  <c r="B28"/>
  <c r="H27" i="14"/>
  <c r="B28"/>
  <c r="F33" i="1"/>
  <c r="F31"/>
  <c r="F32" s="1"/>
  <c r="F26"/>
  <c r="C28" i="14"/>
  <c r="D28"/>
  <c r="F28"/>
  <c r="E28"/>
  <c r="E28" i="15"/>
  <c r="C28"/>
  <c r="D28"/>
  <c r="F28"/>
  <c r="G28"/>
  <c r="N28" l="1"/>
  <c r="M28"/>
  <c r="K28"/>
  <c r="J28"/>
  <c r="L28"/>
  <c r="K28" i="14"/>
  <c r="L28"/>
  <c r="J28"/>
  <c r="I28"/>
  <c r="F34" i="1"/>
  <c r="B29" i="15"/>
  <c r="I28"/>
  <c r="G22" i="1"/>
  <c r="G28"/>
  <c r="G20"/>
  <c r="B29" i="14"/>
  <c r="H28"/>
  <c r="D29"/>
  <c r="E29"/>
  <c r="C29"/>
  <c r="F29"/>
  <c r="G29" i="15"/>
  <c r="D29"/>
  <c r="E29"/>
  <c r="F29"/>
  <c r="C29"/>
  <c r="J29" l="1"/>
  <c r="M29"/>
  <c r="L29"/>
  <c r="K29"/>
  <c r="N29"/>
  <c r="L29" i="14"/>
  <c r="I29"/>
  <c r="K29"/>
  <c r="J29"/>
  <c r="G30" i="1"/>
  <c r="G29"/>
  <c r="H21"/>
  <c r="I29" i="15"/>
  <c r="B30"/>
  <c r="H29" i="14"/>
  <c r="B30"/>
  <c r="G24" i="1"/>
  <c r="G25" s="1"/>
  <c r="H19" s="1"/>
  <c r="E30" i="14"/>
  <c r="F30"/>
  <c r="D30"/>
  <c r="C30"/>
  <c r="F30" i="15"/>
  <c r="D30"/>
  <c r="E30"/>
  <c r="C30"/>
  <c r="G30"/>
  <c r="N30" l="1"/>
  <c r="J30"/>
  <c r="L30"/>
  <c r="K30"/>
  <c r="M30"/>
  <c r="I30" i="14"/>
  <c r="J30"/>
  <c r="L30"/>
  <c r="K30"/>
  <c r="H22" i="1"/>
  <c r="H20"/>
  <c r="H28"/>
  <c r="B31" i="15"/>
  <c r="I30"/>
  <c r="G31" i="1"/>
  <c r="G32" s="1"/>
  <c r="G33"/>
  <c r="G26"/>
  <c r="B31" i="14"/>
  <c r="H30"/>
  <c r="C31" i="15"/>
  <c r="D31"/>
  <c r="E31"/>
  <c r="F31"/>
  <c r="G31"/>
  <c r="C31" i="14"/>
  <c r="F31"/>
  <c r="D31"/>
  <c r="E31"/>
  <c r="K31" l="1"/>
  <c r="J31"/>
  <c r="L31"/>
  <c r="I31"/>
  <c r="N31" i="15"/>
  <c r="M31"/>
  <c r="L31"/>
  <c r="K31"/>
  <c r="J31"/>
  <c r="H31" i="14"/>
  <c r="B32"/>
  <c r="H24" i="1"/>
  <c r="H30"/>
  <c r="H29"/>
  <c r="I21"/>
  <c r="G34"/>
  <c r="I31" i="15"/>
  <c r="B32"/>
  <c r="G32"/>
  <c r="E32"/>
  <c r="C32"/>
  <c r="D32"/>
  <c r="F32"/>
  <c r="F32" i="14"/>
  <c r="D32"/>
  <c r="C32"/>
  <c r="E32"/>
  <c r="K32" l="1"/>
  <c r="I32"/>
  <c r="J32"/>
  <c r="L32"/>
  <c r="M32" i="15"/>
  <c r="K32"/>
  <c r="J32"/>
  <c r="L32"/>
  <c r="N32"/>
  <c r="H32" i="14"/>
  <c r="B33"/>
  <c r="H33" i="1"/>
  <c r="H31"/>
  <c r="H32" s="1"/>
  <c r="H26"/>
  <c r="B33" i="15"/>
  <c r="I32"/>
  <c r="H25" i="1"/>
  <c r="I19" s="1"/>
  <c r="E33" i="14"/>
  <c r="D33"/>
  <c r="C33"/>
  <c r="F33"/>
  <c r="G33" i="15"/>
  <c r="D33"/>
  <c r="E33"/>
  <c r="F33"/>
  <c r="C33"/>
  <c r="J33" l="1"/>
  <c r="M33"/>
  <c r="L33"/>
  <c r="K33"/>
  <c r="N33"/>
  <c r="L33" i="14"/>
  <c r="I33"/>
  <c r="J33"/>
  <c r="K33"/>
  <c r="I33" i="15"/>
  <c r="B34"/>
  <c r="H33" i="14"/>
  <c r="B34"/>
  <c r="I28" i="1"/>
  <c r="I22"/>
  <c r="I20"/>
  <c r="H34"/>
  <c r="F34" i="14"/>
  <c r="E34"/>
  <c r="D34"/>
  <c r="C34"/>
  <c r="D34" i="15"/>
  <c r="F34"/>
  <c r="E34"/>
  <c r="C34"/>
  <c r="G34"/>
  <c r="N34" l="1"/>
  <c r="J34"/>
  <c r="L34"/>
  <c r="M34"/>
  <c r="K34"/>
  <c r="I34" i="14"/>
  <c r="J34"/>
  <c r="K34"/>
  <c r="L34"/>
  <c r="I24" i="1"/>
  <c r="I25" s="1"/>
  <c r="J19" s="1"/>
  <c r="I34" i="15"/>
  <c r="B35"/>
  <c r="J21" i="1"/>
  <c r="I30"/>
  <c r="I29"/>
  <c r="B35" i="14"/>
  <c r="H34"/>
  <c r="C35" i="15"/>
  <c r="D35"/>
  <c r="E35"/>
  <c r="F35"/>
  <c r="G35"/>
  <c r="F35" i="14"/>
  <c r="D35"/>
  <c r="C35"/>
  <c r="E35"/>
  <c r="K35" l="1"/>
  <c r="I35"/>
  <c r="J35"/>
  <c r="L35"/>
  <c r="N35" i="15"/>
  <c r="M35"/>
  <c r="L35"/>
  <c r="K35"/>
  <c r="J35"/>
  <c r="I33" i="1"/>
  <c r="I31"/>
  <c r="I32" s="1"/>
  <c r="I26"/>
  <c r="B36" i="14"/>
  <c r="H35"/>
  <c r="I35" i="15"/>
  <c r="B36"/>
  <c r="J22" i="1"/>
  <c r="J28"/>
  <c r="J20"/>
  <c r="C36" i="15"/>
  <c r="E36"/>
  <c r="D36"/>
  <c r="F36"/>
  <c r="G36"/>
  <c r="F36" i="14"/>
  <c r="D36"/>
  <c r="C36"/>
  <c r="E36"/>
  <c r="I34" i="1" l="1"/>
  <c r="K36" i="14"/>
  <c r="I36"/>
  <c r="J36"/>
  <c r="L36"/>
  <c r="N36" i="15"/>
  <c r="M36"/>
  <c r="K36"/>
  <c r="L36"/>
  <c r="J36"/>
  <c r="H36" i="14"/>
  <c r="J29" i="1"/>
  <c r="K21"/>
  <c r="J30"/>
  <c r="J24"/>
  <c r="J25" s="1"/>
  <c r="K19" s="1"/>
  <c r="I36" i="15"/>
  <c r="K22" i="1" l="1"/>
  <c r="K20"/>
  <c r="K28"/>
  <c r="J31"/>
  <c r="J32" s="1"/>
  <c r="J33"/>
  <c r="J26"/>
  <c r="J34" l="1"/>
  <c r="K29"/>
  <c r="K30"/>
  <c r="K24"/>
  <c r="K25" s="1"/>
  <c r="B37" s="1"/>
  <c r="K31" l="1"/>
  <c r="K32" s="1"/>
  <c r="B36" s="1"/>
  <c r="B63" s="1"/>
  <c r="K33"/>
  <c r="K26"/>
  <c r="B38" s="1"/>
  <c r="B65" s="1"/>
  <c r="B45"/>
  <c r="B64"/>
  <c r="K34" l="1"/>
  <c r="B40" s="1"/>
  <c r="B67" s="1"/>
  <c r="B39"/>
  <c r="B66" s="1"/>
  <c r="B46"/>
  <c r="B48"/>
  <c r="B54"/>
  <c r="B56" l="1"/>
  <c r="D47"/>
  <c r="B55"/>
  <c r="B50"/>
  <c r="B51" s="1"/>
  <c r="C45" l="1"/>
  <c r="B59"/>
  <c r="B57"/>
  <c r="B58" s="1"/>
  <c r="B52"/>
  <c r="B60" l="1"/>
  <c r="C48"/>
  <c r="C46"/>
  <c r="C54"/>
  <c r="C50" l="1"/>
  <c r="C51" s="1"/>
  <c r="C55"/>
  <c r="E47"/>
  <c r="C56"/>
  <c r="D45" l="1"/>
  <c r="C57"/>
  <c r="C58" s="1"/>
  <c r="C59"/>
  <c r="C52"/>
  <c r="C60" l="1"/>
  <c r="D54"/>
  <c r="D46"/>
  <c r="D48"/>
  <c r="F47" l="1"/>
  <c r="D56"/>
  <c r="D55"/>
  <c r="D50"/>
  <c r="D51" s="1"/>
  <c r="D57" l="1"/>
  <c r="D58" s="1"/>
  <c r="D59"/>
  <c r="D52"/>
  <c r="E45"/>
  <c r="D60" l="1"/>
  <c r="E48"/>
  <c r="E46"/>
  <c r="E54"/>
  <c r="E55" l="1"/>
  <c r="G47"/>
  <c r="E56"/>
  <c r="E50"/>
  <c r="E51" s="1"/>
  <c r="F45" l="1"/>
  <c r="E57"/>
  <c r="E58" s="1"/>
  <c r="E59"/>
  <c r="E52"/>
  <c r="E60" l="1"/>
  <c r="F54"/>
  <c r="F46"/>
  <c r="F48"/>
  <c r="F50" l="1"/>
  <c r="F51" s="1"/>
  <c r="H47"/>
  <c r="F56"/>
  <c r="F55"/>
  <c r="G45" l="1"/>
  <c r="F57"/>
  <c r="F58" s="1"/>
  <c r="F59"/>
  <c r="F52"/>
  <c r="F60" l="1"/>
  <c r="G48"/>
  <c r="G46"/>
  <c r="G54"/>
  <c r="G50" l="1"/>
  <c r="G55"/>
  <c r="I47"/>
  <c r="G56"/>
  <c r="G57" l="1"/>
  <c r="G58" s="1"/>
  <c r="G59"/>
  <c r="G52"/>
  <c r="G51"/>
  <c r="H45" s="1"/>
  <c r="H54" l="1"/>
  <c r="H46"/>
  <c r="H48"/>
  <c r="G60"/>
  <c r="J47" l="1"/>
  <c r="H56"/>
  <c r="H55"/>
  <c r="H50"/>
  <c r="H57" l="1"/>
  <c r="H58" s="1"/>
  <c r="H59"/>
  <c r="H52"/>
  <c r="H51"/>
  <c r="I45" s="1"/>
  <c r="H60" l="1"/>
  <c r="I48"/>
  <c r="I46"/>
  <c r="I54"/>
  <c r="I50" l="1"/>
  <c r="I51" s="1"/>
  <c r="J45" s="1"/>
  <c r="I55"/>
  <c r="K47"/>
  <c r="I56"/>
  <c r="J54" l="1"/>
  <c r="J48"/>
  <c r="J46"/>
  <c r="I57"/>
  <c r="I58" s="1"/>
  <c r="I59"/>
  <c r="I52"/>
  <c r="J50" l="1"/>
  <c r="J51" s="1"/>
  <c r="K45" s="1"/>
  <c r="I60"/>
  <c r="J56"/>
  <c r="J55"/>
  <c r="K48" l="1"/>
  <c r="K46"/>
  <c r="K54"/>
  <c r="J57"/>
  <c r="J58" s="1"/>
  <c r="J59"/>
  <c r="J52"/>
  <c r="J60" l="1"/>
  <c r="K50"/>
  <c r="K51" s="1"/>
  <c r="C64" s="1"/>
  <c r="K55"/>
  <c r="K56"/>
  <c r="K57" l="1"/>
  <c r="K58" s="1"/>
  <c r="C63" s="1"/>
  <c r="K59"/>
  <c r="K52"/>
  <c r="C65" s="1"/>
  <c r="K60" l="1"/>
  <c r="C67" s="1"/>
  <c r="C66"/>
</calcChain>
</file>

<file path=xl/sharedStrings.xml><?xml version="1.0" encoding="utf-8"?>
<sst xmlns="http://schemas.openxmlformats.org/spreadsheetml/2006/main" count="143" uniqueCount="78">
  <si>
    <t>Shortage Cost</t>
  </si>
  <si>
    <t>Holding Cost</t>
  </si>
  <si>
    <t>Fixed Cost</t>
  </si>
  <si>
    <t>Order up to this amount</t>
  </si>
  <si>
    <t>Reorder Point</t>
  </si>
  <si>
    <t>Week</t>
  </si>
  <si>
    <t>Beginning Inventory</t>
  </si>
  <si>
    <t>Ending Inventory</t>
  </si>
  <si>
    <t>Cost</t>
  </si>
  <si>
    <t>Storage Cost</t>
  </si>
  <si>
    <t>Order Cost</t>
  </si>
  <si>
    <t>Purchase Cost</t>
  </si>
  <si>
    <t>Penalty for Shortage</t>
  </si>
  <si>
    <t>Total</t>
  </si>
  <si>
    <t>Amount Received</t>
  </si>
  <si>
    <t>Quantity Ordered</t>
  </si>
  <si>
    <t>Average Cost</t>
  </si>
  <si>
    <t>Average Inventory</t>
  </si>
  <si>
    <t>Variable</t>
  </si>
  <si>
    <t>Mean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</si>
  <si>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</si>
  <si>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</si>
  <si>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</si>
  <si>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</si>
  <si>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</si>
  <si>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</si>
  <si>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</si>
  <si>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</si>
  <si>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</si>
  <si>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</si>
  <si>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</si>
  <si>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</si>
  <si>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</si>
  <si>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</si>
  <si>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</si>
  <si>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Sales</t>
  </si>
  <si>
    <t>Scenario 5</t>
  </si>
  <si>
    <t>Min RAC</t>
  </si>
  <si>
    <t>Max RAC</t>
  </si>
  <si>
    <t>Base Scenario</t>
  </si>
  <si>
    <t>CDFProb.</t>
  </si>
  <si>
    <t>Available Supply</t>
  </si>
  <si>
    <t>Stoch. Demand</t>
  </si>
  <si>
    <t>Stochastic Demand</t>
  </si>
  <si>
    <t xml:space="preserve">Two Week Delivery </t>
  </si>
  <si>
    <t>One Week Delivery</t>
  </si>
  <si>
    <t>Reorder Point Scenario Table</t>
  </si>
  <si>
    <t>Generate a Common</t>
  </si>
  <si>
    <t>Average Lost Sales</t>
  </si>
  <si>
    <t>Lost Sales</t>
  </si>
  <si>
    <t>1 Week</t>
  </si>
  <si>
    <t>2 Week</t>
  </si>
  <si>
    <t>Revenue</t>
  </si>
  <si>
    <t>Profits</t>
  </si>
  <si>
    <t>Price of Good Sold</t>
  </si>
  <si>
    <t>Average Revenue</t>
  </si>
  <si>
    <t>Average Profit</t>
  </si>
  <si>
    <t>Mean Weekly Demand</t>
  </si>
  <si>
    <t>Std Dev Weekly Demand</t>
  </si>
  <si>
    <t>James W. Richardson</t>
  </si>
  <si>
    <t>Chapter 14</t>
  </si>
  <si>
    <t>KOVs</t>
  </si>
  <si>
    <t>Delivery Time Comparison</t>
  </si>
  <si>
    <t>Unit Purchase Cost</t>
  </si>
  <si>
    <t>Simetar Simulation Results for 4 Scenarios, 100 Iterations.  9:30:34 PM 3/28/2005 (1.37 sec.).  © 2005.</t>
  </si>
  <si>
    <t>© 2005</t>
  </si>
  <si>
    <t>ARAC</t>
  </si>
  <si>
    <t>Initial Wealth</t>
  </si>
  <si>
    <t>a. Parameter (Optional)</t>
  </si>
  <si>
    <t>b. Parameter (Optional)</t>
  </si>
  <si>
    <t>c. Parameter (Optional)</t>
  </si>
  <si>
    <t>Null</t>
  </si>
  <si>
    <t>Overall:</t>
  </si>
  <si>
    <t>Average</t>
  </si>
  <si>
    <t>Std. Dev.</t>
  </si>
  <si>
    <t>Base Alternative for Risk Premiums</t>
  </si>
  <si>
    <t>Simetar Simulation Results for 4 Scenarios, 100 Iterations.  9:34:09 PM 3/28/2005 (1.37 sec.).  © 2005.</t>
  </si>
  <si>
    <t>© 2011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</si>
</sst>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  <numFmt numFmtId="166" formatCode="0.0"/>
    <numFmt numFmtId="169" formatCode="_(&quot;$&quot;* #,##0_);_(&quot;$&quot;* \(#,##0\);_(&quot;$&quot;* &quot;-&quot;??_);_(@_)"/>
  </numFmts>
  <fonts count="3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43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9" fontId="0" fillId="0" borderId="11" xfId="1" applyNumberFormat="1" applyFont="1" applyBorder="1"/>
    <xf numFmtId="169" fontId="0" fillId="0" borderId="6" xfId="1" applyNumberFormat="1" applyFont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166" fontId="2" fillId="0" borderId="0" xfId="0" applyNumberFormat="1" applyFont="1"/>
  </cellXfs>
  <cellStyles count="2">
    <cellStyle name="Currency" xfId="1" builtinId="4"/>
    <cellStyle name="Normal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7104816913674147"/>
          <c:y val="2.8369653959137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1506311876587"/>
          <c:y val="0.15248689003036267"/>
          <c:w val="0.85433941909184341"/>
          <c:h val="0.66136755792238688"/>
        </c:manualLayout>
      </c:layout>
      <c:scatterChart>
        <c:scatterStyle val="smoothMarker"/>
        <c:ser>
          <c:idx val="0"/>
          <c:order val="0"/>
          <c:tx>
            <c:strRef>
              <c:f>SimData1!$M$5</c:f>
              <c:strCache>
                <c:ptCount val="1"/>
                <c:pt idx="0">
                  <c:v>Average Profit: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SimData1!$M$6:$M$105</c:f>
              <c:numCache>
                <c:formatCode>General</c:formatCode>
                <c:ptCount val="100"/>
                <c:pt idx="0">
                  <c:v>261.51305841655005</c:v>
                </c:pt>
                <c:pt idx="1">
                  <c:v>318.0656937675036</c:v>
                </c:pt>
                <c:pt idx="2">
                  <c:v>319.79424304216991</c:v>
                </c:pt>
                <c:pt idx="3">
                  <c:v>322.96441732800793</c:v>
                </c:pt>
                <c:pt idx="4">
                  <c:v>323.00379860335204</c:v>
                </c:pt>
                <c:pt idx="5">
                  <c:v>323.13899273982827</c:v>
                </c:pt>
                <c:pt idx="6">
                  <c:v>326.86161834435831</c:v>
                </c:pt>
                <c:pt idx="7">
                  <c:v>327.29784046339864</c:v>
                </c:pt>
                <c:pt idx="8">
                  <c:v>327.90205976338001</c:v>
                </c:pt>
                <c:pt idx="9">
                  <c:v>328.05031743883308</c:v>
                </c:pt>
                <c:pt idx="10">
                  <c:v>328.31993660258712</c:v>
                </c:pt>
                <c:pt idx="11">
                  <c:v>328.41564325801892</c:v>
                </c:pt>
                <c:pt idx="12">
                  <c:v>328.52063105407325</c:v>
                </c:pt>
                <c:pt idx="13">
                  <c:v>328.61458784992857</c:v>
                </c:pt>
                <c:pt idx="14">
                  <c:v>332.10741005090233</c:v>
                </c:pt>
                <c:pt idx="15">
                  <c:v>332.92590493781273</c:v>
                </c:pt>
                <c:pt idx="16">
                  <c:v>334.38525907281127</c:v>
                </c:pt>
                <c:pt idx="17">
                  <c:v>335.32493749016447</c:v>
                </c:pt>
                <c:pt idx="18">
                  <c:v>336.79514153736625</c:v>
                </c:pt>
                <c:pt idx="19">
                  <c:v>337.59196850300583</c:v>
                </c:pt>
                <c:pt idx="20">
                  <c:v>338.30456467903298</c:v>
                </c:pt>
                <c:pt idx="21">
                  <c:v>338.43103516043618</c:v>
                </c:pt>
                <c:pt idx="22">
                  <c:v>338.61680817748771</c:v>
                </c:pt>
                <c:pt idx="23">
                  <c:v>338.72977057487196</c:v>
                </c:pt>
                <c:pt idx="24">
                  <c:v>339.31947860219771</c:v>
                </c:pt>
                <c:pt idx="25">
                  <c:v>340.07626019153889</c:v>
                </c:pt>
                <c:pt idx="26">
                  <c:v>340.07737461578233</c:v>
                </c:pt>
                <c:pt idx="27">
                  <c:v>340.88914672292179</c:v>
                </c:pt>
                <c:pt idx="28">
                  <c:v>340.89834910938742</c:v>
                </c:pt>
                <c:pt idx="29">
                  <c:v>341.13003040661528</c:v>
                </c:pt>
                <c:pt idx="30">
                  <c:v>341.22891024883398</c:v>
                </c:pt>
                <c:pt idx="31">
                  <c:v>341.2739699796216</c:v>
                </c:pt>
                <c:pt idx="32">
                  <c:v>341.68070313644233</c:v>
                </c:pt>
                <c:pt idx="33">
                  <c:v>341.78466059610616</c:v>
                </c:pt>
                <c:pt idx="34">
                  <c:v>341.80887006690688</c:v>
                </c:pt>
                <c:pt idx="35">
                  <c:v>344.23356139135967</c:v>
                </c:pt>
                <c:pt idx="36">
                  <c:v>344.88974198483174</c:v>
                </c:pt>
                <c:pt idx="37">
                  <c:v>344.93533126814469</c:v>
                </c:pt>
                <c:pt idx="38">
                  <c:v>345.15862568892214</c:v>
                </c:pt>
                <c:pt idx="39">
                  <c:v>346.14348015177063</c:v>
                </c:pt>
                <c:pt idx="40">
                  <c:v>347.16053830530336</c:v>
                </c:pt>
                <c:pt idx="41">
                  <c:v>347.16198393196544</c:v>
                </c:pt>
                <c:pt idx="42">
                  <c:v>347.6975031247033</c:v>
                </c:pt>
                <c:pt idx="43">
                  <c:v>347.79766581002815</c:v>
                </c:pt>
                <c:pt idx="44">
                  <c:v>347.81496725482987</c:v>
                </c:pt>
                <c:pt idx="45">
                  <c:v>348.78997363656725</c:v>
                </c:pt>
                <c:pt idx="46">
                  <c:v>348.85955272681144</c:v>
                </c:pt>
                <c:pt idx="47">
                  <c:v>349.19377278618322</c:v>
                </c:pt>
                <c:pt idx="48">
                  <c:v>350.5090434053489</c:v>
                </c:pt>
                <c:pt idx="49">
                  <c:v>352.25101005169165</c:v>
                </c:pt>
                <c:pt idx="50">
                  <c:v>352.41267249646319</c:v>
                </c:pt>
                <c:pt idx="51">
                  <c:v>353.65059705102368</c:v>
                </c:pt>
                <c:pt idx="52">
                  <c:v>353.89058308797337</c:v>
                </c:pt>
                <c:pt idx="53">
                  <c:v>354.15777811820243</c:v>
                </c:pt>
                <c:pt idx="54">
                  <c:v>354.30276324800445</c:v>
                </c:pt>
                <c:pt idx="55">
                  <c:v>354.41907532719563</c:v>
                </c:pt>
                <c:pt idx="56">
                  <c:v>354.46970226545216</c:v>
                </c:pt>
                <c:pt idx="57">
                  <c:v>355.43644145527674</c:v>
                </c:pt>
                <c:pt idx="58">
                  <c:v>355.62567518497423</c:v>
                </c:pt>
                <c:pt idx="59">
                  <c:v>355.84710405715333</c:v>
                </c:pt>
                <c:pt idx="60">
                  <c:v>357.96134333968928</c:v>
                </c:pt>
                <c:pt idx="61">
                  <c:v>359.19728367261541</c:v>
                </c:pt>
                <c:pt idx="62">
                  <c:v>359.45807438318269</c:v>
                </c:pt>
                <c:pt idx="63">
                  <c:v>359.54505071773542</c:v>
                </c:pt>
                <c:pt idx="64">
                  <c:v>360.36696560426259</c:v>
                </c:pt>
                <c:pt idx="65">
                  <c:v>360.52339383233539</c:v>
                </c:pt>
                <c:pt idx="66">
                  <c:v>361.15001777006881</c:v>
                </c:pt>
                <c:pt idx="67">
                  <c:v>362.02316017090249</c:v>
                </c:pt>
                <c:pt idx="68">
                  <c:v>362.13978897543979</c:v>
                </c:pt>
                <c:pt idx="69">
                  <c:v>362.61168054219297</c:v>
                </c:pt>
                <c:pt idx="70">
                  <c:v>362.74667149611173</c:v>
                </c:pt>
                <c:pt idx="71">
                  <c:v>363.16698557488422</c:v>
                </c:pt>
                <c:pt idx="72">
                  <c:v>363.27214705849366</c:v>
                </c:pt>
                <c:pt idx="73">
                  <c:v>363.40856575271692</c:v>
                </c:pt>
                <c:pt idx="74">
                  <c:v>364.75977365043605</c:v>
                </c:pt>
                <c:pt idx="75">
                  <c:v>368.24051557225903</c:v>
                </c:pt>
                <c:pt idx="76">
                  <c:v>368.7413939752488</c:v>
                </c:pt>
                <c:pt idx="77">
                  <c:v>368.7595618210575</c:v>
                </c:pt>
                <c:pt idx="78">
                  <c:v>370.0534735395342</c:v>
                </c:pt>
                <c:pt idx="79">
                  <c:v>370.94222554858038</c:v>
                </c:pt>
                <c:pt idx="80">
                  <c:v>371.25282600978016</c:v>
                </c:pt>
                <c:pt idx="81">
                  <c:v>371.34867379491601</c:v>
                </c:pt>
                <c:pt idx="82">
                  <c:v>371.64362798778916</c:v>
                </c:pt>
                <c:pt idx="83">
                  <c:v>373.4978728117926</c:v>
                </c:pt>
                <c:pt idx="84">
                  <c:v>374.57637298960231</c:v>
                </c:pt>
                <c:pt idx="85">
                  <c:v>374.62763292916037</c:v>
                </c:pt>
                <c:pt idx="86">
                  <c:v>374.92094130565584</c:v>
                </c:pt>
                <c:pt idx="87">
                  <c:v>377.66506935874042</c:v>
                </c:pt>
                <c:pt idx="88">
                  <c:v>378.56139723621999</c:v>
                </c:pt>
                <c:pt idx="89">
                  <c:v>379.17238996586377</c:v>
                </c:pt>
                <c:pt idx="90">
                  <c:v>379.62981164002059</c:v>
                </c:pt>
                <c:pt idx="91">
                  <c:v>382.24964679967673</c:v>
                </c:pt>
                <c:pt idx="92">
                  <c:v>386.22117914756183</c:v>
                </c:pt>
                <c:pt idx="93">
                  <c:v>388.89101387191215</c:v>
                </c:pt>
                <c:pt idx="94">
                  <c:v>392.99391930269684</c:v>
                </c:pt>
                <c:pt idx="95">
                  <c:v>415.27832126124213</c:v>
                </c:pt>
                <c:pt idx="96">
                  <c:v>416.18282632003292</c:v>
                </c:pt>
                <c:pt idx="97">
                  <c:v>420.62394376008888</c:v>
                </c:pt>
                <c:pt idx="98">
                  <c:v>433.64784302560957</c:v>
                </c:pt>
                <c:pt idx="99">
                  <c:v>449.42580660997282</c:v>
                </c:pt>
              </c:numCache>
            </c:numRef>
          </c:xVal>
          <c:yVal>
            <c:numRef>
              <c:f>SimData1!$N$6:$N$105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SimData1!$O$5</c:f>
              <c:strCache>
                <c:ptCount val="1"/>
                <c:pt idx="0">
                  <c:v>Average Profit: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SimData1!$O$6:$O$105</c:f>
              <c:numCache>
                <c:formatCode>General</c:formatCode>
                <c:ptCount val="100"/>
                <c:pt idx="0">
                  <c:v>277.06983265950225</c:v>
                </c:pt>
                <c:pt idx="1">
                  <c:v>291.11481607230087</c:v>
                </c:pt>
                <c:pt idx="2">
                  <c:v>295.25604360099061</c:v>
                </c:pt>
                <c:pt idx="3">
                  <c:v>302.89078601913076</c:v>
                </c:pt>
                <c:pt idx="4">
                  <c:v>313.89249472061243</c:v>
                </c:pt>
                <c:pt idx="5">
                  <c:v>314.95582683068631</c:v>
                </c:pt>
                <c:pt idx="6">
                  <c:v>318.0656937675036</c:v>
                </c:pt>
                <c:pt idx="7">
                  <c:v>321.34045181237832</c:v>
                </c:pt>
                <c:pt idx="8">
                  <c:v>323.00379860335204</c:v>
                </c:pt>
                <c:pt idx="9">
                  <c:v>323.13899273982827</c:v>
                </c:pt>
                <c:pt idx="10">
                  <c:v>326.86161834435831</c:v>
                </c:pt>
                <c:pt idx="11">
                  <c:v>327.69669670491515</c:v>
                </c:pt>
                <c:pt idx="12">
                  <c:v>328.05031743883308</c:v>
                </c:pt>
                <c:pt idx="13">
                  <c:v>328.52063105407325</c:v>
                </c:pt>
                <c:pt idx="14">
                  <c:v>334.089407253118</c:v>
                </c:pt>
                <c:pt idx="15">
                  <c:v>334.38525907281127</c:v>
                </c:pt>
                <c:pt idx="16">
                  <c:v>336.19903790024262</c:v>
                </c:pt>
                <c:pt idx="17">
                  <c:v>336.79514153736625</c:v>
                </c:pt>
                <c:pt idx="18">
                  <c:v>338.30456467903298</c:v>
                </c:pt>
                <c:pt idx="19">
                  <c:v>338.43103516043618</c:v>
                </c:pt>
                <c:pt idx="20">
                  <c:v>339.31947860219771</c:v>
                </c:pt>
                <c:pt idx="21">
                  <c:v>340.07626019153889</c:v>
                </c:pt>
                <c:pt idx="22">
                  <c:v>340.89834910938742</c:v>
                </c:pt>
                <c:pt idx="23">
                  <c:v>341.22891024883398</c:v>
                </c:pt>
                <c:pt idx="24">
                  <c:v>341.2739699796216</c:v>
                </c:pt>
                <c:pt idx="25">
                  <c:v>341.68070313644233</c:v>
                </c:pt>
                <c:pt idx="26">
                  <c:v>343.17932183626982</c:v>
                </c:pt>
                <c:pt idx="27">
                  <c:v>344.23356139135967</c:v>
                </c:pt>
                <c:pt idx="28">
                  <c:v>344.93533126814469</c:v>
                </c:pt>
                <c:pt idx="29">
                  <c:v>346.08451306120708</c:v>
                </c:pt>
                <c:pt idx="30">
                  <c:v>347.09338083350468</c:v>
                </c:pt>
                <c:pt idx="31">
                  <c:v>347.16053830530336</c:v>
                </c:pt>
                <c:pt idx="32">
                  <c:v>347.16198393196544</c:v>
                </c:pt>
                <c:pt idx="33">
                  <c:v>347.37068347328665</c:v>
                </c:pt>
                <c:pt idx="34">
                  <c:v>347.44186426872267</c:v>
                </c:pt>
                <c:pt idx="35">
                  <c:v>347.81496725482987</c:v>
                </c:pt>
                <c:pt idx="36">
                  <c:v>348.85955272681144</c:v>
                </c:pt>
                <c:pt idx="37">
                  <c:v>349.19377278618322</c:v>
                </c:pt>
                <c:pt idx="38">
                  <c:v>350.1306824022713</c:v>
                </c:pt>
                <c:pt idx="39">
                  <c:v>350.5090434053489</c:v>
                </c:pt>
                <c:pt idx="40">
                  <c:v>352.25101005169165</c:v>
                </c:pt>
                <c:pt idx="41">
                  <c:v>353.67155397804333</c:v>
                </c:pt>
                <c:pt idx="42">
                  <c:v>353.89058308797337</c:v>
                </c:pt>
                <c:pt idx="43">
                  <c:v>354.41907532719563</c:v>
                </c:pt>
                <c:pt idx="44">
                  <c:v>354.46970226545216</c:v>
                </c:pt>
                <c:pt idx="45">
                  <c:v>355.43644145527674</c:v>
                </c:pt>
                <c:pt idx="46">
                  <c:v>355.62567518497423</c:v>
                </c:pt>
                <c:pt idx="47">
                  <c:v>355.84710405715333</c:v>
                </c:pt>
                <c:pt idx="48">
                  <c:v>356.89091822685003</c:v>
                </c:pt>
                <c:pt idx="49">
                  <c:v>357.14878121789627</c:v>
                </c:pt>
                <c:pt idx="50">
                  <c:v>357.96134333968928</c:v>
                </c:pt>
                <c:pt idx="51">
                  <c:v>358.74350964656412</c:v>
                </c:pt>
                <c:pt idx="52">
                  <c:v>359.54505071773542</c:v>
                </c:pt>
                <c:pt idx="53">
                  <c:v>360.52339383233539</c:v>
                </c:pt>
                <c:pt idx="54">
                  <c:v>360.85025647807811</c:v>
                </c:pt>
                <c:pt idx="55">
                  <c:v>362.02316017090249</c:v>
                </c:pt>
                <c:pt idx="56">
                  <c:v>362.74667149611173</c:v>
                </c:pt>
                <c:pt idx="57">
                  <c:v>363.27214705849366</c:v>
                </c:pt>
                <c:pt idx="58">
                  <c:v>363.40856575271692</c:v>
                </c:pt>
                <c:pt idx="59">
                  <c:v>373.4978728117926</c:v>
                </c:pt>
                <c:pt idx="60">
                  <c:v>375.08259859782657</c:v>
                </c:pt>
                <c:pt idx="61">
                  <c:v>375.39938897606095</c:v>
                </c:pt>
                <c:pt idx="62">
                  <c:v>375.89968813023586</c:v>
                </c:pt>
                <c:pt idx="63">
                  <c:v>377.15204098903735</c:v>
                </c:pt>
                <c:pt idx="64">
                  <c:v>377.1866173207315</c:v>
                </c:pt>
                <c:pt idx="65">
                  <c:v>379.02209422995526</c:v>
                </c:pt>
                <c:pt idx="66">
                  <c:v>379.15957078632306</c:v>
                </c:pt>
                <c:pt idx="67">
                  <c:v>382.32751499310496</c:v>
                </c:pt>
                <c:pt idx="68">
                  <c:v>383.29545574681822</c:v>
                </c:pt>
                <c:pt idx="69">
                  <c:v>385.03797245420066</c:v>
                </c:pt>
                <c:pt idx="70">
                  <c:v>391.19133140430051</c:v>
                </c:pt>
                <c:pt idx="71">
                  <c:v>395.55505213663076</c:v>
                </c:pt>
                <c:pt idx="72">
                  <c:v>400.19426231845398</c:v>
                </c:pt>
                <c:pt idx="73">
                  <c:v>402.07452056848376</c:v>
                </c:pt>
                <c:pt idx="74">
                  <c:v>402.70797406733175</c:v>
                </c:pt>
                <c:pt idx="75">
                  <c:v>403.9238616024694</c:v>
                </c:pt>
                <c:pt idx="76">
                  <c:v>406.8289713272826</c:v>
                </c:pt>
                <c:pt idx="77">
                  <c:v>408.68260089650539</c:v>
                </c:pt>
                <c:pt idx="78">
                  <c:v>411.02848973329935</c:v>
                </c:pt>
                <c:pt idx="79">
                  <c:v>412.79137095256544</c:v>
                </c:pt>
                <c:pt idx="80">
                  <c:v>414.55028141692617</c:v>
                </c:pt>
                <c:pt idx="81">
                  <c:v>415.27832126124213</c:v>
                </c:pt>
                <c:pt idx="82">
                  <c:v>420.62394376008888</c:v>
                </c:pt>
                <c:pt idx="83">
                  <c:v>420.82506024900277</c:v>
                </c:pt>
                <c:pt idx="84">
                  <c:v>421.19938732780008</c:v>
                </c:pt>
                <c:pt idx="85">
                  <c:v>421.56669171684717</c:v>
                </c:pt>
                <c:pt idx="86">
                  <c:v>426.08982255748896</c:v>
                </c:pt>
                <c:pt idx="87">
                  <c:v>426.27780085152961</c:v>
                </c:pt>
                <c:pt idx="88">
                  <c:v>426.78090691962024</c:v>
                </c:pt>
                <c:pt idx="89">
                  <c:v>429.45206628749537</c:v>
                </c:pt>
                <c:pt idx="90">
                  <c:v>433.64784302560957</c:v>
                </c:pt>
                <c:pt idx="91">
                  <c:v>435.85280647014332</c:v>
                </c:pt>
                <c:pt idx="92">
                  <c:v>435.90955056450122</c:v>
                </c:pt>
                <c:pt idx="93">
                  <c:v>436.59196829269041</c:v>
                </c:pt>
                <c:pt idx="94">
                  <c:v>438.61178352250465</c:v>
                </c:pt>
                <c:pt idx="95">
                  <c:v>439.54535012351454</c:v>
                </c:pt>
                <c:pt idx="96">
                  <c:v>441.16834138265642</c:v>
                </c:pt>
                <c:pt idx="97">
                  <c:v>445.87054028492867</c:v>
                </c:pt>
                <c:pt idx="98">
                  <c:v>446.73824216074047</c:v>
                </c:pt>
                <c:pt idx="99">
                  <c:v>449.42580660997282</c:v>
                </c:pt>
              </c:numCache>
            </c:numRef>
          </c:xVal>
          <c:yVal>
            <c:numRef>
              <c:f>SimData1!$P$6:$P$105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SimData1!$Q$5</c:f>
              <c:strCache>
                <c:ptCount val="1"/>
                <c:pt idx="0">
                  <c:v>Average Profit: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SimData1!$Q$6:$Q$105</c:f>
              <c:numCache>
                <c:formatCode>General</c:formatCode>
                <c:ptCount val="100"/>
                <c:pt idx="0">
                  <c:v>263.79941861118607</c:v>
                </c:pt>
                <c:pt idx="1">
                  <c:v>281.9424582448803</c:v>
                </c:pt>
                <c:pt idx="2">
                  <c:v>292.50331864597871</c:v>
                </c:pt>
                <c:pt idx="3">
                  <c:v>295.25604360099061</c:v>
                </c:pt>
                <c:pt idx="4">
                  <c:v>298.41153815245417</c:v>
                </c:pt>
                <c:pt idx="5">
                  <c:v>303.94209145709368</c:v>
                </c:pt>
                <c:pt idx="6">
                  <c:v>310.5949671300707</c:v>
                </c:pt>
                <c:pt idx="7">
                  <c:v>313.01107060149968</c:v>
                </c:pt>
                <c:pt idx="8">
                  <c:v>313.45556079653613</c:v>
                </c:pt>
                <c:pt idx="9">
                  <c:v>315.13427200066639</c:v>
                </c:pt>
                <c:pt idx="10">
                  <c:v>317.37664600148253</c:v>
                </c:pt>
                <c:pt idx="11">
                  <c:v>318.10880032685088</c:v>
                </c:pt>
                <c:pt idx="12">
                  <c:v>319.24102980217469</c:v>
                </c:pt>
                <c:pt idx="13">
                  <c:v>320.25481189477586</c:v>
                </c:pt>
                <c:pt idx="14">
                  <c:v>322.6827452214132</c:v>
                </c:pt>
                <c:pt idx="15">
                  <c:v>324.36284945016433</c:v>
                </c:pt>
                <c:pt idx="16">
                  <c:v>325.33706416977839</c:v>
                </c:pt>
                <c:pt idx="17">
                  <c:v>326.39878004857621</c:v>
                </c:pt>
                <c:pt idx="18">
                  <c:v>327.69669670491515</c:v>
                </c:pt>
                <c:pt idx="19">
                  <c:v>329.47405381123224</c:v>
                </c:pt>
                <c:pt idx="20">
                  <c:v>331.01257337254088</c:v>
                </c:pt>
                <c:pt idx="21">
                  <c:v>335.57474436778176</c:v>
                </c:pt>
                <c:pt idx="22">
                  <c:v>337.60175999280739</c:v>
                </c:pt>
                <c:pt idx="23">
                  <c:v>337.85600105429666</c:v>
                </c:pt>
                <c:pt idx="24">
                  <c:v>339.13424096410716</c:v>
                </c:pt>
                <c:pt idx="25">
                  <c:v>339.71030331459144</c:v>
                </c:pt>
                <c:pt idx="26">
                  <c:v>340.04641653586765</c:v>
                </c:pt>
                <c:pt idx="27">
                  <c:v>340.25037895234505</c:v>
                </c:pt>
                <c:pt idx="28">
                  <c:v>341.0462508450907</c:v>
                </c:pt>
                <c:pt idx="29">
                  <c:v>342.91271938376968</c:v>
                </c:pt>
                <c:pt idx="30">
                  <c:v>345.74171871790088</c:v>
                </c:pt>
                <c:pt idx="31">
                  <c:v>346.73756480080431</c:v>
                </c:pt>
                <c:pt idx="32">
                  <c:v>346.82329431007804</c:v>
                </c:pt>
                <c:pt idx="33">
                  <c:v>347.44186426872267</c:v>
                </c:pt>
                <c:pt idx="34">
                  <c:v>348.13554181257962</c:v>
                </c:pt>
                <c:pt idx="35">
                  <c:v>348.85955272681144</c:v>
                </c:pt>
                <c:pt idx="36">
                  <c:v>350.4392851699082</c:v>
                </c:pt>
                <c:pt idx="37">
                  <c:v>350.5090434053489</c:v>
                </c:pt>
                <c:pt idx="38">
                  <c:v>350.96401911831106</c:v>
                </c:pt>
                <c:pt idx="39">
                  <c:v>352.18792747859555</c:v>
                </c:pt>
                <c:pt idx="40">
                  <c:v>352.98317573930558</c:v>
                </c:pt>
                <c:pt idx="41">
                  <c:v>353.67155397804333</c:v>
                </c:pt>
                <c:pt idx="42">
                  <c:v>353.85392949588243</c:v>
                </c:pt>
                <c:pt idx="43">
                  <c:v>354.44253433191147</c:v>
                </c:pt>
                <c:pt idx="44">
                  <c:v>356.30482369739627</c:v>
                </c:pt>
                <c:pt idx="45">
                  <c:v>357.14878121789627</c:v>
                </c:pt>
                <c:pt idx="46">
                  <c:v>357.20998472174483</c:v>
                </c:pt>
                <c:pt idx="47">
                  <c:v>358.27595226792948</c:v>
                </c:pt>
                <c:pt idx="48">
                  <c:v>358.74350964656412</c:v>
                </c:pt>
                <c:pt idx="49">
                  <c:v>359.93172061083339</c:v>
                </c:pt>
                <c:pt idx="50">
                  <c:v>360.85025647807811</c:v>
                </c:pt>
                <c:pt idx="51">
                  <c:v>361.10403185453026</c:v>
                </c:pt>
                <c:pt idx="52">
                  <c:v>361.27746338157783</c:v>
                </c:pt>
                <c:pt idx="53">
                  <c:v>361.41358938254803</c:v>
                </c:pt>
                <c:pt idx="54">
                  <c:v>361.45709263939597</c:v>
                </c:pt>
                <c:pt idx="55">
                  <c:v>361.48988694722084</c:v>
                </c:pt>
                <c:pt idx="56">
                  <c:v>362.7521701953134</c:v>
                </c:pt>
                <c:pt idx="57">
                  <c:v>364.38194959960668</c:v>
                </c:pt>
                <c:pt idx="58">
                  <c:v>365.68171197715435</c:v>
                </c:pt>
                <c:pt idx="59">
                  <c:v>366.89103158719018</c:v>
                </c:pt>
                <c:pt idx="60">
                  <c:v>367.44385906691519</c:v>
                </c:pt>
                <c:pt idx="61">
                  <c:v>367.80624154238535</c:v>
                </c:pt>
                <c:pt idx="62">
                  <c:v>368.92571736356456</c:v>
                </c:pt>
                <c:pt idx="63">
                  <c:v>371.33545674899597</c:v>
                </c:pt>
                <c:pt idx="64">
                  <c:v>372.81710879383024</c:v>
                </c:pt>
                <c:pt idx="65">
                  <c:v>373.09889352121957</c:v>
                </c:pt>
                <c:pt idx="66">
                  <c:v>373.20680725928003</c:v>
                </c:pt>
                <c:pt idx="67">
                  <c:v>374.45604493888658</c:v>
                </c:pt>
                <c:pt idx="68">
                  <c:v>374.4654857726502</c:v>
                </c:pt>
                <c:pt idx="69">
                  <c:v>375.39938897606095</c:v>
                </c:pt>
                <c:pt idx="70">
                  <c:v>375.89968813023586</c:v>
                </c:pt>
                <c:pt idx="71">
                  <c:v>377.1866173207315</c:v>
                </c:pt>
                <c:pt idx="72">
                  <c:v>378.03705309048667</c:v>
                </c:pt>
                <c:pt idx="73">
                  <c:v>378.41617530270213</c:v>
                </c:pt>
                <c:pt idx="74">
                  <c:v>379.73653069138498</c:v>
                </c:pt>
                <c:pt idx="75">
                  <c:v>381.80320126653726</c:v>
                </c:pt>
                <c:pt idx="76">
                  <c:v>382.32751499310496</c:v>
                </c:pt>
                <c:pt idx="77">
                  <c:v>383.30117558217978</c:v>
                </c:pt>
                <c:pt idx="78">
                  <c:v>385.26544387803074</c:v>
                </c:pt>
                <c:pt idx="79">
                  <c:v>385.56090467476321</c:v>
                </c:pt>
                <c:pt idx="80">
                  <c:v>385.7039764908219</c:v>
                </c:pt>
                <c:pt idx="81">
                  <c:v>391.66855164215485</c:v>
                </c:pt>
                <c:pt idx="82">
                  <c:v>395.38532861138145</c:v>
                </c:pt>
                <c:pt idx="83">
                  <c:v>396.38865837867945</c:v>
                </c:pt>
                <c:pt idx="84">
                  <c:v>399.59967918716336</c:v>
                </c:pt>
                <c:pt idx="85">
                  <c:v>402.07452056848376</c:v>
                </c:pt>
                <c:pt idx="86">
                  <c:v>402.31466353132589</c:v>
                </c:pt>
                <c:pt idx="87">
                  <c:v>402.94734766100254</c:v>
                </c:pt>
                <c:pt idx="88">
                  <c:v>404.8864367325711</c:v>
                </c:pt>
                <c:pt idx="89">
                  <c:v>406.8289713272826</c:v>
                </c:pt>
                <c:pt idx="90">
                  <c:v>407.26735473279069</c:v>
                </c:pt>
                <c:pt idx="91">
                  <c:v>408.55781194363425</c:v>
                </c:pt>
                <c:pt idx="92">
                  <c:v>408.68260089650539</c:v>
                </c:pt>
                <c:pt idx="93">
                  <c:v>410.10856987967162</c:v>
                </c:pt>
                <c:pt idx="94">
                  <c:v>416.56657465120043</c:v>
                </c:pt>
                <c:pt idx="95">
                  <c:v>420.62394376008888</c:v>
                </c:pt>
                <c:pt idx="96">
                  <c:v>420.82506024900277</c:v>
                </c:pt>
                <c:pt idx="97">
                  <c:v>426.78090691962024</c:v>
                </c:pt>
                <c:pt idx="98">
                  <c:v>433.64784302560957</c:v>
                </c:pt>
                <c:pt idx="99">
                  <c:v>446.73824216074047</c:v>
                </c:pt>
              </c:numCache>
            </c:numRef>
          </c:xVal>
          <c:yVal>
            <c:numRef>
              <c:f>SimData1!$R$6:$R$105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SimData1!$S$5</c:f>
              <c:strCache>
                <c:ptCount val="1"/>
                <c:pt idx="0">
                  <c:v>Average Profit: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SimData1!$S$6:$S$105</c:f>
              <c:numCache>
                <c:formatCode>General</c:formatCode>
                <c:ptCount val="100"/>
                <c:pt idx="0">
                  <c:v>239.08063213591839</c:v>
                </c:pt>
                <c:pt idx="1">
                  <c:v>254.96722703581037</c:v>
                </c:pt>
                <c:pt idx="2">
                  <c:v>257.7028704157425</c:v>
                </c:pt>
                <c:pt idx="3">
                  <c:v>259.70559539304429</c:v>
                </c:pt>
                <c:pt idx="4">
                  <c:v>263.79941861118607</c:v>
                </c:pt>
                <c:pt idx="5">
                  <c:v>265.66410994114824</c:v>
                </c:pt>
                <c:pt idx="6">
                  <c:v>271.09756882774445</c:v>
                </c:pt>
                <c:pt idx="7">
                  <c:v>272.05192698454374</c:v>
                </c:pt>
                <c:pt idx="8">
                  <c:v>278.08001512941604</c:v>
                </c:pt>
                <c:pt idx="9">
                  <c:v>281.9424582448803</c:v>
                </c:pt>
                <c:pt idx="10">
                  <c:v>282.58727338484761</c:v>
                </c:pt>
                <c:pt idx="11">
                  <c:v>283.66282076939103</c:v>
                </c:pt>
                <c:pt idx="12">
                  <c:v>288.59029111010511</c:v>
                </c:pt>
                <c:pt idx="13">
                  <c:v>289.95469013588735</c:v>
                </c:pt>
                <c:pt idx="14">
                  <c:v>290.04715862208656</c:v>
                </c:pt>
                <c:pt idx="15">
                  <c:v>292.50331864597871</c:v>
                </c:pt>
                <c:pt idx="16">
                  <c:v>292.86299785303834</c:v>
                </c:pt>
                <c:pt idx="17">
                  <c:v>294.2909922486769</c:v>
                </c:pt>
                <c:pt idx="18">
                  <c:v>301.16695384756616</c:v>
                </c:pt>
                <c:pt idx="19">
                  <c:v>303.94209145709368</c:v>
                </c:pt>
                <c:pt idx="20">
                  <c:v>303.96283637328304</c:v>
                </c:pt>
                <c:pt idx="21">
                  <c:v>305.9863461695856</c:v>
                </c:pt>
                <c:pt idx="22">
                  <c:v>307.16087074958551</c:v>
                </c:pt>
                <c:pt idx="23">
                  <c:v>308.85747849079428</c:v>
                </c:pt>
                <c:pt idx="24">
                  <c:v>309.08629833342542</c:v>
                </c:pt>
                <c:pt idx="25">
                  <c:v>309.79814621064173</c:v>
                </c:pt>
                <c:pt idx="26">
                  <c:v>310.02628656824754</c:v>
                </c:pt>
                <c:pt idx="27">
                  <c:v>310.47681453654815</c:v>
                </c:pt>
                <c:pt idx="28">
                  <c:v>310.68713732584052</c:v>
                </c:pt>
                <c:pt idx="29">
                  <c:v>312.94133249383509</c:v>
                </c:pt>
                <c:pt idx="30">
                  <c:v>313.45556079653613</c:v>
                </c:pt>
                <c:pt idx="31">
                  <c:v>313.76753221059221</c:v>
                </c:pt>
                <c:pt idx="32">
                  <c:v>314.07300563499041</c:v>
                </c:pt>
                <c:pt idx="33">
                  <c:v>315.13427200066639</c:v>
                </c:pt>
                <c:pt idx="34">
                  <c:v>317.37664600148253</c:v>
                </c:pt>
                <c:pt idx="35">
                  <c:v>318.10880032685088</c:v>
                </c:pt>
                <c:pt idx="36">
                  <c:v>319.63937218298344</c:v>
                </c:pt>
                <c:pt idx="37">
                  <c:v>320.30326711984992</c:v>
                </c:pt>
                <c:pt idx="38">
                  <c:v>320.51649768963199</c:v>
                </c:pt>
                <c:pt idx="39">
                  <c:v>321.8109316703185</c:v>
                </c:pt>
                <c:pt idx="40">
                  <c:v>322.6827452214132</c:v>
                </c:pt>
                <c:pt idx="41">
                  <c:v>322.80423003574475</c:v>
                </c:pt>
                <c:pt idx="42">
                  <c:v>324.36284945016433</c:v>
                </c:pt>
                <c:pt idx="43">
                  <c:v>325.37083765668217</c:v>
                </c:pt>
                <c:pt idx="44">
                  <c:v>325.55917687568655</c:v>
                </c:pt>
                <c:pt idx="45">
                  <c:v>326.39878004857621</c:v>
                </c:pt>
                <c:pt idx="46">
                  <c:v>327.12654707399577</c:v>
                </c:pt>
                <c:pt idx="47">
                  <c:v>327.49410326257566</c:v>
                </c:pt>
                <c:pt idx="48">
                  <c:v>327.94038672182165</c:v>
                </c:pt>
                <c:pt idx="49">
                  <c:v>328.95166384303832</c:v>
                </c:pt>
                <c:pt idx="50">
                  <c:v>329.12971059516741</c:v>
                </c:pt>
                <c:pt idx="51">
                  <c:v>329.47405381123224</c:v>
                </c:pt>
                <c:pt idx="52">
                  <c:v>331.22218223135013</c:v>
                </c:pt>
                <c:pt idx="53">
                  <c:v>333.08843903278881</c:v>
                </c:pt>
                <c:pt idx="54">
                  <c:v>333.32257093994201</c:v>
                </c:pt>
                <c:pt idx="55">
                  <c:v>333.62974711691282</c:v>
                </c:pt>
                <c:pt idx="56">
                  <c:v>337.72411492696403</c:v>
                </c:pt>
                <c:pt idx="57">
                  <c:v>337.73319057370793</c:v>
                </c:pt>
                <c:pt idx="58">
                  <c:v>337.89497514177606</c:v>
                </c:pt>
                <c:pt idx="59">
                  <c:v>338.34971629391828</c:v>
                </c:pt>
                <c:pt idx="60">
                  <c:v>338.94995826214989</c:v>
                </c:pt>
                <c:pt idx="61">
                  <c:v>339.13424096410716</c:v>
                </c:pt>
                <c:pt idx="62">
                  <c:v>339.71030331459144</c:v>
                </c:pt>
                <c:pt idx="63">
                  <c:v>340.04641653586765</c:v>
                </c:pt>
                <c:pt idx="64">
                  <c:v>342.91271938376968</c:v>
                </c:pt>
                <c:pt idx="65">
                  <c:v>343.92436029717953</c:v>
                </c:pt>
                <c:pt idx="66">
                  <c:v>344.036616180664</c:v>
                </c:pt>
                <c:pt idx="67">
                  <c:v>345.74171871790088</c:v>
                </c:pt>
                <c:pt idx="68">
                  <c:v>346.82329431007804</c:v>
                </c:pt>
                <c:pt idx="69">
                  <c:v>347.87328223264205</c:v>
                </c:pt>
                <c:pt idx="70">
                  <c:v>348.13554181257962</c:v>
                </c:pt>
                <c:pt idx="71">
                  <c:v>350.96401911831106</c:v>
                </c:pt>
                <c:pt idx="72">
                  <c:v>351.40057481639792</c:v>
                </c:pt>
                <c:pt idx="73">
                  <c:v>351.5984187126694</c:v>
                </c:pt>
                <c:pt idx="74">
                  <c:v>352.98317573930558</c:v>
                </c:pt>
                <c:pt idx="75">
                  <c:v>354.48878250826527</c:v>
                </c:pt>
                <c:pt idx="76">
                  <c:v>357.20998472174483</c:v>
                </c:pt>
                <c:pt idx="77">
                  <c:v>357.23786355071496</c:v>
                </c:pt>
                <c:pt idx="78">
                  <c:v>358.74350964656412</c:v>
                </c:pt>
                <c:pt idx="79">
                  <c:v>360.85025647807811</c:v>
                </c:pt>
                <c:pt idx="80">
                  <c:v>361.10403185453026</c:v>
                </c:pt>
                <c:pt idx="81">
                  <c:v>361.27746338157783</c:v>
                </c:pt>
                <c:pt idx="82">
                  <c:v>361.45709263939597</c:v>
                </c:pt>
                <c:pt idx="83">
                  <c:v>361.48988694722084</c:v>
                </c:pt>
                <c:pt idx="84">
                  <c:v>363.8276293146946</c:v>
                </c:pt>
                <c:pt idx="85">
                  <c:v>365.68171197715435</c:v>
                </c:pt>
                <c:pt idx="86">
                  <c:v>366.14781437996965</c:v>
                </c:pt>
                <c:pt idx="87">
                  <c:v>368.92571736356456</c:v>
                </c:pt>
                <c:pt idx="88">
                  <c:v>371.33545674899597</c:v>
                </c:pt>
                <c:pt idx="89">
                  <c:v>372.81710879383024</c:v>
                </c:pt>
                <c:pt idx="90">
                  <c:v>373.20680725928003</c:v>
                </c:pt>
                <c:pt idx="91">
                  <c:v>374.4654857726502</c:v>
                </c:pt>
                <c:pt idx="92">
                  <c:v>379.73653069138498</c:v>
                </c:pt>
                <c:pt idx="93">
                  <c:v>381.80320126653726</c:v>
                </c:pt>
                <c:pt idx="94">
                  <c:v>383.30117558217978</c:v>
                </c:pt>
                <c:pt idx="95">
                  <c:v>385.26544387803074</c:v>
                </c:pt>
                <c:pt idx="96">
                  <c:v>385.56090467476321</c:v>
                </c:pt>
                <c:pt idx="97">
                  <c:v>396.05092323109045</c:v>
                </c:pt>
                <c:pt idx="98">
                  <c:v>399.59967918716336</c:v>
                </c:pt>
                <c:pt idx="99">
                  <c:v>408.37453768072669</c:v>
                </c:pt>
              </c:numCache>
            </c:numRef>
          </c:xVal>
          <c:yVal>
            <c:numRef>
              <c:f>SimData1!$T$6:$T$105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SimData1!$U$5</c:f>
              <c:strCache>
                <c:ptCount val="1"/>
                <c:pt idx="0">
                  <c:v>Average Profit: 1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SimData1!$U$6:$U$105</c:f>
              <c:numCache>
                <c:formatCode>General</c:formatCode>
                <c:ptCount val="100"/>
                <c:pt idx="0">
                  <c:v>261.51305841655005</c:v>
                </c:pt>
                <c:pt idx="1">
                  <c:v>318.0656937675036</c:v>
                </c:pt>
                <c:pt idx="2">
                  <c:v>319.79424304216991</c:v>
                </c:pt>
                <c:pt idx="3">
                  <c:v>322.96441732800793</c:v>
                </c:pt>
                <c:pt idx="4">
                  <c:v>323.00379860335204</c:v>
                </c:pt>
                <c:pt idx="5">
                  <c:v>323.13899273982827</c:v>
                </c:pt>
                <c:pt idx="6">
                  <c:v>326.86161834435831</c:v>
                </c:pt>
                <c:pt idx="7">
                  <c:v>327.29784046339864</c:v>
                </c:pt>
                <c:pt idx="8">
                  <c:v>327.90205976338001</c:v>
                </c:pt>
                <c:pt idx="9">
                  <c:v>328.05031743883308</c:v>
                </c:pt>
                <c:pt idx="10">
                  <c:v>328.31993660258712</c:v>
                </c:pt>
                <c:pt idx="11">
                  <c:v>328.41564325801892</c:v>
                </c:pt>
                <c:pt idx="12">
                  <c:v>328.52063105407325</c:v>
                </c:pt>
                <c:pt idx="13">
                  <c:v>328.61458784992857</c:v>
                </c:pt>
                <c:pt idx="14">
                  <c:v>332.10741005090233</c:v>
                </c:pt>
                <c:pt idx="15">
                  <c:v>332.92590493781273</c:v>
                </c:pt>
                <c:pt idx="16">
                  <c:v>334.38525907281127</c:v>
                </c:pt>
                <c:pt idx="17">
                  <c:v>335.32493749016447</c:v>
                </c:pt>
                <c:pt idx="18">
                  <c:v>336.79514153736625</c:v>
                </c:pt>
                <c:pt idx="19">
                  <c:v>337.59196850300583</c:v>
                </c:pt>
                <c:pt idx="20">
                  <c:v>338.30456467903298</c:v>
                </c:pt>
                <c:pt idx="21">
                  <c:v>338.43103516043618</c:v>
                </c:pt>
                <c:pt idx="22">
                  <c:v>338.61680817748771</c:v>
                </c:pt>
                <c:pt idx="23">
                  <c:v>338.72977057487196</c:v>
                </c:pt>
                <c:pt idx="24">
                  <c:v>339.31947860219771</c:v>
                </c:pt>
                <c:pt idx="25">
                  <c:v>340.07626019153889</c:v>
                </c:pt>
                <c:pt idx="26">
                  <c:v>340.07737461578233</c:v>
                </c:pt>
                <c:pt idx="27">
                  <c:v>340.88914672292179</c:v>
                </c:pt>
                <c:pt idx="28">
                  <c:v>340.89834910938742</c:v>
                </c:pt>
                <c:pt idx="29">
                  <c:v>341.13003040661528</c:v>
                </c:pt>
                <c:pt idx="30">
                  <c:v>341.22891024883398</c:v>
                </c:pt>
                <c:pt idx="31">
                  <c:v>341.2739699796216</c:v>
                </c:pt>
                <c:pt idx="32">
                  <c:v>341.68070313644233</c:v>
                </c:pt>
                <c:pt idx="33">
                  <c:v>341.78466059610616</c:v>
                </c:pt>
                <c:pt idx="34">
                  <c:v>341.80887006690688</c:v>
                </c:pt>
                <c:pt idx="35">
                  <c:v>344.23356139135967</c:v>
                </c:pt>
                <c:pt idx="36">
                  <c:v>344.88974198483174</c:v>
                </c:pt>
                <c:pt idx="37">
                  <c:v>344.93533126814469</c:v>
                </c:pt>
                <c:pt idx="38">
                  <c:v>345.15862568892214</c:v>
                </c:pt>
                <c:pt idx="39">
                  <c:v>346.14348015177063</c:v>
                </c:pt>
                <c:pt idx="40">
                  <c:v>347.16053830530336</c:v>
                </c:pt>
                <c:pt idx="41">
                  <c:v>347.16198393196544</c:v>
                </c:pt>
                <c:pt idx="42">
                  <c:v>347.6975031247033</c:v>
                </c:pt>
                <c:pt idx="43">
                  <c:v>347.79766581002815</c:v>
                </c:pt>
                <c:pt idx="44">
                  <c:v>347.81496725482987</c:v>
                </c:pt>
                <c:pt idx="45">
                  <c:v>348.78997363656725</c:v>
                </c:pt>
                <c:pt idx="46">
                  <c:v>348.85955272681144</c:v>
                </c:pt>
                <c:pt idx="47">
                  <c:v>349.19377278618322</c:v>
                </c:pt>
                <c:pt idx="48">
                  <c:v>350.5090434053489</c:v>
                </c:pt>
                <c:pt idx="49">
                  <c:v>352.25101005169165</c:v>
                </c:pt>
                <c:pt idx="50">
                  <c:v>352.41267249646319</c:v>
                </c:pt>
                <c:pt idx="51">
                  <c:v>353.65059705102368</c:v>
                </c:pt>
                <c:pt idx="52">
                  <c:v>353.89058308797337</c:v>
                </c:pt>
                <c:pt idx="53">
                  <c:v>354.15777811820243</c:v>
                </c:pt>
                <c:pt idx="54">
                  <c:v>354.30276324800445</c:v>
                </c:pt>
                <c:pt idx="55">
                  <c:v>354.41907532719563</c:v>
                </c:pt>
                <c:pt idx="56">
                  <c:v>354.46970226545216</c:v>
                </c:pt>
                <c:pt idx="57">
                  <c:v>355.43644145527674</c:v>
                </c:pt>
                <c:pt idx="58">
                  <c:v>355.62567518497423</c:v>
                </c:pt>
                <c:pt idx="59">
                  <c:v>355.84710405715333</c:v>
                </c:pt>
                <c:pt idx="60">
                  <c:v>357.96134333968928</c:v>
                </c:pt>
                <c:pt idx="61">
                  <c:v>359.19728367261541</c:v>
                </c:pt>
                <c:pt idx="62">
                  <c:v>359.45807438318269</c:v>
                </c:pt>
                <c:pt idx="63">
                  <c:v>359.54505071773542</c:v>
                </c:pt>
                <c:pt idx="64">
                  <c:v>360.36696560426259</c:v>
                </c:pt>
                <c:pt idx="65">
                  <c:v>360.52339383233539</c:v>
                </c:pt>
                <c:pt idx="66">
                  <c:v>361.15001777006881</c:v>
                </c:pt>
                <c:pt idx="67">
                  <c:v>362.02316017090249</c:v>
                </c:pt>
                <c:pt idx="68">
                  <c:v>362.13978897543979</c:v>
                </c:pt>
                <c:pt idx="69">
                  <c:v>362.61168054219297</c:v>
                </c:pt>
                <c:pt idx="70">
                  <c:v>362.74667149611173</c:v>
                </c:pt>
                <c:pt idx="71">
                  <c:v>363.16698557488422</c:v>
                </c:pt>
                <c:pt idx="72">
                  <c:v>363.27214705849366</c:v>
                </c:pt>
                <c:pt idx="73">
                  <c:v>363.40856575271692</c:v>
                </c:pt>
                <c:pt idx="74">
                  <c:v>364.75977365043605</c:v>
                </c:pt>
                <c:pt idx="75">
                  <c:v>368.24051557225903</c:v>
                </c:pt>
                <c:pt idx="76">
                  <c:v>368.7413939752488</c:v>
                </c:pt>
                <c:pt idx="77">
                  <c:v>368.7595618210575</c:v>
                </c:pt>
                <c:pt idx="78">
                  <c:v>370.0534735395342</c:v>
                </c:pt>
                <c:pt idx="79">
                  <c:v>370.94222554858038</c:v>
                </c:pt>
                <c:pt idx="80">
                  <c:v>371.25282600978016</c:v>
                </c:pt>
                <c:pt idx="81">
                  <c:v>371.34867379491601</c:v>
                </c:pt>
                <c:pt idx="82">
                  <c:v>371.64362798778916</c:v>
                </c:pt>
                <c:pt idx="83">
                  <c:v>373.4978728117926</c:v>
                </c:pt>
                <c:pt idx="84">
                  <c:v>374.57637298960231</c:v>
                </c:pt>
                <c:pt idx="85">
                  <c:v>374.62763292916037</c:v>
                </c:pt>
                <c:pt idx="86">
                  <c:v>374.92094130565584</c:v>
                </c:pt>
                <c:pt idx="87">
                  <c:v>377.66506935874042</c:v>
                </c:pt>
                <c:pt idx="88">
                  <c:v>378.56139723621999</c:v>
                </c:pt>
                <c:pt idx="89">
                  <c:v>379.17238996586377</c:v>
                </c:pt>
                <c:pt idx="90">
                  <c:v>379.62981164002059</c:v>
                </c:pt>
                <c:pt idx="91">
                  <c:v>382.24964679967673</c:v>
                </c:pt>
                <c:pt idx="92">
                  <c:v>386.22117914756183</c:v>
                </c:pt>
                <c:pt idx="93">
                  <c:v>388.89101387191215</c:v>
                </c:pt>
                <c:pt idx="94">
                  <c:v>392.99391930269684</c:v>
                </c:pt>
                <c:pt idx="95">
                  <c:v>415.27832126124213</c:v>
                </c:pt>
                <c:pt idx="96">
                  <c:v>416.18282632003292</c:v>
                </c:pt>
                <c:pt idx="97">
                  <c:v>420.62394376008888</c:v>
                </c:pt>
                <c:pt idx="98">
                  <c:v>433.64784302560957</c:v>
                </c:pt>
                <c:pt idx="99">
                  <c:v>449.42580660997282</c:v>
                </c:pt>
              </c:numCache>
            </c:numRef>
          </c:xVal>
          <c:yVal>
            <c:numRef>
              <c:f>SimData1!$V$6:$V$105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SimData1!$W$5</c:f>
              <c:strCache>
                <c:ptCount val="1"/>
                <c:pt idx="0">
                  <c:v>Average Profit: 2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SimData1!$W$6:$W$105</c:f>
              <c:numCache>
                <c:formatCode>General</c:formatCode>
                <c:ptCount val="100"/>
                <c:pt idx="0">
                  <c:v>277.06983265950225</c:v>
                </c:pt>
                <c:pt idx="1">
                  <c:v>291.11481607230087</c:v>
                </c:pt>
                <c:pt idx="2">
                  <c:v>295.25604360099061</c:v>
                </c:pt>
                <c:pt idx="3">
                  <c:v>302.89078601913076</c:v>
                </c:pt>
                <c:pt idx="4">
                  <c:v>313.89249472061243</c:v>
                </c:pt>
                <c:pt idx="5">
                  <c:v>314.95582683068631</c:v>
                </c:pt>
                <c:pt idx="6">
                  <c:v>318.0656937675036</c:v>
                </c:pt>
                <c:pt idx="7">
                  <c:v>321.34045181237832</c:v>
                </c:pt>
                <c:pt idx="8">
                  <c:v>323.00379860335204</c:v>
                </c:pt>
                <c:pt idx="9">
                  <c:v>323.13899273982827</c:v>
                </c:pt>
                <c:pt idx="10">
                  <c:v>326.86161834435831</c:v>
                </c:pt>
                <c:pt idx="11">
                  <c:v>327.69669670491515</c:v>
                </c:pt>
                <c:pt idx="12">
                  <c:v>328.05031743883308</c:v>
                </c:pt>
                <c:pt idx="13">
                  <c:v>328.52063105407325</c:v>
                </c:pt>
                <c:pt idx="14">
                  <c:v>334.089407253118</c:v>
                </c:pt>
                <c:pt idx="15">
                  <c:v>334.38525907281127</c:v>
                </c:pt>
                <c:pt idx="16">
                  <c:v>336.19903790024262</c:v>
                </c:pt>
                <c:pt idx="17">
                  <c:v>336.79514153736625</c:v>
                </c:pt>
                <c:pt idx="18">
                  <c:v>338.30456467903298</c:v>
                </c:pt>
                <c:pt idx="19">
                  <c:v>338.43103516043618</c:v>
                </c:pt>
                <c:pt idx="20">
                  <c:v>339.31947860219771</c:v>
                </c:pt>
                <c:pt idx="21">
                  <c:v>340.07626019153889</c:v>
                </c:pt>
                <c:pt idx="22">
                  <c:v>340.89834910938742</c:v>
                </c:pt>
                <c:pt idx="23">
                  <c:v>341.22891024883398</c:v>
                </c:pt>
                <c:pt idx="24">
                  <c:v>341.2739699796216</c:v>
                </c:pt>
                <c:pt idx="25">
                  <c:v>341.68070313644233</c:v>
                </c:pt>
                <c:pt idx="26">
                  <c:v>343.17932183626982</c:v>
                </c:pt>
                <c:pt idx="27">
                  <c:v>344.23356139135967</c:v>
                </c:pt>
                <c:pt idx="28">
                  <c:v>344.93533126814469</c:v>
                </c:pt>
                <c:pt idx="29">
                  <c:v>346.08451306120708</c:v>
                </c:pt>
                <c:pt idx="30">
                  <c:v>347.09338083350468</c:v>
                </c:pt>
                <c:pt idx="31">
                  <c:v>347.16053830530336</c:v>
                </c:pt>
                <c:pt idx="32">
                  <c:v>347.16198393196544</c:v>
                </c:pt>
                <c:pt idx="33">
                  <c:v>347.37068347328665</c:v>
                </c:pt>
                <c:pt idx="34">
                  <c:v>347.44186426872267</c:v>
                </c:pt>
                <c:pt idx="35">
                  <c:v>347.81496725482987</c:v>
                </c:pt>
                <c:pt idx="36">
                  <c:v>348.85955272681144</c:v>
                </c:pt>
                <c:pt idx="37">
                  <c:v>349.19377278618322</c:v>
                </c:pt>
                <c:pt idx="38">
                  <c:v>350.1306824022713</c:v>
                </c:pt>
                <c:pt idx="39">
                  <c:v>350.5090434053489</c:v>
                </c:pt>
                <c:pt idx="40">
                  <c:v>352.25101005169165</c:v>
                </c:pt>
                <c:pt idx="41">
                  <c:v>353.67155397804333</c:v>
                </c:pt>
                <c:pt idx="42">
                  <c:v>353.89058308797337</c:v>
                </c:pt>
                <c:pt idx="43">
                  <c:v>354.41907532719563</c:v>
                </c:pt>
                <c:pt idx="44">
                  <c:v>354.46970226545216</c:v>
                </c:pt>
                <c:pt idx="45">
                  <c:v>355.43644145527674</c:v>
                </c:pt>
                <c:pt idx="46">
                  <c:v>355.62567518497423</c:v>
                </c:pt>
                <c:pt idx="47">
                  <c:v>355.84710405715333</c:v>
                </c:pt>
                <c:pt idx="48">
                  <c:v>356.89091822685003</c:v>
                </c:pt>
                <c:pt idx="49">
                  <c:v>357.14878121789627</c:v>
                </c:pt>
                <c:pt idx="50">
                  <c:v>357.96134333968928</c:v>
                </c:pt>
                <c:pt idx="51">
                  <c:v>358.74350964656412</c:v>
                </c:pt>
                <c:pt idx="52">
                  <c:v>359.54505071773542</c:v>
                </c:pt>
                <c:pt idx="53">
                  <c:v>360.52339383233539</c:v>
                </c:pt>
                <c:pt idx="54">
                  <c:v>360.85025647807811</c:v>
                </c:pt>
                <c:pt idx="55">
                  <c:v>362.02316017090249</c:v>
                </c:pt>
                <c:pt idx="56">
                  <c:v>362.74667149611173</c:v>
                </c:pt>
                <c:pt idx="57">
                  <c:v>363.27214705849366</c:v>
                </c:pt>
                <c:pt idx="58">
                  <c:v>363.40856575271692</c:v>
                </c:pt>
                <c:pt idx="59">
                  <c:v>373.4978728117926</c:v>
                </c:pt>
                <c:pt idx="60">
                  <c:v>375.08259859782657</c:v>
                </c:pt>
                <c:pt idx="61">
                  <c:v>375.39938897606095</c:v>
                </c:pt>
                <c:pt idx="62">
                  <c:v>375.89968813023586</c:v>
                </c:pt>
                <c:pt idx="63">
                  <c:v>377.15204098903735</c:v>
                </c:pt>
                <c:pt idx="64">
                  <c:v>377.1866173207315</c:v>
                </c:pt>
                <c:pt idx="65">
                  <c:v>379.02209422995526</c:v>
                </c:pt>
                <c:pt idx="66">
                  <c:v>379.15957078632306</c:v>
                </c:pt>
                <c:pt idx="67">
                  <c:v>382.32751499310496</c:v>
                </c:pt>
                <c:pt idx="68">
                  <c:v>383.29545574681822</c:v>
                </c:pt>
                <c:pt idx="69">
                  <c:v>385.03797245420066</c:v>
                </c:pt>
                <c:pt idx="70">
                  <c:v>391.19133140430051</c:v>
                </c:pt>
                <c:pt idx="71">
                  <c:v>395.55505213663076</c:v>
                </c:pt>
                <c:pt idx="72">
                  <c:v>400.19426231845398</c:v>
                </c:pt>
                <c:pt idx="73">
                  <c:v>402.07452056848376</c:v>
                </c:pt>
                <c:pt idx="74">
                  <c:v>402.70797406733175</c:v>
                </c:pt>
                <c:pt idx="75">
                  <c:v>403.9238616024694</c:v>
                </c:pt>
                <c:pt idx="76">
                  <c:v>406.8289713272826</c:v>
                </c:pt>
                <c:pt idx="77">
                  <c:v>408.68260089650539</c:v>
                </c:pt>
                <c:pt idx="78">
                  <c:v>411.02848973329935</c:v>
                </c:pt>
                <c:pt idx="79">
                  <c:v>412.79137095256544</c:v>
                </c:pt>
                <c:pt idx="80">
                  <c:v>414.55028141692617</c:v>
                </c:pt>
                <c:pt idx="81">
                  <c:v>415.27832126124213</c:v>
                </c:pt>
                <c:pt idx="82">
                  <c:v>420.62394376008888</c:v>
                </c:pt>
                <c:pt idx="83">
                  <c:v>420.82506024900277</c:v>
                </c:pt>
                <c:pt idx="84">
                  <c:v>421.19938732780008</c:v>
                </c:pt>
                <c:pt idx="85">
                  <c:v>421.56669171684717</c:v>
                </c:pt>
                <c:pt idx="86">
                  <c:v>426.08982255748896</c:v>
                </c:pt>
                <c:pt idx="87">
                  <c:v>426.27780085152961</c:v>
                </c:pt>
                <c:pt idx="88">
                  <c:v>426.78090691962024</c:v>
                </c:pt>
                <c:pt idx="89">
                  <c:v>429.45206628749537</c:v>
                </c:pt>
                <c:pt idx="90">
                  <c:v>433.64784302560957</c:v>
                </c:pt>
                <c:pt idx="91">
                  <c:v>435.85280647014332</c:v>
                </c:pt>
                <c:pt idx="92">
                  <c:v>435.90955056450122</c:v>
                </c:pt>
                <c:pt idx="93">
                  <c:v>436.59196829269041</c:v>
                </c:pt>
                <c:pt idx="94">
                  <c:v>438.61178352250465</c:v>
                </c:pt>
                <c:pt idx="95">
                  <c:v>439.54535012351454</c:v>
                </c:pt>
                <c:pt idx="96">
                  <c:v>441.16834138265642</c:v>
                </c:pt>
                <c:pt idx="97">
                  <c:v>445.87054028492867</c:v>
                </c:pt>
                <c:pt idx="98">
                  <c:v>446.73824216074047</c:v>
                </c:pt>
                <c:pt idx="99">
                  <c:v>449.42580660997282</c:v>
                </c:pt>
              </c:numCache>
            </c:numRef>
          </c:xVal>
          <c:yVal>
            <c:numRef>
              <c:f>SimData1!$X$6:$X$105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SimData1!$Y$5</c:f>
              <c:strCache>
                <c:ptCount val="1"/>
                <c:pt idx="0">
                  <c:v>Average Profit: 3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SimData1!$Y$6:$Y$105</c:f>
              <c:numCache>
                <c:formatCode>General</c:formatCode>
                <c:ptCount val="100"/>
                <c:pt idx="0">
                  <c:v>263.79941861118607</c:v>
                </c:pt>
                <c:pt idx="1">
                  <c:v>281.9424582448803</c:v>
                </c:pt>
                <c:pt idx="2">
                  <c:v>292.50331864597871</c:v>
                </c:pt>
                <c:pt idx="3">
                  <c:v>295.25604360099061</c:v>
                </c:pt>
                <c:pt idx="4">
                  <c:v>298.41153815245417</c:v>
                </c:pt>
                <c:pt idx="5">
                  <c:v>303.94209145709368</c:v>
                </c:pt>
                <c:pt idx="6">
                  <c:v>310.5949671300707</c:v>
                </c:pt>
                <c:pt idx="7">
                  <c:v>313.01107060149968</c:v>
                </c:pt>
                <c:pt idx="8">
                  <c:v>313.45556079653613</c:v>
                </c:pt>
                <c:pt idx="9">
                  <c:v>315.13427200066639</c:v>
                </c:pt>
                <c:pt idx="10">
                  <c:v>317.37664600148253</c:v>
                </c:pt>
                <c:pt idx="11">
                  <c:v>318.10880032685088</c:v>
                </c:pt>
                <c:pt idx="12">
                  <c:v>319.24102980217469</c:v>
                </c:pt>
                <c:pt idx="13">
                  <c:v>320.25481189477586</c:v>
                </c:pt>
                <c:pt idx="14">
                  <c:v>322.6827452214132</c:v>
                </c:pt>
                <c:pt idx="15">
                  <c:v>324.36284945016433</c:v>
                </c:pt>
                <c:pt idx="16">
                  <c:v>325.33706416977839</c:v>
                </c:pt>
                <c:pt idx="17">
                  <c:v>326.39878004857621</c:v>
                </c:pt>
                <c:pt idx="18">
                  <c:v>327.69669670491515</c:v>
                </c:pt>
                <c:pt idx="19">
                  <c:v>329.47405381123224</c:v>
                </c:pt>
                <c:pt idx="20">
                  <c:v>331.01257337254088</c:v>
                </c:pt>
                <c:pt idx="21">
                  <c:v>335.57474436778176</c:v>
                </c:pt>
                <c:pt idx="22">
                  <c:v>337.60175999280739</c:v>
                </c:pt>
                <c:pt idx="23">
                  <c:v>337.85600105429666</c:v>
                </c:pt>
                <c:pt idx="24">
                  <c:v>339.13424096410716</c:v>
                </c:pt>
                <c:pt idx="25">
                  <c:v>339.71030331459144</c:v>
                </c:pt>
                <c:pt idx="26">
                  <c:v>340.04641653586765</c:v>
                </c:pt>
                <c:pt idx="27">
                  <c:v>340.25037895234505</c:v>
                </c:pt>
                <c:pt idx="28">
                  <c:v>341.0462508450907</c:v>
                </c:pt>
                <c:pt idx="29">
                  <c:v>342.91271938376968</c:v>
                </c:pt>
                <c:pt idx="30">
                  <c:v>345.74171871790088</c:v>
                </c:pt>
                <c:pt idx="31">
                  <c:v>346.73756480080431</c:v>
                </c:pt>
                <c:pt idx="32">
                  <c:v>346.82329431007804</c:v>
                </c:pt>
                <c:pt idx="33">
                  <c:v>347.44186426872267</c:v>
                </c:pt>
                <c:pt idx="34">
                  <c:v>348.13554181257962</c:v>
                </c:pt>
                <c:pt idx="35">
                  <c:v>348.85955272681144</c:v>
                </c:pt>
                <c:pt idx="36">
                  <c:v>350.4392851699082</c:v>
                </c:pt>
                <c:pt idx="37">
                  <c:v>350.5090434053489</c:v>
                </c:pt>
                <c:pt idx="38">
                  <c:v>350.96401911831106</c:v>
                </c:pt>
                <c:pt idx="39">
                  <c:v>352.18792747859555</c:v>
                </c:pt>
                <c:pt idx="40">
                  <c:v>352.98317573930558</c:v>
                </c:pt>
                <c:pt idx="41">
                  <c:v>353.67155397804333</c:v>
                </c:pt>
                <c:pt idx="42">
                  <c:v>353.85392949588243</c:v>
                </c:pt>
                <c:pt idx="43">
                  <c:v>354.44253433191147</c:v>
                </c:pt>
                <c:pt idx="44">
                  <c:v>356.30482369739627</c:v>
                </c:pt>
                <c:pt idx="45">
                  <c:v>357.14878121789627</c:v>
                </c:pt>
                <c:pt idx="46">
                  <c:v>357.20998472174483</c:v>
                </c:pt>
                <c:pt idx="47">
                  <c:v>358.27595226792948</c:v>
                </c:pt>
                <c:pt idx="48">
                  <c:v>358.74350964656412</c:v>
                </c:pt>
                <c:pt idx="49">
                  <c:v>359.93172061083339</c:v>
                </c:pt>
                <c:pt idx="50">
                  <c:v>360.85025647807811</c:v>
                </c:pt>
                <c:pt idx="51">
                  <c:v>361.10403185453026</c:v>
                </c:pt>
                <c:pt idx="52">
                  <c:v>361.27746338157783</c:v>
                </c:pt>
                <c:pt idx="53">
                  <c:v>361.41358938254803</c:v>
                </c:pt>
                <c:pt idx="54">
                  <c:v>361.45709263939597</c:v>
                </c:pt>
                <c:pt idx="55">
                  <c:v>361.48988694722084</c:v>
                </c:pt>
                <c:pt idx="56">
                  <c:v>362.7521701953134</c:v>
                </c:pt>
                <c:pt idx="57">
                  <c:v>364.38194959960668</c:v>
                </c:pt>
                <c:pt idx="58">
                  <c:v>365.68171197715435</c:v>
                </c:pt>
                <c:pt idx="59">
                  <c:v>366.89103158719018</c:v>
                </c:pt>
                <c:pt idx="60">
                  <c:v>367.44385906691519</c:v>
                </c:pt>
                <c:pt idx="61">
                  <c:v>367.80624154238535</c:v>
                </c:pt>
                <c:pt idx="62">
                  <c:v>368.92571736356456</c:v>
                </c:pt>
                <c:pt idx="63">
                  <c:v>371.33545674899597</c:v>
                </c:pt>
                <c:pt idx="64">
                  <c:v>372.81710879383024</c:v>
                </c:pt>
                <c:pt idx="65">
                  <c:v>373.09889352121957</c:v>
                </c:pt>
                <c:pt idx="66">
                  <c:v>373.20680725928003</c:v>
                </c:pt>
                <c:pt idx="67">
                  <c:v>374.45604493888658</c:v>
                </c:pt>
                <c:pt idx="68">
                  <c:v>374.4654857726502</c:v>
                </c:pt>
                <c:pt idx="69">
                  <c:v>375.39938897606095</c:v>
                </c:pt>
                <c:pt idx="70">
                  <c:v>375.89968813023586</c:v>
                </c:pt>
                <c:pt idx="71">
                  <c:v>377.1866173207315</c:v>
                </c:pt>
                <c:pt idx="72">
                  <c:v>378.03705309048667</c:v>
                </c:pt>
                <c:pt idx="73">
                  <c:v>378.41617530270213</c:v>
                </c:pt>
                <c:pt idx="74">
                  <c:v>379.73653069138498</c:v>
                </c:pt>
                <c:pt idx="75">
                  <c:v>381.80320126653726</c:v>
                </c:pt>
                <c:pt idx="76">
                  <c:v>382.32751499310496</c:v>
                </c:pt>
                <c:pt idx="77">
                  <c:v>383.30117558217978</c:v>
                </c:pt>
                <c:pt idx="78">
                  <c:v>385.26544387803074</c:v>
                </c:pt>
                <c:pt idx="79">
                  <c:v>385.56090467476321</c:v>
                </c:pt>
                <c:pt idx="80">
                  <c:v>385.7039764908219</c:v>
                </c:pt>
                <c:pt idx="81">
                  <c:v>391.66855164215485</c:v>
                </c:pt>
                <c:pt idx="82">
                  <c:v>395.38532861138145</c:v>
                </c:pt>
                <c:pt idx="83">
                  <c:v>396.38865837867945</c:v>
                </c:pt>
                <c:pt idx="84">
                  <c:v>399.59967918716336</c:v>
                </c:pt>
                <c:pt idx="85">
                  <c:v>402.07452056848376</c:v>
                </c:pt>
                <c:pt idx="86">
                  <c:v>402.31466353132589</c:v>
                </c:pt>
                <c:pt idx="87">
                  <c:v>402.94734766100254</c:v>
                </c:pt>
                <c:pt idx="88">
                  <c:v>404.8864367325711</c:v>
                </c:pt>
                <c:pt idx="89">
                  <c:v>406.8289713272826</c:v>
                </c:pt>
                <c:pt idx="90">
                  <c:v>407.26735473279069</c:v>
                </c:pt>
                <c:pt idx="91">
                  <c:v>408.55781194363425</c:v>
                </c:pt>
                <c:pt idx="92">
                  <c:v>408.68260089650539</c:v>
                </c:pt>
                <c:pt idx="93">
                  <c:v>410.10856987967162</c:v>
                </c:pt>
                <c:pt idx="94">
                  <c:v>416.56657465120043</c:v>
                </c:pt>
                <c:pt idx="95">
                  <c:v>420.62394376008888</c:v>
                </c:pt>
                <c:pt idx="96">
                  <c:v>420.82506024900277</c:v>
                </c:pt>
                <c:pt idx="97">
                  <c:v>426.78090691962024</c:v>
                </c:pt>
                <c:pt idx="98">
                  <c:v>433.64784302560957</c:v>
                </c:pt>
                <c:pt idx="99">
                  <c:v>446.73824216074047</c:v>
                </c:pt>
              </c:numCache>
            </c:numRef>
          </c:xVal>
          <c:yVal>
            <c:numRef>
              <c:f>SimData1!$Z$6:$Z$105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SimData1!$AA$5</c:f>
              <c:strCache>
                <c:ptCount val="1"/>
                <c:pt idx="0">
                  <c:v>Average Profit: 4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SimData1!$AA$6:$AA$105</c:f>
              <c:numCache>
                <c:formatCode>General</c:formatCode>
                <c:ptCount val="100"/>
                <c:pt idx="0">
                  <c:v>239.08063213591839</c:v>
                </c:pt>
                <c:pt idx="1">
                  <c:v>254.96722703581037</c:v>
                </c:pt>
                <c:pt idx="2">
                  <c:v>257.7028704157425</c:v>
                </c:pt>
                <c:pt idx="3">
                  <c:v>259.70559539304429</c:v>
                </c:pt>
                <c:pt idx="4">
                  <c:v>263.79941861118607</c:v>
                </c:pt>
                <c:pt idx="5">
                  <c:v>265.66410994114824</c:v>
                </c:pt>
                <c:pt idx="6">
                  <c:v>271.09756882774445</c:v>
                </c:pt>
                <c:pt idx="7">
                  <c:v>272.05192698454374</c:v>
                </c:pt>
                <c:pt idx="8">
                  <c:v>278.08001512941604</c:v>
                </c:pt>
                <c:pt idx="9">
                  <c:v>281.9424582448803</c:v>
                </c:pt>
                <c:pt idx="10">
                  <c:v>282.58727338484761</c:v>
                </c:pt>
                <c:pt idx="11">
                  <c:v>283.66282076939103</c:v>
                </c:pt>
                <c:pt idx="12">
                  <c:v>288.59029111010511</c:v>
                </c:pt>
                <c:pt idx="13">
                  <c:v>289.95469013588735</c:v>
                </c:pt>
                <c:pt idx="14">
                  <c:v>290.04715862208656</c:v>
                </c:pt>
                <c:pt idx="15">
                  <c:v>292.50331864597871</c:v>
                </c:pt>
                <c:pt idx="16">
                  <c:v>292.86299785303834</c:v>
                </c:pt>
                <c:pt idx="17">
                  <c:v>294.2909922486769</c:v>
                </c:pt>
                <c:pt idx="18">
                  <c:v>301.16695384756616</c:v>
                </c:pt>
                <c:pt idx="19">
                  <c:v>303.94209145709368</c:v>
                </c:pt>
                <c:pt idx="20">
                  <c:v>303.96283637328304</c:v>
                </c:pt>
                <c:pt idx="21">
                  <c:v>305.9863461695856</c:v>
                </c:pt>
                <c:pt idx="22">
                  <c:v>307.16087074958551</c:v>
                </c:pt>
                <c:pt idx="23">
                  <c:v>308.85747849079428</c:v>
                </c:pt>
                <c:pt idx="24">
                  <c:v>309.08629833342542</c:v>
                </c:pt>
                <c:pt idx="25">
                  <c:v>309.79814621064173</c:v>
                </c:pt>
                <c:pt idx="26">
                  <c:v>310.02628656824754</c:v>
                </c:pt>
                <c:pt idx="27">
                  <c:v>310.47681453654815</c:v>
                </c:pt>
                <c:pt idx="28">
                  <c:v>310.68713732584052</c:v>
                </c:pt>
                <c:pt idx="29">
                  <c:v>312.94133249383509</c:v>
                </c:pt>
                <c:pt idx="30">
                  <c:v>313.45556079653613</c:v>
                </c:pt>
                <c:pt idx="31">
                  <c:v>313.76753221059221</c:v>
                </c:pt>
                <c:pt idx="32">
                  <c:v>314.07300563499041</c:v>
                </c:pt>
                <c:pt idx="33">
                  <c:v>315.13427200066639</c:v>
                </c:pt>
                <c:pt idx="34">
                  <c:v>317.37664600148253</c:v>
                </c:pt>
                <c:pt idx="35">
                  <c:v>318.10880032685088</c:v>
                </c:pt>
                <c:pt idx="36">
                  <c:v>319.63937218298344</c:v>
                </c:pt>
                <c:pt idx="37">
                  <c:v>320.30326711984992</c:v>
                </c:pt>
                <c:pt idx="38">
                  <c:v>320.51649768963199</c:v>
                </c:pt>
                <c:pt idx="39">
                  <c:v>321.8109316703185</c:v>
                </c:pt>
                <c:pt idx="40">
                  <c:v>322.6827452214132</c:v>
                </c:pt>
                <c:pt idx="41">
                  <c:v>322.80423003574475</c:v>
                </c:pt>
                <c:pt idx="42">
                  <c:v>324.36284945016433</c:v>
                </c:pt>
                <c:pt idx="43">
                  <c:v>325.37083765668217</c:v>
                </c:pt>
                <c:pt idx="44">
                  <c:v>325.55917687568655</c:v>
                </c:pt>
                <c:pt idx="45">
                  <c:v>326.39878004857621</c:v>
                </c:pt>
                <c:pt idx="46">
                  <c:v>327.12654707399577</c:v>
                </c:pt>
                <c:pt idx="47">
                  <c:v>327.49410326257566</c:v>
                </c:pt>
                <c:pt idx="48">
                  <c:v>327.94038672182165</c:v>
                </c:pt>
                <c:pt idx="49">
                  <c:v>328.95166384303832</c:v>
                </c:pt>
                <c:pt idx="50">
                  <c:v>329.12971059516741</c:v>
                </c:pt>
                <c:pt idx="51">
                  <c:v>329.47405381123224</c:v>
                </c:pt>
                <c:pt idx="52">
                  <c:v>331.22218223135013</c:v>
                </c:pt>
                <c:pt idx="53">
                  <c:v>333.08843903278881</c:v>
                </c:pt>
                <c:pt idx="54">
                  <c:v>333.32257093994201</c:v>
                </c:pt>
                <c:pt idx="55">
                  <c:v>333.62974711691282</c:v>
                </c:pt>
                <c:pt idx="56">
                  <c:v>337.72411492696403</c:v>
                </c:pt>
                <c:pt idx="57">
                  <c:v>337.73319057370793</c:v>
                </c:pt>
                <c:pt idx="58">
                  <c:v>337.89497514177606</c:v>
                </c:pt>
                <c:pt idx="59">
                  <c:v>338.34971629391828</c:v>
                </c:pt>
                <c:pt idx="60">
                  <c:v>338.94995826214989</c:v>
                </c:pt>
                <c:pt idx="61">
                  <c:v>339.13424096410716</c:v>
                </c:pt>
                <c:pt idx="62">
                  <c:v>339.71030331459144</c:v>
                </c:pt>
                <c:pt idx="63">
                  <c:v>340.04641653586765</c:v>
                </c:pt>
                <c:pt idx="64">
                  <c:v>342.91271938376968</c:v>
                </c:pt>
                <c:pt idx="65">
                  <c:v>343.92436029717953</c:v>
                </c:pt>
                <c:pt idx="66">
                  <c:v>344.036616180664</c:v>
                </c:pt>
                <c:pt idx="67">
                  <c:v>345.74171871790088</c:v>
                </c:pt>
                <c:pt idx="68">
                  <c:v>346.82329431007804</c:v>
                </c:pt>
                <c:pt idx="69">
                  <c:v>347.87328223264205</c:v>
                </c:pt>
                <c:pt idx="70">
                  <c:v>348.13554181257962</c:v>
                </c:pt>
                <c:pt idx="71">
                  <c:v>350.96401911831106</c:v>
                </c:pt>
                <c:pt idx="72">
                  <c:v>351.40057481639792</c:v>
                </c:pt>
                <c:pt idx="73">
                  <c:v>351.5984187126694</c:v>
                </c:pt>
                <c:pt idx="74">
                  <c:v>352.98317573930558</c:v>
                </c:pt>
                <c:pt idx="75">
                  <c:v>354.48878250826527</c:v>
                </c:pt>
                <c:pt idx="76">
                  <c:v>357.20998472174483</c:v>
                </c:pt>
                <c:pt idx="77">
                  <c:v>357.23786355071496</c:v>
                </c:pt>
                <c:pt idx="78">
                  <c:v>358.74350964656412</c:v>
                </c:pt>
                <c:pt idx="79">
                  <c:v>360.85025647807811</c:v>
                </c:pt>
                <c:pt idx="80">
                  <c:v>361.10403185453026</c:v>
                </c:pt>
                <c:pt idx="81">
                  <c:v>361.27746338157783</c:v>
                </c:pt>
                <c:pt idx="82">
                  <c:v>361.45709263939597</c:v>
                </c:pt>
                <c:pt idx="83">
                  <c:v>361.48988694722084</c:v>
                </c:pt>
                <c:pt idx="84">
                  <c:v>363.8276293146946</c:v>
                </c:pt>
                <c:pt idx="85">
                  <c:v>365.68171197715435</c:v>
                </c:pt>
                <c:pt idx="86">
                  <c:v>366.14781437996965</c:v>
                </c:pt>
                <c:pt idx="87">
                  <c:v>368.92571736356456</c:v>
                </c:pt>
                <c:pt idx="88">
                  <c:v>371.33545674899597</c:v>
                </c:pt>
                <c:pt idx="89">
                  <c:v>372.81710879383024</c:v>
                </c:pt>
                <c:pt idx="90">
                  <c:v>373.20680725928003</c:v>
                </c:pt>
                <c:pt idx="91">
                  <c:v>374.4654857726502</c:v>
                </c:pt>
                <c:pt idx="92">
                  <c:v>379.73653069138498</c:v>
                </c:pt>
                <c:pt idx="93">
                  <c:v>381.80320126653726</c:v>
                </c:pt>
                <c:pt idx="94">
                  <c:v>383.30117558217978</c:v>
                </c:pt>
                <c:pt idx="95">
                  <c:v>385.26544387803074</c:v>
                </c:pt>
                <c:pt idx="96">
                  <c:v>385.56090467476321</c:v>
                </c:pt>
                <c:pt idx="97">
                  <c:v>396.05092323109045</c:v>
                </c:pt>
                <c:pt idx="98">
                  <c:v>399.59967918716336</c:v>
                </c:pt>
                <c:pt idx="99">
                  <c:v>408.37453768072669</c:v>
                </c:pt>
              </c:numCache>
            </c:numRef>
          </c:xVal>
          <c:yVal>
            <c:numRef>
              <c:f>SimData1!$AB$6:$AB$105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49569152"/>
        <c:axId val="49583232"/>
      </c:scatterChart>
      <c:valAx>
        <c:axId val="4956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83232"/>
        <c:crosses val="autoZero"/>
        <c:crossBetween val="midCat"/>
      </c:valAx>
      <c:valAx>
        <c:axId val="49583232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2.0648686866268119E-2"/>
              <c:y val="0.445048946483965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69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50700755988454"/>
          <c:y val="0.89719030645771525"/>
          <c:w val="0.79755553020960612"/>
          <c:h val="9.04282719947499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SERFTbl1!$H$1</c:f>
          <c:strCache>
            <c:ptCount val="1"/>
            <c:pt idx="0">
              <c:v>Neg. Exponential Utility Weighted Risk Premiums Relative to Average Profit: 1</c:v>
            </c:pt>
          </c:strCache>
        </c:strRef>
      </c:tx>
      <c:layout>
        <c:manualLayout>
          <c:xMode val="edge"/>
          <c:yMode val="edge"/>
          <c:x val="0.11262721967397089"/>
          <c:y val="3.30596163326226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362551486742311"/>
          <c:y val="0.21107293504674463"/>
          <c:w val="0.80747989698457101"/>
          <c:h val="0.60524528362801477"/>
        </c:manualLayout>
      </c:layout>
      <c:scatterChart>
        <c:scatterStyle val="smoothMarker"/>
        <c:ser>
          <c:idx val="0"/>
          <c:order val="0"/>
          <c:tx>
            <c:strRef>
              <c:f>SERFTbl1!$I$11</c:f>
              <c:strCache>
                <c:ptCount val="1"/>
                <c:pt idx="0">
                  <c:v>Average Profit: 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SERFTbl1!$C$11</c:f>
                  <c:strCache>
                    <c:ptCount val="1"/>
                    <c:pt idx="0">
                      <c:v>Average Profit: 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4.7619047619047619E-4</c:v>
                </c:pt>
                <c:pt idx="2">
                  <c:v>9.5238095238095238E-4</c:v>
                </c:pt>
                <c:pt idx="3">
                  <c:v>1.4285714285714286E-3</c:v>
                </c:pt>
                <c:pt idx="4">
                  <c:v>1.9047619047619048E-3</c:v>
                </c:pt>
                <c:pt idx="5">
                  <c:v>2.3809523809523812E-3</c:v>
                </c:pt>
                <c:pt idx="6">
                  <c:v>2.8571428571428576E-3</c:v>
                </c:pt>
                <c:pt idx="7">
                  <c:v>3.333333333333334E-3</c:v>
                </c:pt>
                <c:pt idx="8">
                  <c:v>3.8095238095238104E-3</c:v>
                </c:pt>
                <c:pt idx="9">
                  <c:v>4.2857142857142868E-3</c:v>
                </c:pt>
                <c:pt idx="10">
                  <c:v>4.7619047619047632E-3</c:v>
                </c:pt>
                <c:pt idx="11">
                  <c:v>5.2380952380952396E-3</c:v>
                </c:pt>
                <c:pt idx="12">
                  <c:v>5.714285714285716E-3</c:v>
                </c:pt>
                <c:pt idx="13">
                  <c:v>6.1904761904761924E-3</c:v>
                </c:pt>
                <c:pt idx="14">
                  <c:v>6.6666666666666688E-3</c:v>
                </c:pt>
                <c:pt idx="15">
                  <c:v>7.1428571428571452E-3</c:v>
                </c:pt>
                <c:pt idx="16">
                  <c:v>7.6190476190476216E-3</c:v>
                </c:pt>
                <c:pt idx="17">
                  <c:v>8.095238095238098E-3</c:v>
                </c:pt>
                <c:pt idx="18">
                  <c:v>8.5714285714285736E-3</c:v>
                </c:pt>
                <c:pt idx="19">
                  <c:v>9.0476190476190491E-3</c:v>
                </c:pt>
                <c:pt idx="20">
                  <c:v>9.5238095238095247E-3</c:v>
                </c:pt>
                <c:pt idx="21">
                  <c:v>0.01</c:v>
                </c:pt>
                <c:pt idx="22">
                  <c:v>1.0476190476190476E-2</c:v>
                </c:pt>
                <c:pt idx="23">
                  <c:v>1.0952380952380951E-2</c:v>
                </c:pt>
                <c:pt idx="24">
                  <c:v>1.1428571428571427E-2</c:v>
                </c:pt>
              </c:numCache>
            </c:numRef>
          </c:xVal>
          <c:yVal>
            <c:numRef>
              <c:f>SERFTbl1!$I$12:$I$36</c:f>
              <c:numCache>
                <c:formatCode>_(* #,##0.00_);_(* \(#,##0.00\);_(*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SERFTbl1!$J$11</c:f>
              <c:strCache>
                <c:ptCount val="1"/>
                <c:pt idx="0">
                  <c:v>Average Profit: 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SERFTbl1!$D$11</c:f>
                  <c:strCache>
                    <c:ptCount val="1"/>
                    <c:pt idx="0">
                      <c:v>Average Profit: 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4.7619047619047619E-4</c:v>
                </c:pt>
                <c:pt idx="2">
                  <c:v>9.5238095238095238E-4</c:v>
                </c:pt>
                <c:pt idx="3">
                  <c:v>1.4285714285714286E-3</c:v>
                </c:pt>
                <c:pt idx="4">
                  <c:v>1.9047619047619048E-3</c:v>
                </c:pt>
                <c:pt idx="5">
                  <c:v>2.3809523809523812E-3</c:v>
                </c:pt>
                <c:pt idx="6">
                  <c:v>2.8571428571428576E-3</c:v>
                </c:pt>
                <c:pt idx="7">
                  <c:v>3.333333333333334E-3</c:v>
                </c:pt>
                <c:pt idx="8">
                  <c:v>3.8095238095238104E-3</c:v>
                </c:pt>
                <c:pt idx="9">
                  <c:v>4.2857142857142868E-3</c:v>
                </c:pt>
                <c:pt idx="10">
                  <c:v>4.7619047619047632E-3</c:v>
                </c:pt>
                <c:pt idx="11">
                  <c:v>5.2380952380952396E-3</c:v>
                </c:pt>
                <c:pt idx="12">
                  <c:v>5.714285714285716E-3</c:v>
                </c:pt>
                <c:pt idx="13">
                  <c:v>6.1904761904761924E-3</c:v>
                </c:pt>
                <c:pt idx="14">
                  <c:v>6.6666666666666688E-3</c:v>
                </c:pt>
                <c:pt idx="15">
                  <c:v>7.1428571428571452E-3</c:v>
                </c:pt>
                <c:pt idx="16">
                  <c:v>7.6190476190476216E-3</c:v>
                </c:pt>
                <c:pt idx="17">
                  <c:v>8.095238095238098E-3</c:v>
                </c:pt>
                <c:pt idx="18">
                  <c:v>8.5714285714285736E-3</c:v>
                </c:pt>
                <c:pt idx="19">
                  <c:v>9.0476190476190491E-3</c:v>
                </c:pt>
                <c:pt idx="20">
                  <c:v>9.5238095238095247E-3</c:v>
                </c:pt>
                <c:pt idx="21">
                  <c:v>0.01</c:v>
                </c:pt>
                <c:pt idx="22">
                  <c:v>1.0476190476190476E-2</c:v>
                </c:pt>
                <c:pt idx="23">
                  <c:v>1.0952380952380951E-2</c:v>
                </c:pt>
                <c:pt idx="24">
                  <c:v>1.1428571428571427E-2</c:v>
                </c:pt>
              </c:numCache>
            </c:numRef>
          </c:xVal>
          <c:yVal>
            <c:numRef>
              <c:f>SERFTbl1!$J$12:$J$36</c:f>
              <c:numCache>
                <c:formatCode>_(* #,##0.00_);_(* \(#,##0.00\);_(* "-"??_);_(@_)</c:formatCode>
                <c:ptCount val="25"/>
                <c:pt idx="0">
                  <c:v>14.943482968900526</c:v>
                </c:pt>
                <c:pt idx="1">
                  <c:v>14.716310500670374</c:v>
                </c:pt>
                <c:pt idx="2">
                  <c:v>14.489866152077752</c:v>
                </c:pt>
                <c:pt idx="3">
                  <c:v>14.26423207158382</c:v>
                </c:pt>
                <c:pt idx="4">
                  <c:v>14.039487939064884</c:v>
                </c:pt>
                <c:pt idx="5">
                  <c:v>13.815710956412545</c:v>
                </c:pt>
                <c:pt idx="6">
                  <c:v>13.592975845455612</c:v>
                </c:pt>
                <c:pt idx="7">
                  <c:v>13.371354852965169</c:v>
                </c:pt>
                <c:pt idx="8">
                  <c:v>13.150917762485392</c:v>
                </c:pt>
                <c:pt idx="9">
                  <c:v>12.931731912716202</c:v>
                </c:pt>
                <c:pt idx="10">
                  <c:v>12.713862222146645</c:v>
                </c:pt>
                <c:pt idx="11">
                  <c:v>12.497371219628405</c:v>
                </c:pt>
                <c:pt idx="12">
                  <c:v>12.282319080561308</c:v>
                </c:pt>
                <c:pt idx="13">
                  <c:v>12.068763668355416</c:v>
                </c:pt>
                <c:pt idx="14">
                  <c:v>11.856760580821458</c:v>
                </c:pt>
                <c:pt idx="15">
                  <c:v>11.646363201130498</c:v>
                </c:pt>
                <c:pt idx="16">
                  <c:v>11.437622752991615</c:v>
                </c:pt>
                <c:pt idx="17">
                  <c:v>11.230588359676631</c:v>
                </c:pt>
                <c:pt idx="18">
                  <c:v>11.025307106533262</c:v>
                </c:pt>
                <c:pt idx="19">
                  <c:v>10.82182410662142</c:v>
                </c:pt>
                <c:pt idx="20">
                  <c:v>10.620182569109375</c:v>
                </c:pt>
                <c:pt idx="21">
                  <c:v>10.420423870075524</c:v>
                </c:pt>
                <c:pt idx="22">
                  <c:v>10.222587625360006</c:v>
                </c:pt>
                <c:pt idx="23">
                  <c:v>10.026711765119899</c:v>
                </c:pt>
                <c:pt idx="24">
                  <c:v>9.8328326097496301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SERFTbl1!$K$11</c:f>
              <c:strCache>
                <c:ptCount val="1"/>
                <c:pt idx="0">
                  <c:v>Average Profit: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SERFTbl1!$E$11</c:f>
                  <c:strCache>
                    <c:ptCount val="1"/>
                    <c:pt idx="0">
                      <c:v>Average Profit: 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4.7619047619047619E-4</c:v>
                </c:pt>
                <c:pt idx="2">
                  <c:v>9.5238095238095238E-4</c:v>
                </c:pt>
                <c:pt idx="3">
                  <c:v>1.4285714285714286E-3</c:v>
                </c:pt>
                <c:pt idx="4">
                  <c:v>1.9047619047619048E-3</c:v>
                </c:pt>
                <c:pt idx="5">
                  <c:v>2.3809523809523812E-3</c:v>
                </c:pt>
                <c:pt idx="6">
                  <c:v>2.8571428571428576E-3</c:v>
                </c:pt>
                <c:pt idx="7">
                  <c:v>3.333333333333334E-3</c:v>
                </c:pt>
                <c:pt idx="8">
                  <c:v>3.8095238095238104E-3</c:v>
                </c:pt>
                <c:pt idx="9">
                  <c:v>4.2857142857142868E-3</c:v>
                </c:pt>
                <c:pt idx="10">
                  <c:v>4.7619047619047632E-3</c:v>
                </c:pt>
                <c:pt idx="11">
                  <c:v>5.2380952380952396E-3</c:v>
                </c:pt>
                <c:pt idx="12">
                  <c:v>5.714285714285716E-3</c:v>
                </c:pt>
                <c:pt idx="13">
                  <c:v>6.1904761904761924E-3</c:v>
                </c:pt>
                <c:pt idx="14">
                  <c:v>6.6666666666666688E-3</c:v>
                </c:pt>
                <c:pt idx="15">
                  <c:v>7.1428571428571452E-3</c:v>
                </c:pt>
                <c:pt idx="16">
                  <c:v>7.6190476190476216E-3</c:v>
                </c:pt>
                <c:pt idx="17">
                  <c:v>8.095238095238098E-3</c:v>
                </c:pt>
                <c:pt idx="18">
                  <c:v>8.5714285714285736E-3</c:v>
                </c:pt>
                <c:pt idx="19">
                  <c:v>9.0476190476190491E-3</c:v>
                </c:pt>
                <c:pt idx="20">
                  <c:v>9.5238095238095247E-3</c:v>
                </c:pt>
                <c:pt idx="21">
                  <c:v>0.01</c:v>
                </c:pt>
                <c:pt idx="22">
                  <c:v>1.0476190476190476E-2</c:v>
                </c:pt>
                <c:pt idx="23">
                  <c:v>1.0952380952380951E-2</c:v>
                </c:pt>
                <c:pt idx="24">
                  <c:v>1.1428571428571427E-2</c:v>
                </c:pt>
              </c:numCache>
            </c:numRef>
          </c:xVal>
          <c:yVal>
            <c:numRef>
              <c:f>SERFTbl1!$K$12:$K$36</c:f>
              <c:numCache>
                <c:formatCode>_(* #,##0.00_);_(* \(#,##0.00\);_(* "-"??_);_(@_)</c:formatCode>
                <c:ptCount val="25"/>
                <c:pt idx="0">
                  <c:v>5.5178919281026992</c:v>
                </c:pt>
                <c:pt idx="1">
                  <c:v>5.3876560367910429</c:v>
                </c:pt>
                <c:pt idx="2">
                  <c:v>5.2564220983010728</c:v>
                </c:pt>
                <c:pt idx="3">
                  <c:v>5.1242277757400529</c:v>
                </c:pt>
                <c:pt idx="4">
                  <c:v>4.9911106742848688</c:v>
                </c:pt>
                <c:pt idx="5">
                  <c:v>4.8571083524228698</c:v>
                </c:pt>
                <c:pt idx="6">
                  <c:v>4.7222583342655184</c:v>
                </c:pt>
                <c:pt idx="7">
                  <c:v>4.5865981228562873</c:v>
                </c:pt>
                <c:pt idx="8">
                  <c:v>4.450165214411868</c:v>
                </c:pt>
                <c:pt idx="9">
                  <c:v>4.3129971134223979</c:v>
                </c:pt>
                <c:pt idx="10">
                  <c:v>4.1751313485416972</c:v>
                </c:pt>
                <c:pt idx="11">
                  <c:v>4.0366054891947556</c:v>
                </c:pt>
                <c:pt idx="12">
                  <c:v>3.8974571628320973</c:v>
                </c:pt>
                <c:pt idx="13">
                  <c:v>3.7577240727589469</c:v>
                </c:pt>
                <c:pt idx="14">
                  <c:v>3.6174440164659813</c:v>
                </c:pt>
                <c:pt idx="15">
                  <c:v>3.476654904383679</c:v>
                </c:pt>
                <c:pt idx="16">
                  <c:v>3.3353947789947256</c:v>
                </c:pt>
                <c:pt idx="17">
                  <c:v>3.1937018342192687</c:v>
                </c:pt>
                <c:pt idx="18">
                  <c:v>3.0516144350036711</c:v>
                </c:pt>
                <c:pt idx="19">
                  <c:v>2.9091711370339794</c:v>
                </c:pt>
                <c:pt idx="20">
                  <c:v>2.7664107064937298</c:v>
                </c:pt>
                <c:pt idx="21">
                  <c:v>2.6233721397917975</c:v>
                </c:pt>
                <c:pt idx="22">
                  <c:v>2.4800946831769579</c:v>
                </c:pt>
                <c:pt idx="23">
                  <c:v>2.3366178521593497</c:v>
                </c:pt>
                <c:pt idx="24">
                  <c:v>2.192981450657669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SERFTbl1!$L$11</c:f>
              <c:strCache>
                <c:ptCount val="1"/>
                <c:pt idx="0">
                  <c:v>Average Profit: 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SERFTbl1!$F$11</c:f>
                  <c:strCache>
                    <c:ptCount val="1"/>
                    <c:pt idx="0">
                      <c:v>Average Profit: 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4.7619047619047619E-4</c:v>
                </c:pt>
                <c:pt idx="2">
                  <c:v>9.5238095238095238E-4</c:v>
                </c:pt>
                <c:pt idx="3">
                  <c:v>1.4285714285714286E-3</c:v>
                </c:pt>
                <c:pt idx="4">
                  <c:v>1.9047619047619048E-3</c:v>
                </c:pt>
                <c:pt idx="5">
                  <c:v>2.3809523809523812E-3</c:v>
                </c:pt>
                <c:pt idx="6">
                  <c:v>2.8571428571428576E-3</c:v>
                </c:pt>
                <c:pt idx="7">
                  <c:v>3.333333333333334E-3</c:v>
                </c:pt>
                <c:pt idx="8">
                  <c:v>3.8095238095238104E-3</c:v>
                </c:pt>
                <c:pt idx="9">
                  <c:v>4.2857142857142868E-3</c:v>
                </c:pt>
                <c:pt idx="10">
                  <c:v>4.7619047619047632E-3</c:v>
                </c:pt>
                <c:pt idx="11">
                  <c:v>5.2380952380952396E-3</c:v>
                </c:pt>
                <c:pt idx="12">
                  <c:v>5.714285714285716E-3</c:v>
                </c:pt>
                <c:pt idx="13">
                  <c:v>6.1904761904761924E-3</c:v>
                </c:pt>
                <c:pt idx="14">
                  <c:v>6.6666666666666688E-3</c:v>
                </c:pt>
                <c:pt idx="15">
                  <c:v>7.1428571428571452E-3</c:v>
                </c:pt>
                <c:pt idx="16">
                  <c:v>7.6190476190476216E-3</c:v>
                </c:pt>
                <c:pt idx="17">
                  <c:v>8.095238095238098E-3</c:v>
                </c:pt>
                <c:pt idx="18">
                  <c:v>8.5714285714285736E-3</c:v>
                </c:pt>
                <c:pt idx="19">
                  <c:v>9.0476190476190491E-3</c:v>
                </c:pt>
                <c:pt idx="20">
                  <c:v>9.5238095238095247E-3</c:v>
                </c:pt>
                <c:pt idx="21">
                  <c:v>0.01</c:v>
                </c:pt>
                <c:pt idx="22">
                  <c:v>1.0476190476190476E-2</c:v>
                </c:pt>
                <c:pt idx="23">
                  <c:v>1.0952380952380951E-2</c:v>
                </c:pt>
                <c:pt idx="24">
                  <c:v>1.1428571428571427E-2</c:v>
                </c:pt>
              </c:numCache>
            </c:numRef>
          </c:xVal>
          <c:yVal>
            <c:numRef>
              <c:f>SERFTbl1!$L$12:$L$36</c:f>
              <c:numCache>
                <c:formatCode>_(* #,##0.00_);_(* \(#,##0.00\);_(* "-"??_);_(@_)</c:formatCode>
                <c:ptCount val="25"/>
                <c:pt idx="0">
                  <c:v>-25.22808221006926</c:v>
                </c:pt>
                <c:pt idx="1">
                  <c:v>-25.361107051906686</c:v>
                </c:pt>
                <c:pt idx="2">
                  <c:v>-25.495612456877438</c:v>
                </c:pt>
                <c:pt idx="3">
                  <c:v>-25.63155141480263</c:v>
                </c:pt>
                <c:pt idx="4">
                  <c:v>-25.768876499979854</c:v>
                </c:pt>
                <c:pt idx="5">
                  <c:v>-25.907539863370005</c:v>
                </c:pt>
                <c:pt idx="6">
                  <c:v>-26.047493224324739</c:v>
                </c:pt>
                <c:pt idx="7">
                  <c:v>-26.188687861945368</c:v>
                </c:pt>
                <c:pt idx="8">
                  <c:v>-26.331074606141442</c:v>
                </c:pt>
                <c:pt idx="9">
                  <c:v>-26.474603828477541</c:v>
                </c:pt>
                <c:pt idx="10">
                  <c:v>-26.619225432881194</c:v>
                </c:pt>
                <c:pt idx="11">
                  <c:v>-26.764888846297026</c:v>
                </c:pt>
                <c:pt idx="12">
                  <c:v>-26.911543009361253</c:v>
                </c:pt>
                <c:pt idx="13">
                  <c:v>-27.059136367177757</c:v>
                </c:pt>
                <c:pt idx="14">
                  <c:v>-27.207616860270036</c:v>
                </c:pt>
                <c:pt idx="15">
                  <c:v>-27.356931915793098</c:v>
                </c:pt>
                <c:pt idx="16">
                  <c:v>-27.507028439073167</c:v>
                </c:pt>
                <c:pt idx="17">
                  <c:v>-27.657852805559685</c:v>
                </c:pt>
                <c:pt idx="18">
                  <c:v>-27.809350853258366</c:v>
                </c:pt>
                <c:pt idx="19">
                  <c:v>-27.961467875723827</c:v>
                </c:pt>
                <c:pt idx="20">
                  <c:v>-28.114148615684314</c:v>
                </c:pt>
                <c:pt idx="21">
                  <c:v>-28.267337259371516</c:v>
                </c:pt>
                <c:pt idx="22">
                  <c:v>-28.420977431626739</c:v>
                </c:pt>
                <c:pt idx="23">
                  <c:v>-28.575012191856672</c:v>
                </c:pt>
                <c:pt idx="24">
                  <c:v>-28.729384030906601</c:v>
                </c:pt>
              </c:numCache>
            </c:numRef>
          </c:yVal>
          <c:smooth val="1"/>
        </c:ser>
        <c:axId val="49248512"/>
        <c:axId val="49267072"/>
      </c:scatterChart>
      <c:valAx>
        <c:axId val="49248512"/>
        <c:scaling>
          <c:orientation val="minMax"/>
        </c:scaling>
        <c:axPos val="b"/>
        <c:title>
          <c:tx>
            <c:strRef>
              <c:f>SERFTbl1!$B$11</c:f>
              <c:strCache>
                <c:ptCount val="1"/>
                <c:pt idx="0">
                  <c:v>ARAC</c:v>
                </c:pt>
              </c:strCache>
            </c:strRef>
          </c:tx>
          <c:layout>
            <c:manualLayout>
              <c:xMode val="edge"/>
              <c:yMode val="edge"/>
              <c:x val="0.50205014871617537"/>
              <c:y val="0.844291740186978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67072"/>
        <c:crosses val="autoZero"/>
        <c:crossBetween val="midCat"/>
      </c:valAx>
      <c:valAx>
        <c:axId val="492670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485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6269782606871984E-2"/>
          <c:y val="0.93075535213383775"/>
          <c:w val="0.92965179629192929"/>
          <c:h val="5.340399561423659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SERFTbl1!$A$1</c:f>
          <c:strCache>
            <c:ptCount val="1"/>
            <c:pt idx="0">
              <c:v>Stochastic Efficiency with Respect to A Function (SERF) Under a Neg. Exponential Utility Function</c:v>
            </c:pt>
          </c:strCache>
        </c:strRef>
      </c:tx>
      <c:layout>
        <c:manualLayout>
          <c:xMode val="edge"/>
          <c:yMode val="edge"/>
          <c:x val="0.12598977116071319"/>
          <c:y val="3.30596163326226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408083523403574"/>
          <c:y val="0.21107293504674463"/>
          <c:w val="0.81702457661795835"/>
          <c:h val="0.55692738283418164"/>
        </c:manualLayout>
      </c:layout>
      <c:scatterChart>
        <c:scatterStyle val="smoothMarker"/>
        <c:ser>
          <c:idx val="0"/>
          <c:order val="0"/>
          <c:tx>
            <c:strRef>
              <c:f>SERFTbl1!$C$11</c:f>
              <c:strCache>
                <c:ptCount val="1"/>
                <c:pt idx="0">
                  <c:v>Average Profit: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SERFTbl1!$C$11</c:f>
                  <c:strCache>
                    <c:ptCount val="1"/>
                    <c:pt idx="0">
                      <c:v>Average Profit: 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4.7619047619047619E-4</c:v>
                </c:pt>
                <c:pt idx="2">
                  <c:v>9.5238095238095238E-4</c:v>
                </c:pt>
                <c:pt idx="3">
                  <c:v>1.4285714285714286E-3</c:v>
                </c:pt>
                <c:pt idx="4">
                  <c:v>1.9047619047619048E-3</c:v>
                </c:pt>
                <c:pt idx="5">
                  <c:v>2.3809523809523812E-3</c:v>
                </c:pt>
                <c:pt idx="6">
                  <c:v>2.8571428571428576E-3</c:v>
                </c:pt>
                <c:pt idx="7">
                  <c:v>3.333333333333334E-3</c:v>
                </c:pt>
                <c:pt idx="8">
                  <c:v>3.8095238095238104E-3</c:v>
                </c:pt>
                <c:pt idx="9">
                  <c:v>4.2857142857142868E-3</c:v>
                </c:pt>
                <c:pt idx="10">
                  <c:v>4.7619047619047632E-3</c:v>
                </c:pt>
                <c:pt idx="11">
                  <c:v>5.2380952380952396E-3</c:v>
                </c:pt>
                <c:pt idx="12">
                  <c:v>5.714285714285716E-3</c:v>
                </c:pt>
                <c:pt idx="13">
                  <c:v>6.1904761904761924E-3</c:v>
                </c:pt>
                <c:pt idx="14">
                  <c:v>6.6666666666666688E-3</c:v>
                </c:pt>
                <c:pt idx="15">
                  <c:v>7.1428571428571452E-3</c:v>
                </c:pt>
                <c:pt idx="16">
                  <c:v>7.6190476190476216E-3</c:v>
                </c:pt>
                <c:pt idx="17">
                  <c:v>8.095238095238098E-3</c:v>
                </c:pt>
                <c:pt idx="18">
                  <c:v>8.5714285714285736E-3</c:v>
                </c:pt>
                <c:pt idx="19">
                  <c:v>9.0476190476190491E-3</c:v>
                </c:pt>
                <c:pt idx="20">
                  <c:v>9.5238095238095247E-3</c:v>
                </c:pt>
                <c:pt idx="21">
                  <c:v>0.01</c:v>
                </c:pt>
                <c:pt idx="22">
                  <c:v>1.0476190476190476E-2</c:v>
                </c:pt>
                <c:pt idx="23">
                  <c:v>1.0952380952380951E-2</c:v>
                </c:pt>
                <c:pt idx="24">
                  <c:v>1.1428571428571427E-2</c:v>
                </c:pt>
              </c:numCache>
            </c:numRef>
          </c:xVal>
          <c:yVal>
            <c:numRef>
              <c:f>SERFTbl1!$C$12:$C$36</c:f>
              <c:numCache>
                <c:formatCode>#,##0.00</c:formatCode>
                <c:ptCount val="25"/>
                <c:pt idx="0">
                  <c:v>354.44131725468498</c:v>
                </c:pt>
                <c:pt idx="1">
                  <c:v>354.28875702239048</c:v>
                </c:pt>
                <c:pt idx="2">
                  <c:v>354.13703145276384</c:v>
                </c:pt>
                <c:pt idx="3">
                  <c:v>353.9861031015929</c:v>
                </c:pt>
                <c:pt idx="4">
                  <c:v>353.83593446421997</c:v>
                </c:pt>
                <c:pt idx="5">
                  <c:v>353.68648797464891</c:v>
                </c:pt>
                <c:pt idx="6">
                  <c:v>353.53772600386651</c:v>
                </c:pt>
                <c:pt idx="7">
                  <c:v>353.38961085743296</c:v>
                </c:pt>
                <c:pt idx="8">
                  <c:v>353.24210477239114</c:v>
                </c:pt>
                <c:pt idx="9">
                  <c:v>353.09516991354963</c:v>
                </c:pt>
                <c:pt idx="10">
                  <c:v>352.94876836918974</c:v>
                </c:pt>
                <c:pt idx="11">
                  <c:v>352.80286214625227</c:v>
                </c:pt>
                <c:pt idx="12">
                  <c:v>352.65741316505495</c:v>
                </c:pt>
                <c:pt idx="13">
                  <c:v>352.51238325359333</c:v>
                </c:pt>
                <c:pt idx="14">
                  <c:v>352.36773414147922</c:v>
                </c:pt>
                <c:pt idx="15">
                  <c:v>352.22342745357327</c:v>
                </c:pt>
                <c:pt idx="16">
                  <c:v>352.07942470336013</c:v>
                </c:pt>
                <c:pt idx="17">
                  <c:v>351.93568728612627</c:v>
                </c:pt>
                <c:pt idx="18">
                  <c:v>351.79217647199289</c:v>
                </c:pt>
                <c:pt idx="19">
                  <c:v>351.64885339886007</c:v>
                </c:pt>
                <c:pt idx="20">
                  <c:v>351.50567906531938</c:v>
                </c:pt>
                <c:pt idx="21">
                  <c:v>351.36261432359163</c:v>
                </c:pt>
                <c:pt idx="22">
                  <c:v>351.21961987254679</c:v>
                </c:pt>
                <c:pt idx="23">
                  <c:v>351.07665625086707</c:v>
                </c:pt>
                <c:pt idx="24">
                  <c:v>350.93368383041093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SERFTbl1!$D$11</c:f>
              <c:strCache>
                <c:ptCount val="1"/>
                <c:pt idx="0">
                  <c:v>Average Profit: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SERFTbl1!$D$11</c:f>
                  <c:strCache>
                    <c:ptCount val="1"/>
                    <c:pt idx="0">
                      <c:v>Average Profit: 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4.7619047619047619E-4</c:v>
                </c:pt>
                <c:pt idx="2">
                  <c:v>9.5238095238095238E-4</c:v>
                </c:pt>
                <c:pt idx="3">
                  <c:v>1.4285714285714286E-3</c:v>
                </c:pt>
                <c:pt idx="4">
                  <c:v>1.9047619047619048E-3</c:v>
                </c:pt>
                <c:pt idx="5">
                  <c:v>2.3809523809523812E-3</c:v>
                </c:pt>
                <c:pt idx="6">
                  <c:v>2.8571428571428576E-3</c:v>
                </c:pt>
                <c:pt idx="7">
                  <c:v>3.333333333333334E-3</c:v>
                </c:pt>
                <c:pt idx="8">
                  <c:v>3.8095238095238104E-3</c:v>
                </c:pt>
                <c:pt idx="9">
                  <c:v>4.2857142857142868E-3</c:v>
                </c:pt>
                <c:pt idx="10">
                  <c:v>4.7619047619047632E-3</c:v>
                </c:pt>
                <c:pt idx="11">
                  <c:v>5.2380952380952396E-3</c:v>
                </c:pt>
                <c:pt idx="12">
                  <c:v>5.714285714285716E-3</c:v>
                </c:pt>
                <c:pt idx="13">
                  <c:v>6.1904761904761924E-3</c:v>
                </c:pt>
                <c:pt idx="14">
                  <c:v>6.6666666666666688E-3</c:v>
                </c:pt>
                <c:pt idx="15">
                  <c:v>7.1428571428571452E-3</c:v>
                </c:pt>
                <c:pt idx="16">
                  <c:v>7.6190476190476216E-3</c:v>
                </c:pt>
                <c:pt idx="17">
                  <c:v>8.095238095238098E-3</c:v>
                </c:pt>
                <c:pt idx="18">
                  <c:v>8.5714285714285736E-3</c:v>
                </c:pt>
                <c:pt idx="19">
                  <c:v>9.0476190476190491E-3</c:v>
                </c:pt>
                <c:pt idx="20">
                  <c:v>9.5238095238095247E-3</c:v>
                </c:pt>
                <c:pt idx="21">
                  <c:v>0.01</c:v>
                </c:pt>
                <c:pt idx="22">
                  <c:v>1.0476190476190476E-2</c:v>
                </c:pt>
                <c:pt idx="23">
                  <c:v>1.0952380952380951E-2</c:v>
                </c:pt>
                <c:pt idx="24">
                  <c:v>1.1428571428571427E-2</c:v>
                </c:pt>
              </c:numCache>
            </c:numRef>
          </c:xVal>
          <c:yVal>
            <c:numRef>
              <c:f>SERFTbl1!$D$12:$D$36</c:f>
              <c:numCache>
                <c:formatCode>#,##0.00</c:formatCode>
                <c:ptCount val="25"/>
                <c:pt idx="0">
                  <c:v>369.3848002235855</c:v>
                </c:pt>
                <c:pt idx="1">
                  <c:v>369.00506752306086</c:v>
                </c:pt>
                <c:pt idx="2">
                  <c:v>368.62689760484159</c:v>
                </c:pt>
                <c:pt idx="3">
                  <c:v>368.25033517317672</c:v>
                </c:pt>
                <c:pt idx="4">
                  <c:v>367.87542240328486</c:v>
                </c:pt>
                <c:pt idx="5">
                  <c:v>367.50219893106146</c:v>
                </c:pt>
                <c:pt idx="6">
                  <c:v>367.13070184932212</c:v>
                </c:pt>
                <c:pt idx="7">
                  <c:v>366.76096571039812</c:v>
                </c:pt>
                <c:pt idx="8">
                  <c:v>366.39302253487654</c:v>
                </c:pt>
                <c:pt idx="9">
                  <c:v>366.02690182626583</c:v>
                </c:pt>
                <c:pt idx="10">
                  <c:v>365.66263059133638</c:v>
                </c:pt>
                <c:pt idx="11">
                  <c:v>365.30023336588067</c:v>
                </c:pt>
                <c:pt idx="12">
                  <c:v>364.93973224561626</c:v>
                </c:pt>
                <c:pt idx="13">
                  <c:v>364.58114692194874</c:v>
                </c:pt>
                <c:pt idx="14">
                  <c:v>364.22449472230068</c:v>
                </c:pt>
                <c:pt idx="15">
                  <c:v>363.86979065470376</c:v>
                </c:pt>
                <c:pt idx="16">
                  <c:v>363.51704745635175</c:v>
                </c:pt>
                <c:pt idx="17">
                  <c:v>363.1662756458029</c:v>
                </c:pt>
                <c:pt idx="18">
                  <c:v>362.81748357852615</c:v>
                </c:pt>
                <c:pt idx="19">
                  <c:v>362.47067750548149</c:v>
                </c:pt>
                <c:pt idx="20">
                  <c:v>362.12586163442876</c:v>
                </c:pt>
                <c:pt idx="21">
                  <c:v>361.78303819366715</c:v>
                </c:pt>
                <c:pt idx="22">
                  <c:v>361.44220749790679</c:v>
                </c:pt>
                <c:pt idx="23">
                  <c:v>361.10336801598697</c:v>
                </c:pt>
                <c:pt idx="24">
                  <c:v>360.76651644016056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SERFTbl1!$E$11</c:f>
              <c:strCache>
                <c:ptCount val="1"/>
                <c:pt idx="0">
                  <c:v>Average Profit: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SERFTbl1!$E$11</c:f>
                  <c:strCache>
                    <c:ptCount val="1"/>
                    <c:pt idx="0">
                      <c:v>Average Profit: 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4.7619047619047619E-4</c:v>
                </c:pt>
                <c:pt idx="2">
                  <c:v>9.5238095238095238E-4</c:v>
                </c:pt>
                <c:pt idx="3">
                  <c:v>1.4285714285714286E-3</c:v>
                </c:pt>
                <c:pt idx="4">
                  <c:v>1.9047619047619048E-3</c:v>
                </c:pt>
                <c:pt idx="5">
                  <c:v>2.3809523809523812E-3</c:v>
                </c:pt>
                <c:pt idx="6">
                  <c:v>2.8571428571428576E-3</c:v>
                </c:pt>
                <c:pt idx="7">
                  <c:v>3.333333333333334E-3</c:v>
                </c:pt>
                <c:pt idx="8">
                  <c:v>3.8095238095238104E-3</c:v>
                </c:pt>
                <c:pt idx="9">
                  <c:v>4.2857142857142868E-3</c:v>
                </c:pt>
                <c:pt idx="10">
                  <c:v>4.7619047619047632E-3</c:v>
                </c:pt>
                <c:pt idx="11">
                  <c:v>5.2380952380952396E-3</c:v>
                </c:pt>
                <c:pt idx="12">
                  <c:v>5.714285714285716E-3</c:v>
                </c:pt>
                <c:pt idx="13">
                  <c:v>6.1904761904761924E-3</c:v>
                </c:pt>
                <c:pt idx="14">
                  <c:v>6.6666666666666688E-3</c:v>
                </c:pt>
                <c:pt idx="15">
                  <c:v>7.1428571428571452E-3</c:v>
                </c:pt>
                <c:pt idx="16">
                  <c:v>7.6190476190476216E-3</c:v>
                </c:pt>
                <c:pt idx="17">
                  <c:v>8.095238095238098E-3</c:v>
                </c:pt>
                <c:pt idx="18">
                  <c:v>8.5714285714285736E-3</c:v>
                </c:pt>
                <c:pt idx="19">
                  <c:v>9.0476190476190491E-3</c:v>
                </c:pt>
                <c:pt idx="20">
                  <c:v>9.5238095238095247E-3</c:v>
                </c:pt>
                <c:pt idx="21">
                  <c:v>0.01</c:v>
                </c:pt>
                <c:pt idx="22">
                  <c:v>1.0476190476190476E-2</c:v>
                </c:pt>
                <c:pt idx="23">
                  <c:v>1.0952380952380951E-2</c:v>
                </c:pt>
                <c:pt idx="24">
                  <c:v>1.1428571428571427E-2</c:v>
                </c:pt>
              </c:numCache>
            </c:numRef>
          </c:xVal>
          <c:yVal>
            <c:numRef>
              <c:f>SERFTbl1!$E$12:$E$36</c:f>
              <c:numCache>
                <c:formatCode>#,##0.00</c:formatCode>
                <c:ptCount val="25"/>
                <c:pt idx="0">
                  <c:v>359.95920918278767</c:v>
                </c:pt>
                <c:pt idx="1">
                  <c:v>359.67641305918153</c:v>
                </c:pt>
                <c:pt idx="2">
                  <c:v>359.39345355106491</c:v>
                </c:pt>
                <c:pt idx="3">
                  <c:v>359.11033087733296</c:v>
                </c:pt>
                <c:pt idx="4">
                  <c:v>358.82704513850484</c:v>
                </c:pt>
                <c:pt idx="5">
                  <c:v>358.54359632707178</c:v>
                </c:pt>
                <c:pt idx="6">
                  <c:v>358.25998433813203</c:v>
                </c:pt>
                <c:pt idx="7">
                  <c:v>357.97620898028924</c:v>
                </c:pt>
                <c:pt idx="8">
                  <c:v>357.69226998680301</c:v>
                </c:pt>
                <c:pt idx="9">
                  <c:v>357.40816702697202</c:v>
                </c:pt>
                <c:pt idx="10">
                  <c:v>357.12389971773143</c:v>
                </c:pt>
                <c:pt idx="11">
                  <c:v>356.83946763544702</c:v>
                </c:pt>
                <c:pt idx="12">
                  <c:v>356.55487032788704</c:v>
                </c:pt>
                <c:pt idx="13">
                  <c:v>356.27010732635227</c:v>
                </c:pt>
                <c:pt idx="14">
                  <c:v>355.9851781579452</c:v>
                </c:pt>
                <c:pt idx="15">
                  <c:v>355.70008235795694</c:v>
                </c:pt>
                <c:pt idx="16">
                  <c:v>355.41481948235486</c:v>
                </c:pt>
                <c:pt idx="17">
                  <c:v>355.12938912034554</c:v>
                </c:pt>
                <c:pt idx="18">
                  <c:v>354.84379090699656</c:v>
                </c:pt>
                <c:pt idx="19">
                  <c:v>354.55802453589405</c:v>
                </c:pt>
                <c:pt idx="20">
                  <c:v>354.27208977181311</c:v>
                </c:pt>
                <c:pt idx="21">
                  <c:v>353.98598646338343</c:v>
                </c:pt>
                <c:pt idx="22">
                  <c:v>353.69971455572374</c:v>
                </c:pt>
                <c:pt idx="23">
                  <c:v>353.41327410302642</c:v>
                </c:pt>
                <c:pt idx="24">
                  <c:v>353.1266652810686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SERFTbl1!$F$11</c:f>
              <c:strCache>
                <c:ptCount val="1"/>
                <c:pt idx="0">
                  <c:v>Average Profit: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SERFTbl1!$F$11</c:f>
                  <c:strCache>
                    <c:ptCount val="1"/>
                    <c:pt idx="0">
                      <c:v>Average Profit: 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4.7619047619047619E-4</c:v>
                </c:pt>
                <c:pt idx="2">
                  <c:v>9.5238095238095238E-4</c:v>
                </c:pt>
                <c:pt idx="3">
                  <c:v>1.4285714285714286E-3</c:v>
                </c:pt>
                <c:pt idx="4">
                  <c:v>1.9047619047619048E-3</c:v>
                </c:pt>
                <c:pt idx="5">
                  <c:v>2.3809523809523812E-3</c:v>
                </c:pt>
                <c:pt idx="6">
                  <c:v>2.8571428571428576E-3</c:v>
                </c:pt>
                <c:pt idx="7">
                  <c:v>3.333333333333334E-3</c:v>
                </c:pt>
                <c:pt idx="8">
                  <c:v>3.8095238095238104E-3</c:v>
                </c:pt>
                <c:pt idx="9">
                  <c:v>4.2857142857142868E-3</c:v>
                </c:pt>
                <c:pt idx="10">
                  <c:v>4.7619047619047632E-3</c:v>
                </c:pt>
                <c:pt idx="11">
                  <c:v>5.2380952380952396E-3</c:v>
                </c:pt>
                <c:pt idx="12">
                  <c:v>5.714285714285716E-3</c:v>
                </c:pt>
                <c:pt idx="13">
                  <c:v>6.1904761904761924E-3</c:v>
                </c:pt>
                <c:pt idx="14">
                  <c:v>6.6666666666666688E-3</c:v>
                </c:pt>
                <c:pt idx="15">
                  <c:v>7.1428571428571452E-3</c:v>
                </c:pt>
                <c:pt idx="16">
                  <c:v>7.6190476190476216E-3</c:v>
                </c:pt>
                <c:pt idx="17">
                  <c:v>8.095238095238098E-3</c:v>
                </c:pt>
                <c:pt idx="18">
                  <c:v>8.5714285714285736E-3</c:v>
                </c:pt>
                <c:pt idx="19">
                  <c:v>9.0476190476190491E-3</c:v>
                </c:pt>
                <c:pt idx="20">
                  <c:v>9.5238095238095247E-3</c:v>
                </c:pt>
                <c:pt idx="21">
                  <c:v>0.01</c:v>
                </c:pt>
                <c:pt idx="22">
                  <c:v>1.0476190476190476E-2</c:v>
                </c:pt>
                <c:pt idx="23">
                  <c:v>1.0952380952380951E-2</c:v>
                </c:pt>
                <c:pt idx="24">
                  <c:v>1.1428571428571427E-2</c:v>
                </c:pt>
              </c:numCache>
            </c:numRef>
          </c:xVal>
          <c:yVal>
            <c:numRef>
              <c:f>SERFTbl1!$F$12:$F$36</c:f>
              <c:numCache>
                <c:formatCode>#,##0.00</c:formatCode>
                <c:ptCount val="25"/>
                <c:pt idx="0">
                  <c:v>329.21323504461571</c:v>
                </c:pt>
                <c:pt idx="1">
                  <c:v>328.9276499704838</c:v>
                </c:pt>
                <c:pt idx="2">
                  <c:v>328.6414189958864</c:v>
                </c:pt>
                <c:pt idx="3">
                  <c:v>328.35455168679027</c:v>
                </c:pt>
                <c:pt idx="4">
                  <c:v>328.06705796424012</c:v>
                </c:pt>
                <c:pt idx="5">
                  <c:v>327.77894811127891</c:v>
                </c:pt>
                <c:pt idx="6">
                  <c:v>327.49023277954177</c:v>
                </c:pt>
                <c:pt idx="7">
                  <c:v>327.20092299548759</c:v>
                </c:pt>
                <c:pt idx="8">
                  <c:v>326.9110301662497</c:v>
                </c:pt>
                <c:pt idx="9">
                  <c:v>326.62056608507208</c:v>
                </c:pt>
                <c:pt idx="10">
                  <c:v>326.32954293630854</c:v>
                </c:pt>
                <c:pt idx="11">
                  <c:v>326.03797329995524</c:v>
                </c:pt>
                <c:pt idx="12">
                  <c:v>325.74587015569369</c:v>
                </c:pt>
                <c:pt idx="13">
                  <c:v>325.45324688641557</c:v>
                </c:pt>
                <c:pt idx="14">
                  <c:v>325.16011728120918</c:v>
                </c:pt>
                <c:pt idx="15">
                  <c:v>324.86649553778017</c:v>
                </c:pt>
                <c:pt idx="16">
                  <c:v>324.57239626428697</c:v>
                </c:pt>
                <c:pt idx="17">
                  <c:v>324.27783448056658</c:v>
                </c:pt>
                <c:pt idx="18">
                  <c:v>323.98282561873452</c:v>
                </c:pt>
                <c:pt idx="19">
                  <c:v>323.68738552313624</c:v>
                </c:pt>
                <c:pt idx="20">
                  <c:v>323.39153044963507</c:v>
                </c:pt>
                <c:pt idx="21">
                  <c:v>323.09527706422011</c:v>
                </c:pt>
                <c:pt idx="22">
                  <c:v>322.79864244092005</c:v>
                </c:pt>
                <c:pt idx="23">
                  <c:v>322.5016440590104</c:v>
                </c:pt>
                <c:pt idx="24">
                  <c:v>322.20429979950433</c:v>
                </c:pt>
              </c:numCache>
            </c:numRef>
          </c:yVal>
          <c:smooth val="1"/>
        </c:ser>
        <c:axId val="49330048"/>
        <c:axId val="49344512"/>
      </c:scatterChart>
      <c:valAx>
        <c:axId val="49330048"/>
        <c:scaling>
          <c:orientation val="minMax"/>
        </c:scaling>
        <c:axPos val="b"/>
        <c:title>
          <c:tx>
            <c:strRef>
              <c:f>SERFTbl1!$B$11</c:f>
              <c:strCache>
                <c:ptCount val="1"/>
                <c:pt idx="0">
                  <c:v>ARAC</c:v>
                </c:pt>
              </c:strCache>
            </c:strRef>
          </c:tx>
          <c:layout>
            <c:manualLayout>
              <c:xMode val="edge"/>
              <c:yMode val="edge"/>
              <c:x val="0.4982322768628204"/>
              <c:y val="0.844291740186978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44512"/>
        <c:crosses val="autoZero"/>
        <c:crossBetween val="midCat"/>
      </c:valAx>
      <c:valAx>
        <c:axId val="49344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300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6269782606871984E-2"/>
          <c:y val="0.93075535213383775"/>
          <c:w val="0.92965179629192929"/>
          <c:h val="5.340399561423659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6706812828891103"/>
          <c:y val="2.8771091234598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47781990117908"/>
          <c:y val="0.1384608765665046"/>
          <c:w val="0.84368292187398364"/>
          <c:h val="0.73006644007793342"/>
        </c:manualLayout>
      </c:layout>
      <c:scatterChart>
        <c:scatterStyle val="smoothMarker"/>
        <c:ser>
          <c:idx val="0"/>
          <c:order val="0"/>
          <c:tx>
            <c:strRef>
              <c:f>SimData2!$P$5</c:f>
              <c:strCache>
                <c:ptCount val="1"/>
                <c:pt idx="0">
                  <c:v>Average Cost: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SimData2!$P$6:$P$105</c:f>
              <c:numCache>
                <c:formatCode>General</c:formatCode>
                <c:ptCount val="100"/>
                <c:pt idx="0">
                  <c:v>425.07385813111432</c:v>
                </c:pt>
                <c:pt idx="1">
                  <c:v>425.22756621683266</c:v>
                </c:pt>
                <c:pt idx="2">
                  <c:v>442.96619200852365</c:v>
                </c:pt>
                <c:pt idx="3">
                  <c:v>445.45140192527862</c:v>
                </c:pt>
                <c:pt idx="4">
                  <c:v>446.54562026148153</c:v>
                </c:pt>
                <c:pt idx="5">
                  <c:v>447.70109116082995</c:v>
                </c:pt>
                <c:pt idx="6">
                  <c:v>450.54512230893943</c:v>
                </c:pt>
                <c:pt idx="7">
                  <c:v>452.71066564987649</c:v>
                </c:pt>
                <c:pt idx="8">
                  <c:v>453.09483097023184</c:v>
                </c:pt>
                <c:pt idx="9">
                  <c:v>458.21253061039789</c:v>
                </c:pt>
                <c:pt idx="10">
                  <c:v>463.99828736244871</c:v>
                </c:pt>
                <c:pt idx="11">
                  <c:v>464.24376344176699</c:v>
                </c:pt>
                <c:pt idx="12">
                  <c:v>464.76380042750287</c:v>
                </c:pt>
                <c:pt idx="13">
                  <c:v>464.84839030656423</c:v>
                </c:pt>
                <c:pt idx="14">
                  <c:v>466.29166142019267</c:v>
                </c:pt>
                <c:pt idx="15">
                  <c:v>468.7500005218975</c:v>
                </c:pt>
                <c:pt idx="16">
                  <c:v>468.87778202889848</c:v>
                </c:pt>
                <c:pt idx="17">
                  <c:v>470.87384533605808</c:v>
                </c:pt>
                <c:pt idx="18">
                  <c:v>470.95649403312234</c:v>
                </c:pt>
                <c:pt idx="19">
                  <c:v>471.33818139862734</c:v>
                </c:pt>
                <c:pt idx="20">
                  <c:v>472.5542429977757</c:v>
                </c:pt>
                <c:pt idx="21">
                  <c:v>473.31407427560691</c:v>
                </c:pt>
                <c:pt idx="22">
                  <c:v>473.45684817827197</c:v>
                </c:pt>
                <c:pt idx="23">
                  <c:v>473.88538579315116</c:v>
                </c:pt>
                <c:pt idx="24">
                  <c:v>477.43502650824649</c:v>
                </c:pt>
                <c:pt idx="25">
                  <c:v>477.62913127948798</c:v>
                </c:pt>
                <c:pt idx="26">
                  <c:v>477.67617712561889</c:v>
                </c:pt>
                <c:pt idx="27">
                  <c:v>479.84384576188165</c:v>
                </c:pt>
                <c:pt idx="28">
                  <c:v>479.86523434760875</c:v>
                </c:pt>
                <c:pt idx="29">
                  <c:v>481.80520697593067</c:v>
                </c:pt>
                <c:pt idx="30">
                  <c:v>481.91599354669614</c:v>
                </c:pt>
                <c:pt idx="31">
                  <c:v>482.106118033298</c:v>
                </c:pt>
                <c:pt idx="32">
                  <c:v>482.87748017364737</c:v>
                </c:pt>
                <c:pt idx="33">
                  <c:v>482.99302138854989</c:v>
                </c:pt>
                <c:pt idx="34">
                  <c:v>482.99741025255173</c:v>
                </c:pt>
                <c:pt idx="35">
                  <c:v>483.12822782605008</c:v>
                </c:pt>
                <c:pt idx="36">
                  <c:v>484.65280656505058</c:v>
                </c:pt>
                <c:pt idx="37">
                  <c:v>484.97394272581187</c:v>
                </c:pt>
                <c:pt idx="38">
                  <c:v>485.65878809476862</c:v>
                </c:pt>
                <c:pt idx="39">
                  <c:v>485.73482507045048</c:v>
                </c:pt>
                <c:pt idx="40">
                  <c:v>486.36242565273204</c:v>
                </c:pt>
                <c:pt idx="41">
                  <c:v>486.62039122959425</c:v>
                </c:pt>
                <c:pt idx="42">
                  <c:v>486.63931490127868</c:v>
                </c:pt>
                <c:pt idx="43">
                  <c:v>487.23848273621149</c:v>
                </c:pt>
                <c:pt idx="44">
                  <c:v>487.3116228974219</c:v>
                </c:pt>
                <c:pt idx="45">
                  <c:v>487.64125734401722</c:v>
                </c:pt>
                <c:pt idx="46">
                  <c:v>488.3829137949653</c:v>
                </c:pt>
                <c:pt idx="47">
                  <c:v>488.55511239478312</c:v>
                </c:pt>
                <c:pt idx="48">
                  <c:v>489.332764939588</c:v>
                </c:pt>
                <c:pt idx="49">
                  <c:v>489.84665031256947</c:v>
                </c:pt>
                <c:pt idx="50">
                  <c:v>490.55971604098266</c:v>
                </c:pt>
                <c:pt idx="51">
                  <c:v>491.30560743036119</c:v>
                </c:pt>
                <c:pt idx="52">
                  <c:v>491.63301705536395</c:v>
                </c:pt>
                <c:pt idx="53">
                  <c:v>492.15401310667619</c:v>
                </c:pt>
                <c:pt idx="54">
                  <c:v>492.44593976513505</c:v>
                </c:pt>
                <c:pt idx="55">
                  <c:v>492.96267576561331</c:v>
                </c:pt>
                <c:pt idx="56">
                  <c:v>494.71699797138183</c:v>
                </c:pt>
                <c:pt idx="57">
                  <c:v>494.81143733322199</c:v>
                </c:pt>
                <c:pt idx="58">
                  <c:v>495.27189972582789</c:v>
                </c:pt>
                <c:pt idx="59">
                  <c:v>496.62335678576221</c:v>
                </c:pt>
                <c:pt idx="60">
                  <c:v>496.73689068452342</c:v>
                </c:pt>
                <c:pt idx="61">
                  <c:v>496.76629005257638</c:v>
                </c:pt>
                <c:pt idx="62">
                  <c:v>499.011995256923</c:v>
                </c:pt>
                <c:pt idx="63">
                  <c:v>499.03169092717525</c:v>
                </c:pt>
                <c:pt idx="64">
                  <c:v>500.8878086773272</c:v>
                </c:pt>
                <c:pt idx="65">
                  <c:v>503.74140647114154</c:v>
                </c:pt>
                <c:pt idx="66">
                  <c:v>504.71417299368966</c:v>
                </c:pt>
                <c:pt idx="67">
                  <c:v>504.73775849015681</c:v>
                </c:pt>
                <c:pt idx="68">
                  <c:v>505.11848678566309</c:v>
                </c:pt>
                <c:pt idx="69">
                  <c:v>505.88062898512516</c:v>
                </c:pt>
                <c:pt idx="70">
                  <c:v>506.87515328874071</c:v>
                </c:pt>
                <c:pt idx="71">
                  <c:v>507.86012496135118</c:v>
                </c:pt>
                <c:pt idx="72">
                  <c:v>508.04131862571285</c:v>
                </c:pt>
                <c:pt idx="73">
                  <c:v>508.19267558289795</c:v>
                </c:pt>
                <c:pt idx="74">
                  <c:v>509.44684393524369</c:v>
                </c:pt>
                <c:pt idx="75">
                  <c:v>509.50240415148858</c:v>
                </c:pt>
                <c:pt idx="76">
                  <c:v>509.59119850643094</c:v>
                </c:pt>
                <c:pt idx="77">
                  <c:v>510.66372885057763</c:v>
                </c:pt>
                <c:pt idx="78">
                  <c:v>511.33151851991704</c:v>
                </c:pt>
                <c:pt idx="79">
                  <c:v>511.98610686873587</c:v>
                </c:pt>
                <c:pt idx="80">
                  <c:v>512.02087080479919</c:v>
                </c:pt>
                <c:pt idx="81">
                  <c:v>512.61272561538158</c:v>
                </c:pt>
                <c:pt idx="82">
                  <c:v>512.63838142249006</c:v>
                </c:pt>
                <c:pt idx="83">
                  <c:v>513.98006632156671</c:v>
                </c:pt>
                <c:pt idx="84">
                  <c:v>515.98027241624095</c:v>
                </c:pt>
                <c:pt idx="85">
                  <c:v>516.25466325771026</c:v>
                </c:pt>
                <c:pt idx="86">
                  <c:v>516.26632712361243</c:v>
                </c:pt>
                <c:pt idx="87">
                  <c:v>516.85820689027776</c:v>
                </c:pt>
                <c:pt idx="88">
                  <c:v>518.12290873006714</c:v>
                </c:pt>
                <c:pt idx="89">
                  <c:v>519.38530537623683</c:v>
                </c:pt>
                <c:pt idx="90">
                  <c:v>519.88882401734679</c:v>
                </c:pt>
                <c:pt idx="91">
                  <c:v>520.65259696744897</c:v>
                </c:pt>
                <c:pt idx="92">
                  <c:v>521.20843112465866</c:v>
                </c:pt>
                <c:pt idx="93">
                  <c:v>522.57747806105181</c:v>
                </c:pt>
                <c:pt idx="94">
                  <c:v>523.48006706545061</c:v>
                </c:pt>
                <c:pt idx="95">
                  <c:v>525.43954229689996</c:v>
                </c:pt>
                <c:pt idx="96">
                  <c:v>526.13168482603669</c:v>
                </c:pt>
                <c:pt idx="97">
                  <c:v>528.94127763790777</c:v>
                </c:pt>
                <c:pt idx="98">
                  <c:v>529.93945049003821</c:v>
                </c:pt>
                <c:pt idx="99">
                  <c:v>531.97970488027045</c:v>
                </c:pt>
              </c:numCache>
            </c:numRef>
          </c:xVal>
          <c:yVal>
            <c:numRef>
              <c:f>SimData2!$Q$6:$Q$105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SimData2!$R$5</c:f>
              <c:strCache>
                <c:ptCount val="1"/>
                <c:pt idx="0">
                  <c:v>Average Cost: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SimData2!$R$6:$R$105</c:f>
              <c:numCache>
                <c:formatCode>General</c:formatCode>
                <c:ptCount val="100"/>
                <c:pt idx="0">
                  <c:v>464.84839030656423</c:v>
                </c:pt>
                <c:pt idx="1">
                  <c:v>468.7500005218975</c:v>
                </c:pt>
                <c:pt idx="2">
                  <c:v>470.87384533605808</c:v>
                </c:pt>
                <c:pt idx="3">
                  <c:v>472.5542429977757</c:v>
                </c:pt>
                <c:pt idx="4">
                  <c:v>473.45684817827197</c:v>
                </c:pt>
                <c:pt idx="5">
                  <c:v>473.88538579315116</c:v>
                </c:pt>
                <c:pt idx="6">
                  <c:v>477.62913127948798</c:v>
                </c:pt>
                <c:pt idx="7">
                  <c:v>481.13619613884941</c:v>
                </c:pt>
                <c:pt idx="8">
                  <c:v>482.106118033298</c:v>
                </c:pt>
                <c:pt idx="9">
                  <c:v>482.87748017364737</c:v>
                </c:pt>
                <c:pt idx="10">
                  <c:v>482.99302138854989</c:v>
                </c:pt>
                <c:pt idx="11">
                  <c:v>482.99741025255173</c:v>
                </c:pt>
                <c:pt idx="12">
                  <c:v>483.12822782605008</c:v>
                </c:pt>
                <c:pt idx="13">
                  <c:v>483.26972731579451</c:v>
                </c:pt>
                <c:pt idx="14">
                  <c:v>484.1839886380011</c:v>
                </c:pt>
                <c:pt idx="15">
                  <c:v>484.51947431001554</c:v>
                </c:pt>
                <c:pt idx="16">
                  <c:v>485.0389726060838</c:v>
                </c:pt>
                <c:pt idx="17">
                  <c:v>485.48593748804143</c:v>
                </c:pt>
                <c:pt idx="18">
                  <c:v>485.65878809476862</c:v>
                </c:pt>
                <c:pt idx="19">
                  <c:v>485.73482507045048</c:v>
                </c:pt>
                <c:pt idx="20">
                  <c:v>486.4596763106855</c:v>
                </c:pt>
                <c:pt idx="21">
                  <c:v>486.62039122959425</c:v>
                </c:pt>
                <c:pt idx="22">
                  <c:v>487.23848273621149</c:v>
                </c:pt>
                <c:pt idx="23">
                  <c:v>487.3116228974219</c:v>
                </c:pt>
                <c:pt idx="24">
                  <c:v>487.64125734401722</c:v>
                </c:pt>
                <c:pt idx="25">
                  <c:v>488.55511239478312</c:v>
                </c:pt>
                <c:pt idx="26">
                  <c:v>489.27651072378495</c:v>
                </c:pt>
                <c:pt idx="27">
                  <c:v>489.332764939588</c:v>
                </c:pt>
                <c:pt idx="28">
                  <c:v>489.84665031256947</c:v>
                </c:pt>
                <c:pt idx="29">
                  <c:v>489.88337005115466</c:v>
                </c:pt>
                <c:pt idx="30">
                  <c:v>490.19089504550249</c:v>
                </c:pt>
                <c:pt idx="31">
                  <c:v>491.34916267786139</c:v>
                </c:pt>
                <c:pt idx="32">
                  <c:v>491.63422813580627</c:v>
                </c:pt>
                <c:pt idx="33">
                  <c:v>491.68957834758169</c:v>
                </c:pt>
                <c:pt idx="34">
                  <c:v>492.15401310667619</c:v>
                </c:pt>
                <c:pt idx="35">
                  <c:v>492.41529564807604</c:v>
                </c:pt>
                <c:pt idx="36">
                  <c:v>492.44593976513505</c:v>
                </c:pt>
                <c:pt idx="37">
                  <c:v>493.08726358488383</c:v>
                </c:pt>
                <c:pt idx="38">
                  <c:v>494.81143733322199</c:v>
                </c:pt>
                <c:pt idx="39">
                  <c:v>494.88462396583645</c:v>
                </c:pt>
                <c:pt idx="40">
                  <c:v>495.27189972582789</c:v>
                </c:pt>
                <c:pt idx="41">
                  <c:v>495.63743867019531</c:v>
                </c:pt>
                <c:pt idx="42">
                  <c:v>495.69521866030948</c:v>
                </c:pt>
                <c:pt idx="43">
                  <c:v>496.63688296500385</c:v>
                </c:pt>
                <c:pt idx="44">
                  <c:v>496.76629005257638</c:v>
                </c:pt>
                <c:pt idx="45">
                  <c:v>498.20415184773276</c:v>
                </c:pt>
                <c:pt idx="46">
                  <c:v>498.21938189525883</c:v>
                </c:pt>
                <c:pt idx="47">
                  <c:v>498.83597831795322</c:v>
                </c:pt>
                <c:pt idx="48">
                  <c:v>499.03169092717525</c:v>
                </c:pt>
                <c:pt idx="49">
                  <c:v>499.0491481911198</c:v>
                </c:pt>
                <c:pt idx="50">
                  <c:v>499.76321334493684</c:v>
                </c:pt>
                <c:pt idx="51">
                  <c:v>500.61899725856091</c:v>
                </c:pt>
                <c:pt idx="52">
                  <c:v>500.73779569636793</c:v>
                </c:pt>
                <c:pt idx="53">
                  <c:v>500.89773200449935</c:v>
                </c:pt>
                <c:pt idx="54">
                  <c:v>501.16731712270928</c:v>
                </c:pt>
                <c:pt idx="55">
                  <c:v>502.71249374470761</c:v>
                </c:pt>
                <c:pt idx="56">
                  <c:v>503.73609028728345</c:v>
                </c:pt>
                <c:pt idx="57">
                  <c:v>504.73775849015681</c:v>
                </c:pt>
                <c:pt idx="58">
                  <c:v>505.11848678566309</c:v>
                </c:pt>
                <c:pt idx="59">
                  <c:v>505.8230193886202</c:v>
                </c:pt>
                <c:pt idx="60">
                  <c:v>505.88062898512516</c:v>
                </c:pt>
                <c:pt idx="61">
                  <c:v>506.87515328874071</c:v>
                </c:pt>
                <c:pt idx="62">
                  <c:v>508.03333270406637</c:v>
                </c:pt>
                <c:pt idx="63">
                  <c:v>508.04131862571285</c:v>
                </c:pt>
                <c:pt idx="64">
                  <c:v>508.17524782243527</c:v>
                </c:pt>
                <c:pt idx="65">
                  <c:v>508.99969679333316</c:v>
                </c:pt>
                <c:pt idx="66">
                  <c:v>509.18250307598402</c:v>
                </c:pt>
                <c:pt idx="67">
                  <c:v>509.50240415148858</c:v>
                </c:pt>
                <c:pt idx="68">
                  <c:v>509.59119850643094</c:v>
                </c:pt>
                <c:pt idx="69">
                  <c:v>509.90614040016663</c:v>
                </c:pt>
                <c:pt idx="70">
                  <c:v>510.45516225939957</c:v>
                </c:pt>
                <c:pt idx="71">
                  <c:v>511.05715871357143</c:v>
                </c:pt>
                <c:pt idx="72">
                  <c:v>511.61517769945539</c:v>
                </c:pt>
                <c:pt idx="73">
                  <c:v>511.98610686873587</c:v>
                </c:pt>
                <c:pt idx="74">
                  <c:v>512.02087080479919</c:v>
                </c:pt>
                <c:pt idx="75">
                  <c:v>512.81298496797672</c:v>
                </c:pt>
                <c:pt idx="76">
                  <c:v>514.36603122627901</c:v>
                </c:pt>
                <c:pt idx="77">
                  <c:v>514.79939626893861</c:v>
                </c:pt>
                <c:pt idx="78">
                  <c:v>516.04446876388329</c:v>
                </c:pt>
                <c:pt idx="79">
                  <c:v>516.25466325771026</c:v>
                </c:pt>
                <c:pt idx="80">
                  <c:v>518.14691875382823</c:v>
                </c:pt>
                <c:pt idx="81">
                  <c:v>518.16665554015572</c:v>
                </c:pt>
                <c:pt idx="82">
                  <c:v>520.65259696744897</c:v>
                </c:pt>
                <c:pt idx="83">
                  <c:v>521.47446694758059</c:v>
                </c:pt>
                <c:pt idx="84">
                  <c:v>522.57747806105181</c:v>
                </c:pt>
                <c:pt idx="85">
                  <c:v>525.43954229689996</c:v>
                </c:pt>
                <c:pt idx="86">
                  <c:v>526.12060330269446</c:v>
                </c:pt>
                <c:pt idx="87">
                  <c:v>526.13168482603669</c:v>
                </c:pt>
                <c:pt idx="88">
                  <c:v>528.5797330047975</c:v>
                </c:pt>
                <c:pt idx="89">
                  <c:v>529.01333896289384</c:v>
                </c:pt>
                <c:pt idx="90">
                  <c:v>529.66525877120898</c:v>
                </c:pt>
                <c:pt idx="91">
                  <c:v>529.93945049003821</c:v>
                </c:pt>
                <c:pt idx="92">
                  <c:v>531.97970488027045</c:v>
                </c:pt>
                <c:pt idx="93">
                  <c:v>534.1431776775438</c:v>
                </c:pt>
                <c:pt idx="94">
                  <c:v>540.91601591063863</c:v>
                </c:pt>
                <c:pt idx="95">
                  <c:v>542.66592726239878</c:v>
                </c:pt>
                <c:pt idx="96">
                  <c:v>544.30462586190902</c:v>
                </c:pt>
                <c:pt idx="97">
                  <c:v>554.84301494139913</c:v>
                </c:pt>
                <c:pt idx="98">
                  <c:v>557.94839810466124</c:v>
                </c:pt>
                <c:pt idx="99">
                  <c:v>558.65659859849188</c:v>
                </c:pt>
              </c:numCache>
            </c:numRef>
          </c:xVal>
          <c:yVal>
            <c:numRef>
              <c:f>SimData2!$S$6:$S$105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SimData2!$T$5</c:f>
              <c:strCache>
                <c:ptCount val="1"/>
                <c:pt idx="0">
                  <c:v>Average Cost: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SimData2!$T$6:$T$105</c:f>
              <c:numCache>
                <c:formatCode>General</c:formatCode>
                <c:ptCount val="100"/>
                <c:pt idx="0">
                  <c:v>486.64841611626559</c:v>
                </c:pt>
                <c:pt idx="1">
                  <c:v>490.14449021743042</c:v>
                </c:pt>
                <c:pt idx="2">
                  <c:v>491.68957834758169</c:v>
                </c:pt>
                <c:pt idx="3">
                  <c:v>492.00692499634226</c:v>
                </c:pt>
                <c:pt idx="4">
                  <c:v>492.34039591605108</c:v>
                </c:pt>
                <c:pt idx="5">
                  <c:v>493.08726358488383</c:v>
                </c:pt>
                <c:pt idx="6">
                  <c:v>493.21256542243765</c:v>
                </c:pt>
                <c:pt idx="7">
                  <c:v>493.21657914938197</c:v>
                </c:pt>
                <c:pt idx="8">
                  <c:v>494.81143733322199</c:v>
                </c:pt>
                <c:pt idx="9">
                  <c:v>496.38874492842262</c:v>
                </c:pt>
                <c:pt idx="10">
                  <c:v>497.00942639961357</c:v>
                </c:pt>
                <c:pt idx="11">
                  <c:v>497.43476636803769</c:v>
                </c:pt>
                <c:pt idx="12">
                  <c:v>498.03331617456035</c:v>
                </c:pt>
                <c:pt idx="13">
                  <c:v>498.09239954052839</c:v>
                </c:pt>
                <c:pt idx="14">
                  <c:v>498.17941741569405</c:v>
                </c:pt>
                <c:pt idx="15">
                  <c:v>498.20415184773276</c:v>
                </c:pt>
                <c:pt idx="16">
                  <c:v>498.21938189525883</c:v>
                </c:pt>
                <c:pt idx="17">
                  <c:v>498.48089224073709</c:v>
                </c:pt>
                <c:pt idx="18">
                  <c:v>499.76321334493684</c:v>
                </c:pt>
                <c:pt idx="19">
                  <c:v>500.73779569636793</c:v>
                </c:pt>
                <c:pt idx="20">
                  <c:v>501.16731712270928</c:v>
                </c:pt>
                <c:pt idx="21">
                  <c:v>501.29855347348285</c:v>
                </c:pt>
                <c:pt idx="22">
                  <c:v>501.39033377178464</c:v>
                </c:pt>
                <c:pt idx="23">
                  <c:v>502.12511516766165</c:v>
                </c:pt>
                <c:pt idx="24">
                  <c:v>503.49999320783053</c:v>
                </c:pt>
                <c:pt idx="25">
                  <c:v>503.73609028728345</c:v>
                </c:pt>
                <c:pt idx="26">
                  <c:v>503.77464998940684</c:v>
                </c:pt>
                <c:pt idx="27">
                  <c:v>504.20110444452865</c:v>
                </c:pt>
                <c:pt idx="28">
                  <c:v>505.11848678566309</c:v>
                </c:pt>
                <c:pt idx="29">
                  <c:v>508.03333270406637</c:v>
                </c:pt>
                <c:pt idx="30">
                  <c:v>508.99969679333316</c:v>
                </c:pt>
                <c:pt idx="31">
                  <c:v>511.05715871357143</c:v>
                </c:pt>
                <c:pt idx="32">
                  <c:v>511.70289761530631</c:v>
                </c:pt>
                <c:pt idx="33">
                  <c:v>512.81298496797672</c:v>
                </c:pt>
                <c:pt idx="34">
                  <c:v>512.93571445333487</c:v>
                </c:pt>
                <c:pt idx="35">
                  <c:v>520.65259696744897</c:v>
                </c:pt>
                <c:pt idx="36">
                  <c:v>529.14863740345538</c:v>
                </c:pt>
                <c:pt idx="37">
                  <c:v>529.66525877120898</c:v>
                </c:pt>
                <c:pt idx="38">
                  <c:v>531.97970488027045</c:v>
                </c:pt>
                <c:pt idx="39">
                  <c:v>535.54290918531115</c:v>
                </c:pt>
                <c:pt idx="40">
                  <c:v>536.00437525943039</c:v>
                </c:pt>
                <c:pt idx="41">
                  <c:v>536.706551395921</c:v>
                </c:pt>
                <c:pt idx="42">
                  <c:v>536.76109737559386</c:v>
                </c:pt>
                <c:pt idx="43">
                  <c:v>536.77365815353642</c:v>
                </c:pt>
                <c:pt idx="44">
                  <c:v>539.99473877958144</c:v>
                </c:pt>
                <c:pt idx="45">
                  <c:v>542.05685437644422</c:v>
                </c:pt>
                <c:pt idx="46">
                  <c:v>542.66592726239878</c:v>
                </c:pt>
                <c:pt idx="47">
                  <c:v>543.67130873002122</c:v>
                </c:pt>
                <c:pt idx="48">
                  <c:v>544.30462586190902</c:v>
                </c:pt>
                <c:pt idx="49">
                  <c:v>544.52807000817143</c:v>
                </c:pt>
                <c:pt idx="50">
                  <c:v>544.53626229327119</c:v>
                </c:pt>
                <c:pt idx="51">
                  <c:v>544.60117342214653</c:v>
                </c:pt>
                <c:pt idx="52">
                  <c:v>544.76515082469848</c:v>
                </c:pt>
                <c:pt idx="53">
                  <c:v>544.90655044919026</c:v>
                </c:pt>
                <c:pt idx="54">
                  <c:v>547.35012308128557</c:v>
                </c:pt>
                <c:pt idx="55">
                  <c:v>548.39036422129857</c:v>
                </c:pt>
                <c:pt idx="56">
                  <c:v>549.56128212766748</c:v>
                </c:pt>
                <c:pt idx="57">
                  <c:v>549.88266844069699</c:v>
                </c:pt>
                <c:pt idx="58">
                  <c:v>550.10673443781945</c:v>
                </c:pt>
                <c:pt idx="59">
                  <c:v>550.4025588087959</c:v>
                </c:pt>
                <c:pt idx="60">
                  <c:v>552.00402172908412</c:v>
                </c:pt>
                <c:pt idx="61">
                  <c:v>552.13477263043887</c:v>
                </c:pt>
                <c:pt idx="62">
                  <c:v>552.21655154945563</c:v>
                </c:pt>
                <c:pt idx="63">
                  <c:v>552.77785093245348</c:v>
                </c:pt>
                <c:pt idx="64">
                  <c:v>553.14433405856312</c:v>
                </c:pt>
                <c:pt idx="65">
                  <c:v>553.46606610754816</c:v>
                </c:pt>
                <c:pt idx="66">
                  <c:v>553.58462036487686</c:v>
                </c:pt>
                <c:pt idx="67">
                  <c:v>554.28062985186466</c:v>
                </c:pt>
                <c:pt idx="68">
                  <c:v>555.26155617187158</c:v>
                </c:pt>
                <c:pt idx="69">
                  <c:v>555.93076467831725</c:v>
                </c:pt>
                <c:pt idx="70">
                  <c:v>556.54605148749329</c:v>
                </c:pt>
                <c:pt idx="71">
                  <c:v>557.00089881600968</c:v>
                </c:pt>
                <c:pt idx="72">
                  <c:v>557.46473488117601</c:v>
                </c:pt>
                <c:pt idx="73">
                  <c:v>557.70872144838245</c:v>
                </c:pt>
                <c:pt idx="74">
                  <c:v>557.94839810466124</c:v>
                </c:pt>
                <c:pt idx="75">
                  <c:v>558.65659859849188</c:v>
                </c:pt>
                <c:pt idx="76">
                  <c:v>559.08037969372003</c:v>
                </c:pt>
                <c:pt idx="77">
                  <c:v>559.15476322196196</c:v>
                </c:pt>
                <c:pt idx="78">
                  <c:v>559.70238446411645</c:v>
                </c:pt>
                <c:pt idx="79">
                  <c:v>560.93429587093283</c:v>
                </c:pt>
                <c:pt idx="80">
                  <c:v>561.06392241922617</c:v>
                </c:pt>
                <c:pt idx="81">
                  <c:v>561.43045609651347</c:v>
                </c:pt>
                <c:pt idx="82">
                  <c:v>561.61406767554433</c:v>
                </c:pt>
                <c:pt idx="83">
                  <c:v>561.86680885882106</c:v>
                </c:pt>
                <c:pt idx="84">
                  <c:v>562.91756519752039</c:v>
                </c:pt>
                <c:pt idx="85">
                  <c:v>562.93400827587902</c:v>
                </c:pt>
                <c:pt idx="86">
                  <c:v>563.25434361434122</c:v>
                </c:pt>
                <c:pt idx="87">
                  <c:v>564.43119138296947</c:v>
                </c:pt>
                <c:pt idx="88">
                  <c:v>568.83371679390109</c:v>
                </c:pt>
                <c:pt idx="89">
                  <c:v>569.34496044959599</c:v>
                </c:pt>
                <c:pt idx="90">
                  <c:v>570.58771605882828</c:v>
                </c:pt>
                <c:pt idx="91">
                  <c:v>572.59946235438144</c:v>
                </c:pt>
                <c:pt idx="92">
                  <c:v>573.73029194250853</c:v>
                </c:pt>
                <c:pt idx="93">
                  <c:v>578.15821224407227</c:v>
                </c:pt>
                <c:pt idx="94">
                  <c:v>578.22110243732664</c:v>
                </c:pt>
                <c:pt idx="95">
                  <c:v>587.1008986260241</c:v>
                </c:pt>
                <c:pt idx="96">
                  <c:v>588.85943918933413</c:v>
                </c:pt>
                <c:pt idx="97">
                  <c:v>589.55007906463618</c:v>
                </c:pt>
                <c:pt idx="98">
                  <c:v>593.9753654350236</c:v>
                </c:pt>
                <c:pt idx="99">
                  <c:v>599.07657715402934</c:v>
                </c:pt>
              </c:numCache>
            </c:numRef>
          </c:xVal>
          <c:yVal>
            <c:numRef>
              <c:f>SimData2!$U$6:$U$105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SimData2!$V$5</c:f>
              <c:strCache>
                <c:ptCount val="1"/>
                <c:pt idx="0">
                  <c:v>Average Cost: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SimData2!$V$6:$V$105</c:f>
              <c:numCache>
                <c:formatCode>General</c:formatCode>
                <c:ptCount val="100"/>
                <c:pt idx="0">
                  <c:v>493.21657914938197</c:v>
                </c:pt>
                <c:pt idx="1">
                  <c:v>508.99969679333316</c:v>
                </c:pt>
                <c:pt idx="2">
                  <c:v>530.75925078255159</c:v>
                </c:pt>
                <c:pt idx="3">
                  <c:v>533.86493499094217</c:v>
                </c:pt>
                <c:pt idx="4">
                  <c:v>541.66376319291101</c:v>
                </c:pt>
                <c:pt idx="5">
                  <c:v>542.05685437644422</c:v>
                </c:pt>
                <c:pt idx="6">
                  <c:v>542.28396428544329</c:v>
                </c:pt>
                <c:pt idx="7">
                  <c:v>543.10365854503721</c:v>
                </c:pt>
                <c:pt idx="8">
                  <c:v>543.67130873002122</c:v>
                </c:pt>
                <c:pt idx="9">
                  <c:v>544.53626229327119</c:v>
                </c:pt>
                <c:pt idx="10">
                  <c:v>544.90655044919026</c:v>
                </c:pt>
                <c:pt idx="11">
                  <c:v>546.29528445076051</c:v>
                </c:pt>
                <c:pt idx="12">
                  <c:v>547.75322356307913</c:v>
                </c:pt>
                <c:pt idx="13">
                  <c:v>548.29725051913044</c:v>
                </c:pt>
                <c:pt idx="14">
                  <c:v>548.32413810506409</c:v>
                </c:pt>
                <c:pt idx="15">
                  <c:v>548.39036422129857</c:v>
                </c:pt>
                <c:pt idx="16">
                  <c:v>549.37989492043596</c:v>
                </c:pt>
                <c:pt idx="17">
                  <c:v>549.88266844069699</c:v>
                </c:pt>
                <c:pt idx="18">
                  <c:v>550.04586708110332</c:v>
                </c:pt>
                <c:pt idx="19">
                  <c:v>550.10673443781945</c:v>
                </c:pt>
                <c:pt idx="20">
                  <c:v>550.31369112411426</c:v>
                </c:pt>
                <c:pt idx="21">
                  <c:v>550.66855854187156</c:v>
                </c:pt>
                <c:pt idx="22">
                  <c:v>550.81769795643663</c:v>
                </c:pt>
                <c:pt idx="23">
                  <c:v>552.00402172908412</c:v>
                </c:pt>
                <c:pt idx="24">
                  <c:v>552.13477263043887</c:v>
                </c:pt>
                <c:pt idx="25">
                  <c:v>552.21655154945563</c:v>
                </c:pt>
                <c:pt idx="26">
                  <c:v>552.77785093245348</c:v>
                </c:pt>
                <c:pt idx="27">
                  <c:v>553.46606610754816</c:v>
                </c:pt>
                <c:pt idx="28">
                  <c:v>555.93076467831725</c:v>
                </c:pt>
                <c:pt idx="29">
                  <c:v>556.32463543116842</c:v>
                </c:pt>
                <c:pt idx="30">
                  <c:v>557.00089881600968</c:v>
                </c:pt>
                <c:pt idx="31">
                  <c:v>557.46473488117601</c:v>
                </c:pt>
                <c:pt idx="32">
                  <c:v>557.70872144838245</c:v>
                </c:pt>
                <c:pt idx="33">
                  <c:v>558.65659859849188</c:v>
                </c:pt>
                <c:pt idx="34">
                  <c:v>559.08037969372003</c:v>
                </c:pt>
                <c:pt idx="35">
                  <c:v>559.70238446411645</c:v>
                </c:pt>
                <c:pt idx="36">
                  <c:v>560.93429587093283</c:v>
                </c:pt>
                <c:pt idx="37">
                  <c:v>561.06392241922617</c:v>
                </c:pt>
                <c:pt idx="38">
                  <c:v>561.10876287783594</c:v>
                </c:pt>
                <c:pt idx="39">
                  <c:v>561.43045609651347</c:v>
                </c:pt>
                <c:pt idx="40">
                  <c:v>561.86680885882106</c:v>
                </c:pt>
                <c:pt idx="41">
                  <c:v>562.16249147532631</c:v>
                </c:pt>
                <c:pt idx="42">
                  <c:v>562.91756519752039</c:v>
                </c:pt>
                <c:pt idx="43">
                  <c:v>562.93400827587902</c:v>
                </c:pt>
                <c:pt idx="44">
                  <c:v>563.25434361434122</c:v>
                </c:pt>
                <c:pt idx="45">
                  <c:v>564.43119138296947</c:v>
                </c:pt>
                <c:pt idx="46">
                  <c:v>565.81974923645305</c:v>
                </c:pt>
                <c:pt idx="47">
                  <c:v>568.23454720881477</c:v>
                </c:pt>
                <c:pt idx="48">
                  <c:v>568.83371679390109</c:v>
                </c:pt>
                <c:pt idx="49">
                  <c:v>570.0836261903429</c:v>
                </c:pt>
                <c:pt idx="50">
                  <c:v>570.58771605882828</c:v>
                </c:pt>
                <c:pt idx="51">
                  <c:v>572.59099317898335</c:v>
                </c:pt>
                <c:pt idx="52">
                  <c:v>572.59946235438144</c:v>
                </c:pt>
                <c:pt idx="53">
                  <c:v>573.73029194250853</c:v>
                </c:pt>
                <c:pt idx="54">
                  <c:v>576.6425676918617</c:v>
                </c:pt>
                <c:pt idx="55">
                  <c:v>577.76511114072139</c:v>
                </c:pt>
                <c:pt idx="56">
                  <c:v>578.15821224407227</c:v>
                </c:pt>
                <c:pt idx="57">
                  <c:v>578.22110243732664</c:v>
                </c:pt>
                <c:pt idx="58">
                  <c:v>579.8008575196427</c:v>
                </c:pt>
                <c:pt idx="59">
                  <c:v>579.98529699122685</c:v>
                </c:pt>
                <c:pt idx="60">
                  <c:v>580.08442589766685</c:v>
                </c:pt>
                <c:pt idx="61">
                  <c:v>580.48468542421745</c:v>
                </c:pt>
                <c:pt idx="62">
                  <c:v>580.85470876403645</c:v>
                </c:pt>
                <c:pt idx="63">
                  <c:v>581.48103843525837</c:v>
                </c:pt>
                <c:pt idx="64">
                  <c:v>581.91229412703012</c:v>
                </c:pt>
                <c:pt idx="65">
                  <c:v>582.3266056278153</c:v>
                </c:pt>
                <c:pt idx="66">
                  <c:v>582.77798861873657</c:v>
                </c:pt>
                <c:pt idx="67">
                  <c:v>583.91670216179386</c:v>
                </c:pt>
                <c:pt idx="68">
                  <c:v>584.64992660730513</c:v>
                </c:pt>
                <c:pt idx="69">
                  <c:v>585.11778960861977</c:v>
                </c:pt>
                <c:pt idx="70">
                  <c:v>585.23890343288167</c:v>
                </c:pt>
                <c:pt idx="71">
                  <c:v>585.86612883834118</c:v>
                </c:pt>
                <c:pt idx="72">
                  <c:v>587.1008986260241</c:v>
                </c:pt>
                <c:pt idx="73">
                  <c:v>587.6706876625118</c:v>
                </c:pt>
                <c:pt idx="74">
                  <c:v>587.98553244945322</c:v>
                </c:pt>
                <c:pt idx="75">
                  <c:v>588.85943918933413</c:v>
                </c:pt>
                <c:pt idx="76">
                  <c:v>589.29844362247081</c:v>
                </c:pt>
                <c:pt idx="77">
                  <c:v>589.55007906463618</c:v>
                </c:pt>
                <c:pt idx="78">
                  <c:v>589.87654853088407</c:v>
                </c:pt>
                <c:pt idx="79">
                  <c:v>590.99383100258569</c:v>
                </c:pt>
                <c:pt idx="80">
                  <c:v>591.20087109152814</c:v>
                </c:pt>
                <c:pt idx="81">
                  <c:v>591.79519470872265</c:v>
                </c:pt>
                <c:pt idx="82">
                  <c:v>591.92073073756524</c:v>
                </c:pt>
                <c:pt idx="83">
                  <c:v>593.9753654350236</c:v>
                </c:pt>
                <c:pt idx="84">
                  <c:v>594.06275064810927</c:v>
                </c:pt>
                <c:pt idx="85">
                  <c:v>594.82953324191874</c:v>
                </c:pt>
                <c:pt idx="86">
                  <c:v>597.33275979636323</c:v>
                </c:pt>
                <c:pt idx="87">
                  <c:v>597.34274153506078</c:v>
                </c:pt>
                <c:pt idx="88">
                  <c:v>599.07657715402934</c:v>
                </c:pt>
                <c:pt idx="89">
                  <c:v>599.59715556336835</c:v>
                </c:pt>
                <c:pt idx="90">
                  <c:v>599.70477384958429</c:v>
                </c:pt>
                <c:pt idx="91">
                  <c:v>600.52307102027169</c:v>
                </c:pt>
                <c:pt idx="92">
                  <c:v>600.70040170440518</c:v>
                </c:pt>
                <c:pt idx="93">
                  <c:v>601.44849571768805</c:v>
                </c:pt>
                <c:pt idx="94">
                  <c:v>601.50542024727827</c:v>
                </c:pt>
                <c:pt idx="95">
                  <c:v>603.17091631040273</c:v>
                </c:pt>
                <c:pt idx="96">
                  <c:v>603.17749791506469</c:v>
                </c:pt>
                <c:pt idx="97">
                  <c:v>605.65921039617729</c:v>
                </c:pt>
                <c:pt idx="98">
                  <c:v>607.88723593066516</c:v>
                </c:pt>
                <c:pt idx="99">
                  <c:v>610.87977761973593</c:v>
                </c:pt>
              </c:numCache>
            </c:numRef>
          </c:xVal>
          <c:yVal>
            <c:numRef>
              <c:f>SimData2!$W$6:$W$105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SimData2!$X$5</c:f>
              <c:strCache>
                <c:ptCount val="1"/>
                <c:pt idx="0">
                  <c:v>Scenario 5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SimData2!$X$6:$X$105</c:f>
              <c:numCache>
                <c:formatCode>General</c:formatCode>
                <c:ptCount val="100"/>
                <c:pt idx="0">
                  <c:v>482.77276266163375</c:v>
                </c:pt>
                <c:pt idx="1">
                  <c:v>483.03805838741346</c:v>
                </c:pt>
                <c:pt idx="2">
                  <c:v>485.3061324673335</c:v>
                </c:pt>
                <c:pt idx="3">
                  <c:v>487.27326959660036</c:v>
                </c:pt>
                <c:pt idx="4">
                  <c:v>490.02628241733282</c:v>
                </c:pt>
                <c:pt idx="5">
                  <c:v>490.51798610462674</c:v>
                </c:pt>
                <c:pt idx="6">
                  <c:v>491.72314429277321</c:v>
                </c:pt>
                <c:pt idx="7">
                  <c:v>491.80960032412685</c:v>
                </c:pt>
                <c:pt idx="8">
                  <c:v>492.88409331965823</c:v>
                </c:pt>
                <c:pt idx="9">
                  <c:v>493.09274131059817</c:v>
                </c:pt>
                <c:pt idx="10">
                  <c:v>493.98094162647101</c:v>
                </c:pt>
                <c:pt idx="11">
                  <c:v>494.23539803898382</c:v>
                </c:pt>
                <c:pt idx="12">
                  <c:v>495.34667631152416</c:v>
                </c:pt>
                <c:pt idx="13">
                  <c:v>496.18371865911553</c:v>
                </c:pt>
                <c:pt idx="14">
                  <c:v>496.81082693978061</c:v>
                </c:pt>
                <c:pt idx="15">
                  <c:v>496.99484161144937</c:v>
                </c:pt>
                <c:pt idx="16">
                  <c:v>497.66964107168059</c:v>
                </c:pt>
                <c:pt idx="17">
                  <c:v>499.42077615175924</c:v>
                </c:pt>
                <c:pt idx="18">
                  <c:v>499.4579132279186</c:v>
                </c:pt>
                <c:pt idx="19">
                  <c:v>499.9684911624268</c:v>
                </c:pt>
                <c:pt idx="20">
                  <c:v>500.51513581660828</c:v>
                </c:pt>
                <c:pt idx="21">
                  <c:v>500.54803651994649</c:v>
                </c:pt>
                <c:pt idx="22">
                  <c:v>501.25634957595406</c:v>
                </c:pt>
                <c:pt idx="23">
                  <c:v>501.59235570016523</c:v>
                </c:pt>
                <c:pt idx="24">
                  <c:v>502.03804804744055</c:v>
                </c:pt>
                <c:pt idx="25">
                  <c:v>502.67784266159117</c:v>
                </c:pt>
                <c:pt idx="26">
                  <c:v>502.8988382379398</c:v>
                </c:pt>
                <c:pt idx="27">
                  <c:v>503.08539111618302</c:v>
                </c:pt>
                <c:pt idx="28">
                  <c:v>503.37233172507911</c:v>
                </c:pt>
                <c:pt idx="29">
                  <c:v>505.92885273920461</c:v>
                </c:pt>
                <c:pt idx="30">
                  <c:v>506.06332144765048</c:v>
                </c:pt>
                <c:pt idx="31">
                  <c:v>506.22761773626041</c:v>
                </c:pt>
                <c:pt idx="32">
                  <c:v>506.87017052684337</c:v>
                </c:pt>
                <c:pt idx="33">
                  <c:v>506.875228167491</c:v>
                </c:pt>
                <c:pt idx="34">
                  <c:v>507.1057797273491</c:v>
                </c:pt>
                <c:pt idx="35">
                  <c:v>507.559699387519</c:v>
                </c:pt>
                <c:pt idx="36">
                  <c:v>508.17328610934271</c:v>
                </c:pt>
                <c:pt idx="37">
                  <c:v>508.58902884369905</c:v>
                </c:pt>
                <c:pt idx="38">
                  <c:v>509.23733129929616</c:v>
                </c:pt>
                <c:pt idx="39">
                  <c:v>509.27225129486249</c:v>
                </c:pt>
                <c:pt idx="40">
                  <c:v>509.3462369501118</c:v>
                </c:pt>
                <c:pt idx="41">
                  <c:v>509.52321084290708</c:v>
                </c:pt>
                <c:pt idx="42">
                  <c:v>509.74262028724564</c:v>
                </c:pt>
                <c:pt idx="43">
                  <c:v>509.97763459502227</c:v>
                </c:pt>
                <c:pt idx="44">
                  <c:v>510.06620205989321</c:v>
                </c:pt>
                <c:pt idx="45">
                  <c:v>510.49850788760097</c:v>
                </c:pt>
                <c:pt idx="46">
                  <c:v>510.62500683068612</c:v>
                </c:pt>
                <c:pt idx="47">
                  <c:v>510.6960469268447</c:v>
                </c:pt>
                <c:pt idx="48">
                  <c:v>510.94978952867677</c:v>
                </c:pt>
                <c:pt idx="49">
                  <c:v>511.04786948785392</c:v>
                </c:pt>
                <c:pt idx="50">
                  <c:v>511.74968115768826</c:v>
                </c:pt>
                <c:pt idx="51">
                  <c:v>511.90705361478166</c:v>
                </c:pt>
                <c:pt idx="52">
                  <c:v>512.28516421950189</c:v>
                </c:pt>
                <c:pt idx="53">
                  <c:v>512.4860502527564</c:v>
                </c:pt>
                <c:pt idx="54">
                  <c:v>513.19436833475584</c:v>
                </c:pt>
                <c:pt idx="55">
                  <c:v>513.60858231551799</c:v>
                </c:pt>
                <c:pt idx="56">
                  <c:v>513.93206278055641</c:v>
                </c:pt>
                <c:pt idx="57">
                  <c:v>514.08578054311772</c:v>
                </c:pt>
                <c:pt idx="58">
                  <c:v>514.42083763925064</c:v>
                </c:pt>
                <c:pt idx="59">
                  <c:v>514.65812122843033</c:v>
                </c:pt>
                <c:pt idx="60">
                  <c:v>515.04584363476806</c:v>
                </c:pt>
                <c:pt idx="61">
                  <c:v>515.143903347275</c:v>
                </c:pt>
                <c:pt idx="62">
                  <c:v>515.31680997680212</c:v>
                </c:pt>
                <c:pt idx="63">
                  <c:v>516.24669924422903</c:v>
                </c:pt>
                <c:pt idx="64">
                  <c:v>517.06516280855897</c:v>
                </c:pt>
                <c:pt idx="65">
                  <c:v>518.35151046523072</c:v>
                </c:pt>
                <c:pt idx="66">
                  <c:v>518.73735142127873</c:v>
                </c:pt>
                <c:pt idx="67">
                  <c:v>518.85276962178659</c:v>
                </c:pt>
                <c:pt idx="68">
                  <c:v>520.20411527147246</c:v>
                </c:pt>
                <c:pt idx="69">
                  <c:v>520.25811777961178</c:v>
                </c:pt>
                <c:pt idx="70">
                  <c:v>520.46109131719709</c:v>
                </c:pt>
                <c:pt idx="71">
                  <c:v>520.70237981573246</c:v>
                </c:pt>
                <c:pt idx="72">
                  <c:v>520.93123159841252</c:v>
                </c:pt>
                <c:pt idx="73">
                  <c:v>521.94693348022963</c:v>
                </c:pt>
                <c:pt idx="74">
                  <c:v>523.57860198771743</c:v>
                </c:pt>
                <c:pt idx="75">
                  <c:v>523.71689108815826</c:v>
                </c:pt>
                <c:pt idx="76">
                  <c:v>524.07566869186292</c:v>
                </c:pt>
                <c:pt idx="77">
                  <c:v>524.53061216960225</c:v>
                </c:pt>
                <c:pt idx="78">
                  <c:v>524.61018846199931</c:v>
                </c:pt>
                <c:pt idx="79">
                  <c:v>524.71190985671399</c:v>
                </c:pt>
                <c:pt idx="80">
                  <c:v>524.84246190639919</c:v>
                </c:pt>
                <c:pt idx="81">
                  <c:v>525.69523386089713</c:v>
                </c:pt>
                <c:pt idx="82">
                  <c:v>526.43140018913346</c:v>
                </c:pt>
                <c:pt idx="83">
                  <c:v>527.15483011703543</c:v>
                </c:pt>
                <c:pt idx="84">
                  <c:v>527.81539078390142</c:v>
                </c:pt>
                <c:pt idx="85">
                  <c:v>528.38535237367444</c:v>
                </c:pt>
                <c:pt idx="86">
                  <c:v>528.75103304216555</c:v>
                </c:pt>
                <c:pt idx="87">
                  <c:v>528.81157686804625</c:v>
                </c:pt>
                <c:pt idx="88">
                  <c:v>529.74599352584949</c:v>
                </c:pt>
                <c:pt idx="89">
                  <c:v>530.33173212618908</c:v>
                </c:pt>
                <c:pt idx="90">
                  <c:v>530.48660131792803</c:v>
                </c:pt>
                <c:pt idx="91">
                  <c:v>530.61554868316091</c:v>
                </c:pt>
                <c:pt idx="92">
                  <c:v>533.64059409772915</c:v>
                </c:pt>
                <c:pt idx="93">
                  <c:v>533.79059732045039</c:v>
                </c:pt>
                <c:pt idx="94">
                  <c:v>534.088800603452</c:v>
                </c:pt>
                <c:pt idx="95">
                  <c:v>534.66278615454723</c:v>
                </c:pt>
                <c:pt idx="96">
                  <c:v>534.77119878795588</c:v>
                </c:pt>
                <c:pt idx="97">
                  <c:v>535.74470112314248</c:v>
                </c:pt>
                <c:pt idx="98">
                  <c:v>537.38042894927173</c:v>
                </c:pt>
                <c:pt idx="99">
                  <c:v>537.80519453981572</c:v>
                </c:pt>
              </c:numCache>
            </c:numRef>
          </c:xVal>
          <c:yVal>
            <c:numRef>
              <c:f>SimData2!$Y$6:$Y$105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49636096"/>
        <c:axId val="49637632"/>
      </c:scatterChart>
      <c:valAx>
        <c:axId val="49636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37632"/>
        <c:crosses val="autoZero"/>
        <c:crossBetween val="midCat"/>
      </c:valAx>
      <c:valAx>
        <c:axId val="49637632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2.6313697368389354E-2"/>
              <c:y val="0.472924812168710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36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230304276216734E-3"/>
          <c:y val="0.94405143113525869"/>
          <c:w val="0.98511904522907645"/>
          <c:h val="4.31566368518975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SERFTbl2!$I$1</c:f>
          <c:strCache>
            <c:ptCount val="1"/>
            <c:pt idx="0">
              <c:v>Neg. Exponential Utility Weighted Risk Premiums Relative to Average Cost: 1</c:v>
            </c:pt>
          </c:strCache>
        </c:strRef>
      </c:tx>
      <c:layout>
        <c:manualLayout>
          <c:xMode val="edge"/>
          <c:yMode val="edge"/>
          <c:x val="0.11262721967397089"/>
          <c:y val="3.30596163326226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598977116071319"/>
          <c:y val="0.21107293504674463"/>
          <c:w val="0.81511564069128084"/>
          <c:h val="0.50606643463014678"/>
        </c:manualLayout>
      </c:layout>
      <c:scatterChart>
        <c:scatterStyle val="smoothMarker"/>
        <c:ser>
          <c:idx val="0"/>
          <c:order val="0"/>
          <c:tx>
            <c:strRef>
              <c:f>SERFTbl2!$J$11</c:f>
              <c:strCache>
                <c:ptCount val="1"/>
                <c:pt idx="0">
                  <c:v>Average Cost: 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SERFTbl2!$C$11</c:f>
                  <c:strCache>
                    <c:ptCount val="1"/>
                    <c:pt idx="0">
                      <c:v>Average Cost: 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SERFTbl2!$J$12:$J$36</c:f>
              <c:numCache>
                <c:formatCode>_(* #,##0.00_);_(* \(#,##0.00\);_(*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SERFTbl2!$K$11</c:f>
              <c:strCache>
                <c:ptCount val="1"/>
                <c:pt idx="0">
                  <c:v>Average Cost: 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SERFTbl2!$D$11</c:f>
                  <c:strCache>
                    <c:ptCount val="1"/>
                    <c:pt idx="0">
                      <c:v>Average Cost: 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SERFTbl2!$K$12:$K$36</c:f>
              <c:numCache>
                <c:formatCode>_(* #,##0.00_);_(* \(#,##0.00\);_(* "-"??_);_(@_)</c:formatCode>
                <c:ptCount val="25"/>
                <c:pt idx="0">
                  <c:v>12.217146524571547</c:v>
                </c:pt>
                <c:pt idx="1">
                  <c:v>12.24292786397416</c:v>
                </c:pt>
                <c:pt idx="2">
                  <c:v>12.269133784135192</c:v>
                </c:pt>
                <c:pt idx="3">
                  <c:v>12.295763715368366</c:v>
                </c:pt>
                <c:pt idx="4">
                  <c:v>12.322817065965523</c:v>
                </c:pt>
                <c:pt idx="5">
                  <c:v>12.350293222194239</c:v>
                </c:pt>
                <c:pt idx="6">
                  <c:v>12.378191548296343</c:v>
                </c:pt>
                <c:pt idx="7">
                  <c:v>12.406511386470129</c:v>
                </c:pt>
                <c:pt idx="8">
                  <c:v>12.43525205685512</c:v>
                </c:pt>
                <c:pt idx="9">
                  <c:v>12.46441285751024</c:v>
                </c:pt>
                <c:pt idx="10">
                  <c:v>12.493993064384256</c:v>
                </c:pt>
                <c:pt idx="11">
                  <c:v>12.523991931283149</c:v>
                </c:pt>
                <c:pt idx="12">
                  <c:v>12.554408689832542</c:v>
                </c:pt>
                <c:pt idx="13">
                  <c:v>12.585242549433985</c:v>
                </c:pt>
                <c:pt idx="14">
                  <c:v>12.616492697216074</c:v>
                </c:pt>
                <c:pt idx="15">
                  <c:v>12.648158297982093</c:v>
                </c:pt>
                <c:pt idx="16">
                  <c:v>12.680238494151581</c:v>
                </c:pt>
                <c:pt idx="17">
                  <c:v>12.712732405697125</c:v>
                </c:pt>
                <c:pt idx="18">
                  <c:v>12.745639130077734</c:v>
                </c:pt>
                <c:pt idx="19">
                  <c:v>12.77895774216671</c:v>
                </c:pt>
                <c:pt idx="20">
                  <c:v>12.812687294174339</c:v>
                </c:pt>
                <c:pt idx="21">
                  <c:v>12.846826815568761</c:v>
                </c:pt>
                <c:pt idx="22">
                  <c:v>12.881375312990031</c:v>
                </c:pt>
                <c:pt idx="23">
                  <c:v>12.916331770161889</c:v>
                </c:pt>
                <c:pt idx="24">
                  <c:v>12.951695147798773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SERFTbl2!$L$11</c:f>
              <c:strCache>
                <c:ptCount val="1"/>
                <c:pt idx="0">
                  <c:v>Average Cost: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SERFTbl2!$E$11</c:f>
                  <c:strCache>
                    <c:ptCount val="1"/>
                    <c:pt idx="0">
                      <c:v>Average Cost: 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SERFTbl2!$L$12:$L$36</c:f>
              <c:numCache>
                <c:formatCode>_(* #,##0.00_);_(* \(#,##0.00\);_(* "-"??_);_(@_)</c:formatCode>
                <c:ptCount val="25"/>
                <c:pt idx="0">
                  <c:v>45.611948913174956</c:v>
                </c:pt>
                <c:pt idx="1">
                  <c:v>45.554396648412762</c:v>
                </c:pt>
                <c:pt idx="2">
                  <c:v>45.496987408962411</c:v>
                </c:pt>
                <c:pt idx="3">
                  <c:v>45.439729548884941</c:v>
                </c:pt>
                <c:pt idx="4">
                  <c:v>45.382631474390166</c:v>
                </c:pt>
                <c:pt idx="5">
                  <c:v>45.325701640249463</c:v>
                </c:pt>
                <c:pt idx="6">
                  <c:v>45.268948546153354</c:v>
                </c:pt>
                <c:pt idx="7">
                  <c:v>45.212380732997929</c:v>
                </c:pt>
                <c:pt idx="8">
                  <c:v>45.156006779123913</c:v>
                </c:pt>
                <c:pt idx="9">
                  <c:v>45.099835296499691</c:v>
                </c:pt>
                <c:pt idx="10">
                  <c:v>45.043874926854301</c:v>
                </c:pt>
                <c:pt idx="11">
                  <c:v>44.988134337763711</c:v>
                </c:pt>
                <c:pt idx="12">
                  <c:v>44.932622218698555</c:v>
                </c:pt>
                <c:pt idx="13">
                  <c:v>44.877347277029742</c:v>
                </c:pt>
                <c:pt idx="14">
                  <c:v>44.822318234000875</c:v>
                </c:pt>
                <c:pt idx="15">
                  <c:v>44.767543820668948</c:v>
                </c:pt>
                <c:pt idx="16">
                  <c:v>44.713032773819862</c:v>
                </c:pt>
                <c:pt idx="17">
                  <c:v>44.658793831859555</c:v>
                </c:pt>
                <c:pt idx="18">
                  <c:v>44.60483573068683</c:v>
                </c:pt>
                <c:pt idx="19">
                  <c:v>44.551167199551173</c:v>
                </c:pt>
                <c:pt idx="20">
                  <c:v>44.49779695689989</c:v>
                </c:pt>
                <c:pt idx="21">
                  <c:v>44.444733706218813</c:v>
                </c:pt>
                <c:pt idx="22">
                  <c:v>44.391986131869942</c:v>
                </c:pt>
                <c:pt idx="23">
                  <c:v>44.339562894931134</c:v>
                </c:pt>
                <c:pt idx="24">
                  <c:v>44.287472629040451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SERFTbl2!$M$11</c:f>
              <c:strCache>
                <c:ptCount val="1"/>
                <c:pt idx="0">
                  <c:v>Average Cost: 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SERFTbl2!$F$11</c:f>
                  <c:strCache>
                    <c:ptCount val="1"/>
                    <c:pt idx="0">
                      <c:v>Average Cost: 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SERFTbl2!$M$12:$M$36</c:f>
              <c:numCache>
                <c:formatCode>_(* #,##0.00_);_(* \(#,##0.00\);_(* "-"??_);_(@_)</c:formatCode>
                <c:ptCount val="25"/>
                <c:pt idx="0">
                  <c:v>79.789333557182999</c:v>
                </c:pt>
                <c:pt idx="1">
                  <c:v>79.796335239936298</c:v>
                </c:pt>
                <c:pt idx="2">
                  <c:v>79.803383462917452</c:v>
                </c:pt>
                <c:pt idx="3">
                  <c:v>79.810477527975024</c:v>
                </c:pt>
                <c:pt idx="4">
                  <c:v>79.81761670083398</c:v>
                </c:pt>
                <c:pt idx="5">
                  <c:v>79.824800210564035</c:v>
                </c:pt>
                <c:pt idx="6">
                  <c:v>79.832027249066584</c:v>
                </c:pt>
                <c:pt idx="7">
                  <c:v>79.839296970562657</c:v>
                </c:pt>
                <c:pt idx="8">
                  <c:v>79.846608491087409</c:v>
                </c:pt>
                <c:pt idx="9">
                  <c:v>79.853960887993935</c:v>
                </c:pt>
                <c:pt idx="10">
                  <c:v>79.861353199464816</c:v>
                </c:pt>
                <c:pt idx="11">
                  <c:v>79.868784424031503</c:v>
                </c:pt>
                <c:pt idx="12">
                  <c:v>79.876253520103148</c:v>
                </c:pt>
                <c:pt idx="13">
                  <c:v>79.883759405505714</c:v>
                </c:pt>
                <c:pt idx="14">
                  <c:v>79.891300957030182</c:v>
                </c:pt>
                <c:pt idx="15">
                  <c:v>79.898877009990201</c:v>
                </c:pt>
                <c:pt idx="16">
                  <c:v>79.906486357794449</c:v>
                </c:pt>
                <c:pt idx="17">
                  <c:v>79.914127751526905</c:v>
                </c:pt>
                <c:pt idx="18">
                  <c:v>79.921799899540076</c:v>
                </c:pt>
                <c:pt idx="19">
                  <c:v>79.929501467064142</c:v>
                </c:pt>
                <c:pt idx="20">
                  <c:v>79.937231075823718</c:v>
                </c:pt>
                <c:pt idx="21">
                  <c:v>79.944987303674111</c:v>
                </c:pt>
                <c:pt idx="22">
                  <c:v>79.952768684247815</c:v>
                </c:pt>
                <c:pt idx="23">
                  <c:v>79.960573706618959</c:v>
                </c:pt>
                <c:pt idx="24">
                  <c:v>79.96840081498118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SERFTbl2!$N$11</c:f>
              <c:strCache>
                <c:ptCount val="1"/>
                <c:pt idx="0">
                  <c:v>Scenario 5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SERFTbl2!$G$11</c:f>
                  <c:strCache>
                    <c:ptCount val="1"/>
                    <c:pt idx="0">
                      <c:v>Scenario 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SERFTbl2!$N$12:$N$36</c:f>
              <c:numCache>
                <c:formatCode>_(* #,##0.00_);_(* \(#,##0.00\);_(* "-"??_);_(@_)</c:formatCode>
                <c:ptCount val="25"/>
                <c:pt idx="0">
                  <c:v>21.667728106908044</c:v>
                </c:pt>
                <c:pt idx="1">
                  <c:v>21.726608645681267</c:v>
                </c:pt>
                <c:pt idx="2">
                  <c:v>21.785709913289395</c:v>
                </c:pt>
                <c:pt idx="3">
                  <c:v>21.845032065573776</c:v>
                </c:pt>
                <c:pt idx="4">
                  <c:v>21.904575246230422</c:v>
                </c:pt>
                <c:pt idx="5">
                  <c:v>21.964339586536994</c:v>
                </c:pt>
                <c:pt idx="6">
                  <c:v>22.024325205086882</c:v>
                </c:pt>
                <c:pt idx="7">
                  <c:v>22.084532207518009</c:v>
                </c:pt>
                <c:pt idx="8">
                  <c:v>22.144960686234356</c:v>
                </c:pt>
                <c:pt idx="9">
                  <c:v>22.205610720134132</c:v>
                </c:pt>
                <c:pt idx="10">
                  <c:v>22.266482374324198</c:v>
                </c:pt>
                <c:pt idx="11">
                  <c:v>22.327575699840168</c:v>
                </c:pt>
                <c:pt idx="12">
                  <c:v>22.388890733360995</c:v>
                </c:pt>
                <c:pt idx="13">
                  <c:v>22.450427496921293</c:v>
                </c:pt>
                <c:pt idx="14">
                  <c:v>22.512185997620804</c:v>
                </c:pt>
                <c:pt idx="15">
                  <c:v>22.574166227333194</c:v>
                </c:pt>
                <c:pt idx="16">
                  <c:v>22.636368162411202</c:v>
                </c:pt>
                <c:pt idx="17">
                  <c:v>22.698791763391625</c:v>
                </c:pt>
                <c:pt idx="18">
                  <c:v>22.761436974695982</c:v>
                </c:pt>
                <c:pt idx="19">
                  <c:v>22.824303724333106</c:v>
                </c:pt>
                <c:pt idx="20">
                  <c:v>22.887391923595885</c:v>
                </c:pt>
                <c:pt idx="21">
                  <c:v>22.950701466760506</c:v>
                </c:pt>
                <c:pt idx="22">
                  <c:v>23.014232230781602</c:v>
                </c:pt>
                <c:pt idx="23">
                  <c:v>23.07798407498808</c:v>
                </c:pt>
                <c:pt idx="24">
                  <c:v>23.141956840777198</c:v>
                </c:pt>
              </c:numCache>
            </c:numRef>
          </c:yVal>
          <c:smooth val="1"/>
        </c:ser>
        <c:axId val="49405312"/>
        <c:axId val="49419776"/>
      </c:scatterChart>
      <c:valAx>
        <c:axId val="49405312"/>
        <c:scaling>
          <c:orientation val="minMax"/>
        </c:scaling>
        <c:axPos val="b"/>
        <c:title>
          <c:tx>
            <c:strRef>
              <c:f>SERFTbl2!$B$11</c:f>
              <c:strCache>
                <c:ptCount val="1"/>
                <c:pt idx="0">
                  <c:v>ARAC</c:v>
                </c:pt>
              </c:strCache>
            </c:strRef>
          </c:tx>
          <c:layout>
            <c:manualLayout>
              <c:xMode val="edge"/>
              <c:yMode val="edge"/>
              <c:x val="0.4982322768628204"/>
              <c:y val="0.7934307919829437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19776"/>
        <c:crosses val="autoZero"/>
        <c:crossBetween val="midCat"/>
      </c:valAx>
      <c:valAx>
        <c:axId val="494197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053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280252859442476"/>
          <c:y val="0.879894403929803"/>
          <c:w val="0.68149012582385782"/>
          <c:h val="0.10426494381827145"/>
        </c:manualLayout>
      </c:layout>
      <c:spPr>
        <a:noFill/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SERFTbl2!$A$1</c:f>
          <c:strCache>
            <c:ptCount val="1"/>
            <c:pt idx="0">
              <c:v>Stochastic Efficiency with Respect to A Function (SERF) Under a Neg. Exponential Utility Function</c:v>
            </c:pt>
          </c:strCache>
        </c:strRef>
      </c:tx>
      <c:layout>
        <c:manualLayout>
          <c:xMode val="edge"/>
          <c:yMode val="edge"/>
          <c:x val="0.12292440838753646"/>
          <c:y val="3.30596163326226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0114033601506164"/>
          <c:y val="0.21107293504674463"/>
          <c:w val="0.85113482769598026"/>
          <c:h val="0.55692738283418164"/>
        </c:manualLayout>
      </c:layout>
      <c:scatterChart>
        <c:scatterStyle val="smoothMarker"/>
        <c:ser>
          <c:idx val="0"/>
          <c:order val="0"/>
          <c:tx>
            <c:strRef>
              <c:f>SERFTbl2!$C$11</c:f>
              <c:strCache>
                <c:ptCount val="1"/>
                <c:pt idx="0">
                  <c:v>Average Cost: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SERFTbl2!$C$11</c:f>
                  <c:strCache>
                    <c:ptCount val="1"/>
                    <c:pt idx="0">
                      <c:v>Average Cost: 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SERFTbl2!$C$12:$C$36</c:f>
              <c:numCache>
                <c:formatCode>#,##0.00</c:formatCode>
                <c:ptCount val="25"/>
                <c:pt idx="0">
                  <c:v>490.51867457565402</c:v>
                </c:pt>
                <c:pt idx="1">
                  <c:v>490.42960324447233</c:v>
                </c:pt>
                <c:pt idx="2">
                  <c:v>490.34030431581351</c:v>
                </c:pt>
                <c:pt idx="3">
                  <c:v>490.25077785067759</c:v>
                </c:pt>
                <c:pt idx="4">
                  <c:v>490.16102392232682</c:v>
                </c:pt>
                <c:pt idx="5">
                  <c:v>490.07104261655024</c:v>
                </c:pt>
                <c:pt idx="6">
                  <c:v>489.98083403191634</c:v>
                </c:pt>
                <c:pt idx="7">
                  <c:v>489.89039828003791</c:v>
                </c:pt>
                <c:pt idx="8">
                  <c:v>489.79973548583598</c:v>
                </c:pt>
                <c:pt idx="9">
                  <c:v>489.70884578780669</c:v>
                </c:pt>
                <c:pt idx="10">
                  <c:v>489.61772933829241</c:v>
                </c:pt>
                <c:pt idx="11">
                  <c:v>489.52638630375401</c:v>
                </c:pt>
                <c:pt idx="12">
                  <c:v>489.43481686504578</c:v>
                </c:pt>
                <c:pt idx="13">
                  <c:v>489.34302121769298</c:v>
                </c:pt>
                <c:pt idx="14">
                  <c:v>489.25099957217168</c:v>
                </c:pt>
                <c:pt idx="15">
                  <c:v>489.15875215419146</c:v>
                </c:pt>
                <c:pt idx="16">
                  <c:v>489.06627920497857</c:v>
                </c:pt>
                <c:pt idx="17">
                  <c:v>488.97358098156218</c:v>
                </c:pt>
                <c:pt idx="18">
                  <c:v>488.88065775706303</c:v>
                </c:pt>
                <c:pt idx="19">
                  <c:v>488.78750982098154</c:v>
                </c:pt>
                <c:pt idx="20">
                  <c:v>488.69413747949039</c:v>
                </c:pt>
                <c:pt idx="21">
                  <c:v>488.60054105572601</c:v>
                </c:pt>
                <c:pt idx="22">
                  <c:v>488.50672089008316</c:v>
                </c:pt>
                <c:pt idx="23">
                  <c:v>488.41267734050899</c:v>
                </c:pt>
                <c:pt idx="24">
                  <c:v>488.31841078280007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SERFTbl2!$D$11</c:f>
              <c:strCache>
                <c:ptCount val="1"/>
                <c:pt idx="0">
                  <c:v>Average Cost: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SERFTbl2!$D$11</c:f>
                  <c:strCache>
                    <c:ptCount val="1"/>
                    <c:pt idx="0">
                      <c:v>Average Cost: 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SERFTbl2!$D$12:$D$36</c:f>
              <c:numCache>
                <c:formatCode>#,##0.00</c:formatCode>
                <c:ptCount val="25"/>
                <c:pt idx="0">
                  <c:v>502.73582110022556</c:v>
                </c:pt>
                <c:pt idx="1">
                  <c:v>502.67253110844649</c:v>
                </c:pt>
                <c:pt idx="2">
                  <c:v>502.6094380999487</c:v>
                </c:pt>
                <c:pt idx="3">
                  <c:v>502.54654156604596</c:v>
                </c:pt>
                <c:pt idx="4">
                  <c:v>502.48384098829234</c:v>
                </c:pt>
                <c:pt idx="5">
                  <c:v>502.42133583874448</c:v>
                </c:pt>
                <c:pt idx="6">
                  <c:v>502.35902558021269</c:v>
                </c:pt>
                <c:pt idx="7">
                  <c:v>502.29690966650804</c:v>
                </c:pt>
                <c:pt idx="8">
                  <c:v>502.2349875426911</c:v>
                </c:pt>
                <c:pt idx="9">
                  <c:v>502.17325864531693</c:v>
                </c:pt>
                <c:pt idx="10">
                  <c:v>502.11172240267666</c:v>
                </c:pt>
                <c:pt idx="11">
                  <c:v>502.05037823503716</c:v>
                </c:pt>
                <c:pt idx="12">
                  <c:v>501.98922555487832</c:v>
                </c:pt>
                <c:pt idx="13">
                  <c:v>501.92826376712696</c:v>
                </c:pt>
                <c:pt idx="14">
                  <c:v>501.86749226938775</c:v>
                </c:pt>
                <c:pt idx="15">
                  <c:v>501.80691045217355</c:v>
                </c:pt>
                <c:pt idx="16">
                  <c:v>501.74651769913015</c:v>
                </c:pt>
                <c:pt idx="17">
                  <c:v>501.6863133872593</c:v>
                </c:pt>
                <c:pt idx="18">
                  <c:v>501.62629688714077</c:v>
                </c:pt>
                <c:pt idx="19">
                  <c:v>501.56646756314825</c:v>
                </c:pt>
                <c:pt idx="20">
                  <c:v>501.50682477366473</c:v>
                </c:pt>
                <c:pt idx="21">
                  <c:v>501.44736787129477</c:v>
                </c:pt>
                <c:pt idx="22">
                  <c:v>501.38809620307319</c:v>
                </c:pt>
                <c:pt idx="23">
                  <c:v>501.32900911067088</c:v>
                </c:pt>
                <c:pt idx="24">
                  <c:v>501.27010593059885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SERFTbl2!$E$11</c:f>
              <c:strCache>
                <c:ptCount val="1"/>
                <c:pt idx="0">
                  <c:v>Average Cost: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SERFTbl2!$E$11</c:f>
                  <c:strCache>
                    <c:ptCount val="1"/>
                    <c:pt idx="0">
                      <c:v>Average Cost: 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SERFTbl2!$E$12:$E$36</c:f>
              <c:numCache>
                <c:formatCode>#,##0.00</c:formatCode>
                <c:ptCount val="25"/>
                <c:pt idx="0">
                  <c:v>536.13062348882897</c:v>
                </c:pt>
                <c:pt idx="1">
                  <c:v>535.98399989288509</c:v>
                </c:pt>
                <c:pt idx="2">
                  <c:v>535.83729172477592</c:v>
                </c:pt>
                <c:pt idx="3">
                  <c:v>535.69050739956253</c:v>
                </c:pt>
                <c:pt idx="4">
                  <c:v>535.54365539671699</c:v>
                </c:pt>
                <c:pt idx="5">
                  <c:v>535.39674425679971</c:v>
                </c:pt>
                <c:pt idx="6">
                  <c:v>535.2497825780697</c:v>
                </c:pt>
                <c:pt idx="7">
                  <c:v>535.10277901303584</c:v>
                </c:pt>
                <c:pt idx="8">
                  <c:v>534.95574226495989</c:v>
                </c:pt>
                <c:pt idx="9">
                  <c:v>534.80868108430639</c:v>
                </c:pt>
                <c:pt idx="10">
                  <c:v>534.66160426514671</c:v>
                </c:pt>
                <c:pt idx="11">
                  <c:v>534.51452064151772</c:v>
                </c:pt>
                <c:pt idx="12">
                  <c:v>534.36743908374433</c:v>
                </c:pt>
                <c:pt idx="13">
                  <c:v>534.22036849472272</c:v>
                </c:pt>
                <c:pt idx="14">
                  <c:v>534.07331780617255</c:v>
                </c:pt>
                <c:pt idx="15">
                  <c:v>533.92629597486041</c:v>
                </c:pt>
                <c:pt idx="16">
                  <c:v>533.77931197879843</c:v>
                </c:pt>
                <c:pt idx="17">
                  <c:v>533.63237481342173</c:v>
                </c:pt>
                <c:pt idx="18">
                  <c:v>533.48549348774986</c:v>
                </c:pt>
                <c:pt idx="19">
                  <c:v>533.33867702053271</c:v>
                </c:pt>
                <c:pt idx="20">
                  <c:v>533.19193443639028</c:v>
                </c:pt>
                <c:pt idx="21">
                  <c:v>533.04527476194482</c:v>
                </c:pt>
                <c:pt idx="22">
                  <c:v>532.8987070219531</c:v>
                </c:pt>
                <c:pt idx="23">
                  <c:v>532.75224023544013</c:v>
                </c:pt>
                <c:pt idx="24">
                  <c:v>532.60588341184052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SERFTbl2!$F$11</c:f>
              <c:strCache>
                <c:ptCount val="1"/>
                <c:pt idx="0">
                  <c:v>Average Cost: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SERFTbl2!$F$11</c:f>
                  <c:strCache>
                    <c:ptCount val="1"/>
                    <c:pt idx="0">
                      <c:v>Average Cost: 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SERFTbl2!$F$12:$F$36</c:f>
              <c:numCache>
                <c:formatCode>#,##0.00</c:formatCode>
                <c:ptCount val="25"/>
                <c:pt idx="0">
                  <c:v>570.30800813283702</c:v>
                </c:pt>
                <c:pt idx="1">
                  <c:v>570.22593848440863</c:v>
                </c:pt>
                <c:pt idx="2">
                  <c:v>570.14368777873096</c:v>
                </c:pt>
                <c:pt idx="3">
                  <c:v>570.06125537865262</c:v>
                </c:pt>
                <c:pt idx="4">
                  <c:v>569.9786406231608</c:v>
                </c:pt>
                <c:pt idx="5">
                  <c:v>569.89584282711428</c:v>
                </c:pt>
                <c:pt idx="6">
                  <c:v>569.81286128098293</c:v>
                </c:pt>
                <c:pt idx="7">
                  <c:v>569.72969525060057</c:v>
                </c:pt>
                <c:pt idx="8">
                  <c:v>569.64634397692339</c:v>
                </c:pt>
                <c:pt idx="9">
                  <c:v>569.56280667580063</c:v>
                </c:pt>
                <c:pt idx="10">
                  <c:v>569.47908253775722</c:v>
                </c:pt>
                <c:pt idx="11">
                  <c:v>569.39517072778551</c:v>
                </c:pt>
                <c:pt idx="12">
                  <c:v>569.31107038514892</c:v>
                </c:pt>
                <c:pt idx="13">
                  <c:v>569.22678062319869</c:v>
                </c:pt>
                <c:pt idx="14">
                  <c:v>569.14230052920186</c:v>
                </c:pt>
                <c:pt idx="15">
                  <c:v>569.05762916418166</c:v>
                </c:pt>
                <c:pt idx="16">
                  <c:v>568.97276556277302</c:v>
                </c:pt>
                <c:pt idx="17">
                  <c:v>568.88770873308908</c:v>
                </c:pt>
                <c:pt idx="18">
                  <c:v>568.80245765660311</c:v>
                </c:pt>
                <c:pt idx="19">
                  <c:v>568.71701128804568</c:v>
                </c:pt>
                <c:pt idx="20">
                  <c:v>568.63136855531411</c:v>
                </c:pt>
                <c:pt idx="21">
                  <c:v>568.54552835940012</c:v>
                </c:pt>
                <c:pt idx="22">
                  <c:v>568.45948957433097</c:v>
                </c:pt>
                <c:pt idx="23">
                  <c:v>568.37325104712795</c:v>
                </c:pt>
                <c:pt idx="24">
                  <c:v>568.28681159778125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SERFTbl2!$G$11</c:f>
              <c:strCache>
                <c:ptCount val="1"/>
                <c:pt idx="0">
                  <c:v>Scenario 5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SERFTbl2!$G$11</c:f>
                  <c:strCache>
                    <c:ptCount val="1"/>
                    <c:pt idx="0">
                      <c:v>Scenario 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SERFTbl2!$B$12:$B$36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3.3333333333333332E-4</c:v>
                </c:pt>
                <c:pt idx="2">
                  <c:v>6.6666666666666664E-4</c:v>
                </c:pt>
                <c:pt idx="3">
                  <c:v>1E-3</c:v>
                </c:pt>
                <c:pt idx="4">
                  <c:v>1.3333333333333333E-3</c:v>
                </c:pt>
                <c:pt idx="5">
                  <c:v>1.6666666666666666E-3</c:v>
                </c:pt>
                <c:pt idx="6">
                  <c:v>2E-3</c:v>
                </c:pt>
                <c:pt idx="7">
                  <c:v>2.3333333333333335E-3</c:v>
                </c:pt>
                <c:pt idx="8">
                  <c:v>2.666666666666667E-3</c:v>
                </c:pt>
                <c:pt idx="9">
                  <c:v>3.0000000000000005E-3</c:v>
                </c:pt>
                <c:pt idx="10">
                  <c:v>3.333333333333334E-3</c:v>
                </c:pt>
                <c:pt idx="11">
                  <c:v>3.6666666666666675E-3</c:v>
                </c:pt>
                <c:pt idx="12">
                  <c:v>4.000000000000001E-3</c:v>
                </c:pt>
                <c:pt idx="13">
                  <c:v>4.333333333333334E-3</c:v>
                </c:pt>
                <c:pt idx="14">
                  <c:v>4.6666666666666671E-3</c:v>
                </c:pt>
                <c:pt idx="15">
                  <c:v>5.0000000000000001E-3</c:v>
                </c:pt>
                <c:pt idx="16">
                  <c:v>5.3333333333333332E-3</c:v>
                </c:pt>
                <c:pt idx="17">
                  <c:v>5.6666666666666662E-3</c:v>
                </c:pt>
                <c:pt idx="18">
                  <c:v>5.9999999999999993E-3</c:v>
                </c:pt>
                <c:pt idx="19">
                  <c:v>6.3333333333333323E-3</c:v>
                </c:pt>
                <c:pt idx="20">
                  <c:v>6.6666666666666654E-3</c:v>
                </c:pt>
                <c:pt idx="21">
                  <c:v>6.9999999999999984E-3</c:v>
                </c:pt>
                <c:pt idx="22">
                  <c:v>7.3333333333333315E-3</c:v>
                </c:pt>
                <c:pt idx="23">
                  <c:v>7.6666666666666645E-3</c:v>
                </c:pt>
                <c:pt idx="24">
                  <c:v>7.9999999999999984E-3</c:v>
                </c:pt>
              </c:numCache>
            </c:numRef>
          </c:xVal>
          <c:yVal>
            <c:numRef>
              <c:f>SERFTbl2!$G$12:$G$36</c:f>
              <c:numCache>
                <c:formatCode>#,##0.00</c:formatCode>
                <c:ptCount val="25"/>
                <c:pt idx="0">
                  <c:v>512.18640268256206</c:v>
                </c:pt>
                <c:pt idx="1">
                  <c:v>512.1562118901536</c:v>
                </c:pt>
                <c:pt idx="2">
                  <c:v>512.12601422910291</c:v>
                </c:pt>
                <c:pt idx="3">
                  <c:v>512.09580991625137</c:v>
                </c:pt>
                <c:pt idx="4">
                  <c:v>512.06559916855724</c:v>
                </c:pt>
                <c:pt idx="5">
                  <c:v>512.03538220308724</c:v>
                </c:pt>
                <c:pt idx="6">
                  <c:v>512.00515923700323</c:v>
                </c:pt>
                <c:pt idx="7">
                  <c:v>511.97493048755592</c:v>
                </c:pt>
                <c:pt idx="8">
                  <c:v>511.94469617207034</c:v>
                </c:pt>
                <c:pt idx="9">
                  <c:v>511.91445650794083</c:v>
                </c:pt>
                <c:pt idx="10">
                  <c:v>511.8842117126166</c:v>
                </c:pt>
                <c:pt idx="11">
                  <c:v>511.85396200359418</c:v>
                </c:pt>
                <c:pt idx="12">
                  <c:v>511.82370759840677</c:v>
                </c:pt>
                <c:pt idx="13">
                  <c:v>511.79344871461427</c:v>
                </c:pt>
                <c:pt idx="14">
                  <c:v>511.76318556979248</c:v>
                </c:pt>
                <c:pt idx="15">
                  <c:v>511.73291838152466</c:v>
                </c:pt>
                <c:pt idx="16">
                  <c:v>511.70264736738977</c:v>
                </c:pt>
                <c:pt idx="17">
                  <c:v>511.6723727449538</c:v>
                </c:pt>
                <c:pt idx="18">
                  <c:v>511.64209473175902</c:v>
                </c:pt>
                <c:pt idx="19">
                  <c:v>511.61181354531465</c:v>
                </c:pt>
                <c:pt idx="20">
                  <c:v>511.58152940308628</c:v>
                </c:pt>
                <c:pt idx="21">
                  <c:v>511.55124252248652</c:v>
                </c:pt>
                <c:pt idx="22">
                  <c:v>511.52095312086476</c:v>
                </c:pt>
                <c:pt idx="23">
                  <c:v>511.49066141549707</c:v>
                </c:pt>
                <c:pt idx="24">
                  <c:v>511.46036762357727</c:v>
                </c:pt>
              </c:numCache>
            </c:numRef>
          </c:yVal>
          <c:smooth val="1"/>
        </c:ser>
        <c:axId val="49513216"/>
        <c:axId val="49515136"/>
      </c:scatterChart>
      <c:valAx>
        <c:axId val="49513216"/>
        <c:scaling>
          <c:orientation val="minMax"/>
        </c:scaling>
        <c:axPos val="b"/>
        <c:title>
          <c:tx>
            <c:strRef>
              <c:f>SERFTbl2!$B$11</c:f>
              <c:strCache>
                <c:ptCount val="1"/>
                <c:pt idx="0">
                  <c:v>ARAC</c:v>
                </c:pt>
              </c:strCache>
            </c:strRef>
          </c:tx>
          <c:layout>
            <c:manualLayout>
              <c:xMode val="edge"/>
              <c:yMode val="edge"/>
              <c:x val="0.49792165422799578"/>
              <c:y val="0.844291740186978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15136"/>
        <c:crosses val="autoZero"/>
        <c:crossBetween val="midCat"/>
      </c:valAx>
      <c:valAx>
        <c:axId val="49515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132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6016186100649526E-2"/>
          <c:y val="0.93075535213383775"/>
          <c:w val="0.88847895176308"/>
          <c:h val="5.340399561423659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</xdr:row>
      <xdr:rowOff>19050</xdr:rowOff>
    </xdr:from>
    <xdr:to>
      <xdr:col>21</xdr:col>
      <xdr:colOff>276225</xdr:colOff>
      <xdr:row>33</xdr:row>
      <xdr:rowOff>114300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6</xdr:row>
      <xdr:rowOff>95250</xdr:rowOff>
    </xdr:from>
    <xdr:to>
      <xdr:col>20</xdr:col>
      <xdr:colOff>238125</xdr:colOff>
      <xdr:row>29</xdr:row>
      <xdr:rowOff>47625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85725</xdr:rowOff>
    </xdr:from>
    <xdr:to>
      <xdr:col>8</xdr:col>
      <xdr:colOff>200025</xdr:colOff>
      <xdr:row>32</xdr:row>
      <xdr:rowOff>38100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38100</xdr:rowOff>
    </xdr:from>
    <xdr:to>
      <xdr:col>19</xdr:col>
      <xdr:colOff>333375</xdr:colOff>
      <xdr:row>33</xdr:row>
      <xdr:rowOff>57150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11</xdr:row>
      <xdr:rowOff>0</xdr:rowOff>
    </xdr:from>
    <xdr:to>
      <xdr:col>23</xdr:col>
      <xdr:colOff>200025</xdr:colOff>
      <xdr:row>33</xdr:row>
      <xdr:rowOff>114300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10</xdr:col>
      <xdr:colOff>133350</xdr:colOff>
      <xdr:row>33</xdr:row>
      <xdr:rowOff>114300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workbookViewId="0">
      <selection activeCell="A3" sqref="A3"/>
    </sheetView>
  </sheetViews>
  <sheetFormatPr defaultRowHeight="12.75"/>
  <cols>
    <col min="1" max="1" width="19.85546875" customWidth="1"/>
    <col min="2" max="3" width="9.5703125" bestFit="1" customWidth="1"/>
    <col min="4" max="4" width="10.28515625" bestFit="1" customWidth="1"/>
    <col min="5" max="5" width="11.28515625" bestFit="1" customWidth="1"/>
    <col min="6" max="6" width="10.28515625" bestFit="1" customWidth="1"/>
    <col min="7" max="7" width="9.5703125" bestFit="1" customWidth="1"/>
    <col min="8" max="11" width="10.28515625" bestFit="1" customWidth="1"/>
  </cols>
  <sheetData>
    <row r="1" spans="1:11">
      <c r="A1" s="1" t="str">
        <f ca="1">_xll.WBNAME()</f>
        <v>Inventory Management Demo.xlsx</v>
      </c>
    </row>
    <row r="2" spans="1:11">
      <c r="A2" t="s">
        <v>59</v>
      </c>
    </row>
    <row r="3" spans="1:11">
      <c r="A3" t="s">
        <v>77</v>
      </c>
    </row>
    <row r="4" spans="1:11">
      <c r="A4" t="s">
        <v>60</v>
      </c>
    </row>
    <row r="6" spans="1:11" ht="13.5" thickBot="1">
      <c r="A6" s="1"/>
    </row>
    <row r="7" spans="1:11" ht="13.5" thickBot="1">
      <c r="A7" s="14" t="s">
        <v>54</v>
      </c>
      <c r="B7" s="21">
        <v>22.5</v>
      </c>
    </row>
    <row r="8" spans="1:11">
      <c r="A8" s="15" t="s">
        <v>0</v>
      </c>
      <c r="B8" s="22">
        <v>10</v>
      </c>
      <c r="C8" s="14" t="s">
        <v>57</v>
      </c>
      <c r="D8" s="19"/>
      <c r="E8" s="23">
        <v>40</v>
      </c>
    </row>
    <row r="9" spans="1:11" ht="13.5" thickBot="1">
      <c r="A9" s="15" t="s">
        <v>1</v>
      </c>
      <c r="B9" s="22">
        <v>3</v>
      </c>
      <c r="C9" s="17" t="s">
        <v>58</v>
      </c>
      <c r="D9" s="20"/>
      <c r="E9" s="24">
        <v>6</v>
      </c>
    </row>
    <row r="10" spans="1:11">
      <c r="A10" s="15" t="s">
        <v>2</v>
      </c>
      <c r="B10" s="22">
        <v>200</v>
      </c>
    </row>
    <row r="11" spans="1:11">
      <c r="A11" s="15" t="s">
        <v>63</v>
      </c>
      <c r="B11" s="22">
        <v>4</v>
      </c>
    </row>
    <row r="12" spans="1:11">
      <c r="A12" s="15" t="s">
        <v>6</v>
      </c>
      <c r="B12" s="16">
        <v>100</v>
      </c>
    </row>
    <row r="13" spans="1:11" ht="13.5" thickBot="1">
      <c r="A13" s="15" t="s">
        <v>3</v>
      </c>
      <c r="B13" s="16">
        <v>150</v>
      </c>
      <c r="E13" s="12" t="s">
        <v>46</v>
      </c>
    </row>
    <row r="14" spans="1:11" ht="13.5" thickBot="1">
      <c r="A14" s="17" t="s">
        <v>4</v>
      </c>
      <c r="B14" s="18">
        <f ca="1">_xll.SCENARIO(D14:H14)</f>
        <v>50</v>
      </c>
      <c r="D14" s="9">
        <v>50</v>
      </c>
      <c r="E14" s="10">
        <v>60</v>
      </c>
      <c r="F14" s="10">
        <v>70</v>
      </c>
      <c r="G14" s="10">
        <v>80</v>
      </c>
      <c r="H14" s="11">
        <v>90</v>
      </c>
    </row>
    <row r="15" spans="1:11">
      <c r="A15" s="1" t="s">
        <v>47</v>
      </c>
    </row>
    <row r="16" spans="1:11">
      <c r="A16" s="1" t="s">
        <v>43</v>
      </c>
      <c r="B16" s="8">
        <f ca="1">_xll.NORM($E$8,$E$9)</f>
        <v>34.184957472093785</v>
      </c>
      <c r="C16" s="8">
        <f ca="1">_xll.NORM($E$8,$E$9)</f>
        <v>42.524396986679385</v>
      </c>
      <c r="D16" s="8">
        <f ca="1">_xll.NORM($E$8,$E$9)</f>
        <v>39.257780999468913</v>
      </c>
      <c r="E16" s="8">
        <f ca="1">_xll.NORM($E$8,$E$9)</f>
        <v>37.722248559951929</v>
      </c>
      <c r="F16" s="8">
        <f ca="1">_xll.NORM($E$8,$E$9)</f>
        <v>30.519157275179264</v>
      </c>
      <c r="G16" s="8">
        <f ca="1">_xll.NORM($E$8,$E$9)</f>
        <v>41.639446006460453</v>
      </c>
      <c r="H16" s="8">
        <f ca="1">_xll.NORM($E$8,$E$9)</f>
        <v>44.700212008207075</v>
      </c>
      <c r="I16" s="8">
        <f ca="1">_xll.NORM($E$8,$E$9)</f>
        <v>45.105275498480779</v>
      </c>
      <c r="J16" s="8">
        <f ca="1">_xll.NORM($E$8,$E$9)</f>
        <v>40.298917805639562</v>
      </c>
      <c r="K16" s="8">
        <f ca="1">_xll.NORM($E$8,$E$9)</f>
        <v>36.887041786977775</v>
      </c>
    </row>
    <row r="17" spans="1:11">
      <c r="A17" s="1" t="s">
        <v>45</v>
      </c>
      <c r="B17" t="str">
        <f ca="1">_xll.VFORMULA(B16)</f>
        <v>=NORM($E$8,$E$9)</v>
      </c>
    </row>
    <row r="18" spans="1:11" s="20" customFormat="1" ht="13.5" thickBot="1">
      <c r="A18" s="20" t="s">
        <v>5</v>
      </c>
      <c r="B18" s="20">
        <v>1</v>
      </c>
      <c r="C18" s="20">
        <v>2</v>
      </c>
      <c r="D18" s="20">
        <v>3</v>
      </c>
      <c r="E18" s="20">
        <v>4</v>
      </c>
      <c r="F18" s="20">
        <v>5</v>
      </c>
      <c r="G18" s="20">
        <v>6</v>
      </c>
      <c r="H18" s="20">
        <v>7</v>
      </c>
      <c r="I18" s="20">
        <v>8</v>
      </c>
      <c r="J18" s="20">
        <v>9</v>
      </c>
      <c r="K18" s="20">
        <v>10</v>
      </c>
    </row>
    <row r="19" spans="1:11">
      <c r="A19" t="s">
        <v>6</v>
      </c>
      <c r="B19">
        <f>B12</f>
        <v>100</v>
      </c>
      <c r="C19" s="5">
        <f t="shared" ref="C19:K19" ca="1" si="0">B25</f>
        <v>65.815042527906215</v>
      </c>
      <c r="D19" s="5">
        <f t="shared" ca="1" si="0"/>
        <v>23.29064554122683</v>
      </c>
      <c r="E19" s="5">
        <f t="shared" ca="1" si="0"/>
        <v>0</v>
      </c>
      <c r="F19" s="5">
        <f t="shared" ca="1" si="0"/>
        <v>88.987105898821227</v>
      </c>
      <c r="G19" s="5">
        <f t="shared" ca="1" si="0"/>
        <v>208.46794862364197</v>
      </c>
      <c r="H19" s="5">
        <f t="shared" ca="1" si="0"/>
        <v>166.82850261718153</v>
      </c>
      <c r="I19" s="5">
        <f t="shared" ca="1" si="0"/>
        <v>122.12829060897445</v>
      </c>
      <c r="J19" s="5">
        <f t="shared" ca="1" si="0"/>
        <v>77.023015110493674</v>
      </c>
      <c r="K19" s="5">
        <f t="shared" ca="1" si="0"/>
        <v>36.724097304854112</v>
      </c>
    </row>
    <row r="20" spans="1:11">
      <c r="A20" t="s">
        <v>15</v>
      </c>
      <c r="B20" s="5">
        <f t="shared" ref="B20:K20" ca="1" si="1">IF(B19&lt;$B$14,($B$13-B19),0)</f>
        <v>0</v>
      </c>
      <c r="C20" s="5">
        <f t="shared" ca="1" si="1"/>
        <v>0</v>
      </c>
      <c r="D20" s="5">
        <f t="shared" ca="1" si="1"/>
        <v>126.70935445877316</v>
      </c>
      <c r="E20" s="5">
        <f t="shared" ca="1" si="1"/>
        <v>150</v>
      </c>
      <c r="F20" s="5">
        <f t="shared" ca="1" si="1"/>
        <v>0</v>
      </c>
      <c r="G20" s="5">
        <f t="shared" ca="1" si="1"/>
        <v>0</v>
      </c>
      <c r="H20" s="5">
        <f t="shared" ca="1" si="1"/>
        <v>0</v>
      </c>
      <c r="I20" s="5">
        <f t="shared" ca="1" si="1"/>
        <v>0</v>
      </c>
      <c r="J20" s="5">
        <f t="shared" ca="1" si="1"/>
        <v>0</v>
      </c>
      <c r="K20" s="5">
        <f t="shared" ca="1" si="1"/>
        <v>113.27590269514589</v>
      </c>
    </row>
    <row r="21" spans="1:11">
      <c r="A21" t="s">
        <v>14</v>
      </c>
      <c r="B21" s="5">
        <v>0</v>
      </c>
      <c r="C21" s="5">
        <f t="shared" ref="C21:K21" ca="1" si="2">B20</f>
        <v>0</v>
      </c>
      <c r="D21" s="5">
        <f t="shared" ca="1" si="2"/>
        <v>0</v>
      </c>
      <c r="E21" s="5">
        <f t="shared" ca="1" si="2"/>
        <v>126.70935445877316</v>
      </c>
      <c r="F21" s="5">
        <f t="shared" ca="1" si="2"/>
        <v>150</v>
      </c>
      <c r="G21" s="5">
        <f t="shared" ca="1" si="2"/>
        <v>0</v>
      </c>
      <c r="H21" s="5">
        <f t="shared" ca="1" si="2"/>
        <v>0</v>
      </c>
      <c r="I21" s="5">
        <f t="shared" ca="1" si="2"/>
        <v>0</v>
      </c>
      <c r="J21" s="5">
        <f t="shared" ca="1" si="2"/>
        <v>0</v>
      </c>
      <c r="K21" s="5">
        <f t="shared" ca="1" si="2"/>
        <v>0</v>
      </c>
    </row>
    <row r="22" spans="1:11">
      <c r="A22" t="s">
        <v>41</v>
      </c>
      <c r="B22" s="5">
        <f t="shared" ref="B22:K22" si="3">B19+B21</f>
        <v>100</v>
      </c>
      <c r="C22" s="5">
        <f t="shared" ca="1" si="3"/>
        <v>65.815042527906215</v>
      </c>
      <c r="D22" s="5">
        <f t="shared" ca="1" si="3"/>
        <v>23.29064554122683</v>
      </c>
      <c r="E22" s="5">
        <f t="shared" ca="1" si="3"/>
        <v>126.70935445877316</v>
      </c>
      <c r="F22" s="5">
        <f t="shared" ca="1" si="3"/>
        <v>238.98710589882123</v>
      </c>
      <c r="G22" s="5">
        <f t="shared" ca="1" si="3"/>
        <v>208.46794862364197</v>
      </c>
      <c r="H22" s="5">
        <f t="shared" ca="1" si="3"/>
        <v>166.82850261718153</v>
      </c>
      <c r="I22" s="5">
        <f t="shared" ca="1" si="3"/>
        <v>122.12829060897445</v>
      </c>
      <c r="J22" s="5">
        <f t="shared" ca="1" si="3"/>
        <v>77.023015110493674</v>
      </c>
      <c r="K22" s="5">
        <f t="shared" ca="1" si="3"/>
        <v>36.724097304854112</v>
      </c>
    </row>
    <row r="23" spans="1:11">
      <c r="A23" t="s">
        <v>42</v>
      </c>
      <c r="B23" s="5">
        <f t="shared" ref="B23:K23" ca="1" si="4">B16</f>
        <v>34.184957472093785</v>
      </c>
      <c r="C23" s="5">
        <f t="shared" ca="1" si="4"/>
        <v>42.524396986679385</v>
      </c>
      <c r="D23" s="5">
        <f t="shared" ca="1" si="4"/>
        <v>39.257780999468913</v>
      </c>
      <c r="E23" s="5">
        <f t="shared" ca="1" si="4"/>
        <v>37.722248559951929</v>
      </c>
      <c r="F23" s="5">
        <f t="shared" ca="1" si="4"/>
        <v>30.519157275179264</v>
      </c>
      <c r="G23" s="5">
        <f t="shared" ca="1" si="4"/>
        <v>41.639446006460453</v>
      </c>
      <c r="H23" s="5">
        <f t="shared" ca="1" si="4"/>
        <v>44.700212008207075</v>
      </c>
      <c r="I23" s="5">
        <f t="shared" ca="1" si="4"/>
        <v>45.105275498480779</v>
      </c>
      <c r="J23" s="5">
        <f t="shared" ca="1" si="4"/>
        <v>40.298917805639562</v>
      </c>
      <c r="K23" s="5">
        <f t="shared" ca="1" si="4"/>
        <v>36.887041786977775</v>
      </c>
    </row>
    <row r="24" spans="1:11">
      <c r="A24" t="s">
        <v>35</v>
      </c>
      <c r="B24" s="5">
        <f t="shared" ref="B24:K24" ca="1" si="5">IF(B23&lt;B22,B23,B22)</f>
        <v>34.184957472093785</v>
      </c>
      <c r="C24" s="5">
        <f t="shared" ca="1" si="5"/>
        <v>42.524396986679385</v>
      </c>
      <c r="D24" s="5">
        <f t="shared" ca="1" si="5"/>
        <v>23.29064554122683</v>
      </c>
      <c r="E24" s="5">
        <f t="shared" ca="1" si="5"/>
        <v>37.722248559951929</v>
      </c>
      <c r="F24" s="5">
        <f t="shared" ca="1" si="5"/>
        <v>30.519157275179264</v>
      </c>
      <c r="G24" s="5">
        <f t="shared" ca="1" si="5"/>
        <v>41.639446006460453</v>
      </c>
      <c r="H24" s="5">
        <f t="shared" ca="1" si="5"/>
        <v>44.700212008207075</v>
      </c>
      <c r="I24" s="5">
        <f t="shared" ca="1" si="5"/>
        <v>45.105275498480779</v>
      </c>
      <c r="J24" s="5">
        <f t="shared" ca="1" si="5"/>
        <v>40.298917805639562</v>
      </c>
      <c r="K24" s="5">
        <f t="shared" ca="1" si="5"/>
        <v>36.724097304854112</v>
      </c>
    </row>
    <row r="25" spans="1:11">
      <c r="A25" t="s">
        <v>7</v>
      </c>
      <c r="B25" s="5">
        <f t="shared" ref="B25:K25" ca="1" si="6">B22-B24</f>
        <v>65.815042527906215</v>
      </c>
      <c r="C25" s="5">
        <f t="shared" ca="1" si="6"/>
        <v>23.29064554122683</v>
      </c>
      <c r="D25" s="5">
        <f t="shared" ca="1" si="6"/>
        <v>0</v>
      </c>
      <c r="E25" s="5">
        <f t="shared" ca="1" si="6"/>
        <v>88.987105898821227</v>
      </c>
      <c r="F25" s="5">
        <f t="shared" ca="1" si="6"/>
        <v>208.46794862364197</v>
      </c>
      <c r="G25" s="5">
        <f t="shared" ca="1" si="6"/>
        <v>166.82850261718153</v>
      </c>
      <c r="H25" s="5">
        <f t="shared" ca="1" si="6"/>
        <v>122.12829060897445</v>
      </c>
      <c r="I25" s="5">
        <f t="shared" ca="1" si="6"/>
        <v>77.023015110493674</v>
      </c>
      <c r="J25" s="5">
        <f t="shared" ca="1" si="6"/>
        <v>36.724097304854112</v>
      </c>
      <c r="K25" s="5">
        <f t="shared" ca="1" si="6"/>
        <v>0</v>
      </c>
    </row>
    <row r="26" spans="1:11">
      <c r="A26" t="s">
        <v>49</v>
      </c>
      <c r="B26" s="5">
        <f t="shared" ref="B26:K26" ca="1" si="7">B23-B24</f>
        <v>0</v>
      </c>
      <c r="C26" s="5">
        <f t="shared" ca="1" si="7"/>
        <v>0</v>
      </c>
      <c r="D26" s="5">
        <f t="shared" ca="1" si="7"/>
        <v>15.967135458242083</v>
      </c>
      <c r="E26" s="5">
        <f t="shared" ca="1" si="7"/>
        <v>0</v>
      </c>
      <c r="F26" s="5">
        <f t="shared" ca="1" si="7"/>
        <v>0</v>
      </c>
      <c r="G26" s="5">
        <f t="shared" ca="1" si="7"/>
        <v>0</v>
      </c>
      <c r="H26" s="5">
        <f t="shared" ca="1" si="7"/>
        <v>0</v>
      </c>
      <c r="I26" s="5">
        <f t="shared" ca="1" si="7"/>
        <v>0</v>
      </c>
      <c r="J26" s="5">
        <f t="shared" ca="1" si="7"/>
        <v>0</v>
      </c>
      <c r="K26" s="5">
        <f t="shared" ca="1" si="7"/>
        <v>0.16294448212366319</v>
      </c>
    </row>
    <row r="27" spans="1:11">
      <c r="A27" t="s">
        <v>8</v>
      </c>
    </row>
    <row r="28" spans="1:11">
      <c r="A28" s="2" t="s">
        <v>9</v>
      </c>
      <c r="B28" s="5">
        <f t="shared" ref="B28:K28" si="8">IF(B19&gt;0,$B$9*B19,0)</f>
        <v>300</v>
      </c>
      <c r="C28" s="5">
        <f t="shared" ca="1" si="8"/>
        <v>197.44512758371866</v>
      </c>
      <c r="D28" s="5">
        <f t="shared" ca="1" si="8"/>
        <v>69.871936623680483</v>
      </c>
      <c r="E28" s="5">
        <f t="shared" ca="1" si="8"/>
        <v>0</v>
      </c>
      <c r="F28" s="5">
        <f t="shared" ca="1" si="8"/>
        <v>266.96131769646365</v>
      </c>
      <c r="G28" s="5">
        <f t="shared" ca="1" si="8"/>
        <v>625.40384587092592</v>
      </c>
      <c r="H28" s="5">
        <f t="shared" ca="1" si="8"/>
        <v>500.48550785154458</v>
      </c>
      <c r="I28" s="5">
        <f t="shared" ca="1" si="8"/>
        <v>366.38487182692336</v>
      </c>
      <c r="J28" s="5">
        <f t="shared" ca="1" si="8"/>
        <v>231.06904533148102</v>
      </c>
      <c r="K28" s="5">
        <f t="shared" ca="1" si="8"/>
        <v>110.17229191456234</v>
      </c>
    </row>
    <row r="29" spans="1:11">
      <c r="A29" s="2" t="s">
        <v>10</v>
      </c>
      <c r="B29" s="5">
        <f t="shared" ref="B29:K29" ca="1" si="9">IF(B20&gt;0,$B$10,0)</f>
        <v>0</v>
      </c>
      <c r="C29" s="5">
        <f t="shared" ca="1" si="9"/>
        <v>0</v>
      </c>
      <c r="D29" s="5">
        <f t="shared" ca="1" si="9"/>
        <v>200</v>
      </c>
      <c r="E29" s="5">
        <f t="shared" ca="1" si="9"/>
        <v>200</v>
      </c>
      <c r="F29" s="5">
        <f t="shared" ca="1" si="9"/>
        <v>0</v>
      </c>
      <c r="G29" s="5">
        <f t="shared" ca="1" si="9"/>
        <v>0</v>
      </c>
      <c r="H29" s="5">
        <f t="shared" ca="1" si="9"/>
        <v>0</v>
      </c>
      <c r="I29" s="5">
        <f t="shared" ca="1" si="9"/>
        <v>0</v>
      </c>
      <c r="J29" s="5">
        <f t="shared" ca="1" si="9"/>
        <v>0</v>
      </c>
      <c r="K29" s="5">
        <f t="shared" ca="1" si="9"/>
        <v>200</v>
      </c>
    </row>
    <row r="30" spans="1:11">
      <c r="A30" s="2" t="s">
        <v>11</v>
      </c>
      <c r="B30" s="5">
        <f t="shared" ref="B30:K30" ca="1" si="10">$B$11*B20</f>
        <v>0</v>
      </c>
      <c r="C30" s="5">
        <f t="shared" ca="1" si="10"/>
        <v>0</v>
      </c>
      <c r="D30" s="5">
        <f t="shared" ca="1" si="10"/>
        <v>506.83741783509265</v>
      </c>
      <c r="E30" s="5">
        <f t="shared" ca="1" si="10"/>
        <v>600</v>
      </c>
      <c r="F30" s="5">
        <f t="shared" ca="1" si="10"/>
        <v>0</v>
      </c>
      <c r="G30" s="5">
        <f t="shared" ca="1" si="10"/>
        <v>0</v>
      </c>
      <c r="H30" s="5">
        <f t="shared" ca="1" si="10"/>
        <v>0</v>
      </c>
      <c r="I30" s="5">
        <f t="shared" ca="1" si="10"/>
        <v>0</v>
      </c>
      <c r="J30" s="5">
        <f t="shared" ca="1" si="10"/>
        <v>0</v>
      </c>
      <c r="K30" s="5">
        <f t="shared" ca="1" si="10"/>
        <v>453.10361078058355</v>
      </c>
    </row>
    <row r="31" spans="1:11">
      <c r="A31" s="2" t="s">
        <v>12</v>
      </c>
      <c r="B31" s="5">
        <f t="shared" ref="B31:K31" ca="1" si="11">IF(B24&lt;B23,(B23-B24)*$B$8,0)</f>
        <v>0</v>
      </c>
      <c r="C31" s="5">
        <f t="shared" ca="1" si="11"/>
        <v>0</v>
      </c>
      <c r="D31" s="5">
        <f t="shared" ca="1" si="11"/>
        <v>159.67135458242083</v>
      </c>
      <c r="E31" s="5">
        <f t="shared" ca="1" si="11"/>
        <v>0</v>
      </c>
      <c r="F31" s="5">
        <f t="shared" ca="1" si="11"/>
        <v>0</v>
      </c>
      <c r="G31" s="5">
        <f t="shared" ca="1" si="11"/>
        <v>0</v>
      </c>
      <c r="H31" s="5">
        <f t="shared" ca="1" si="11"/>
        <v>0</v>
      </c>
      <c r="I31" s="5">
        <f t="shared" ca="1" si="11"/>
        <v>0</v>
      </c>
      <c r="J31" s="5">
        <f t="shared" ca="1" si="11"/>
        <v>0</v>
      </c>
      <c r="K31" s="5">
        <f t="shared" ca="1" si="11"/>
        <v>1.6294448212366319</v>
      </c>
    </row>
    <row r="32" spans="1:11">
      <c r="A32" s="2" t="s">
        <v>13</v>
      </c>
      <c r="B32" s="5">
        <f t="shared" ref="B32:K32" ca="1" si="12">SUM(B28:B31)</f>
        <v>300</v>
      </c>
      <c r="C32" s="5">
        <f t="shared" ca="1" si="12"/>
        <v>197.44512758371866</v>
      </c>
      <c r="D32" s="5">
        <f t="shared" ca="1" si="12"/>
        <v>936.38070904119388</v>
      </c>
      <c r="E32" s="5">
        <f t="shared" ca="1" si="12"/>
        <v>800</v>
      </c>
      <c r="F32" s="5">
        <f t="shared" ca="1" si="12"/>
        <v>266.96131769646365</v>
      </c>
      <c r="G32" s="5">
        <f t="shared" ca="1" si="12"/>
        <v>625.40384587092592</v>
      </c>
      <c r="H32" s="5">
        <f t="shared" ca="1" si="12"/>
        <v>500.48550785154458</v>
      </c>
      <c r="I32" s="5">
        <f t="shared" ca="1" si="12"/>
        <v>366.38487182692336</v>
      </c>
      <c r="J32" s="5">
        <f t="shared" ca="1" si="12"/>
        <v>231.06904533148102</v>
      </c>
      <c r="K32" s="5">
        <f t="shared" ca="1" si="12"/>
        <v>764.90534751638256</v>
      </c>
    </row>
    <row r="33" spans="1:11">
      <c r="A33" s="13" t="s">
        <v>52</v>
      </c>
      <c r="B33" s="5">
        <f t="shared" ref="B33:K33" ca="1" si="13">$B$7*B24</f>
        <v>769.16154312211017</v>
      </c>
      <c r="C33" s="5">
        <f t="shared" ca="1" si="13"/>
        <v>956.79893220028612</v>
      </c>
      <c r="D33" s="5">
        <f t="shared" ca="1" si="13"/>
        <v>524.03952467760371</v>
      </c>
      <c r="E33" s="5">
        <f t="shared" ca="1" si="13"/>
        <v>848.75059259891839</v>
      </c>
      <c r="F33" s="5">
        <f t="shared" ca="1" si="13"/>
        <v>686.68103869153344</v>
      </c>
      <c r="G33" s="5">
        <f t="shared" ca="1" si="13"/>
        <v>936.88753514536018</v>
      </c>
      <c r="H33" s="5">
        <f t="shared" ca="1" si="13"/>
        <v>1005.7547701846592</v>
      </c>
      <c r="I33" s="5">
        <f t="shared" ca="1" si="13"/>
        <v>1014.8686987158176</v>
      </c>
      <c r="J33" s="5">
        <f t="shared" ca="1" si="13"/>
        <v>906.72565062689011</v>
      </c>
      <c r="K33" s="5">
        <f t="shared" ca="1" si="13"/>
        <v>826.29218935921756</v>
      </c>
    </row>
    <row r="34" spans="1:11">
      <c r="A34" s="13" t="s">
        <v>53</v>
      </c>
      <c r="B34" s="5">
        <f t="shared" ref="B34:K34" ca="1" si="14">B33-B32</f>
        <v>469.16154312211017</v>
      </c>
      <c r="C34" s="5">
        <f t="shared" ca="1" si="14"/>
        <v>759.35380461656746</v>
      </c>
      <c r="D34" s="5">
        <f t="shared" ca="1" si="14"/>
        <v>-412.34118436359017</v>
      </c>
      <c r="E34" s="5">
        <f t="shared" ca="1" si="14"/>
        <v>48.750592598918388</v>
      </c>
      <c r="F34" s="5">
        <f t="shared" ca="1" si="14"/>
        <v>419.71972099506979</v>
      </c>
      <c r="G34" s="5">
        <f t="shared" ca="1" si="14"/>
        <v>311.48368927443425</v>
      </c>
      <c r="H34" s="5">
        <f t="shared" ca="1" si="14"/>
        <v>505.26926233311457</v>
      </c>
      <c r="I34" s="5">
        <f t="shared" ca="1" si="14"/>
        <v>648.48382688889421</v>
      </c>
      <c r="J34" s="5">
        <f t="shared" ca="1" si="14"/>
        <v>675.65660529540912</v>
      </c>
      <c r="K34" s="5">
        <f t="shared" ca="1" si="14"/>
        <v>61.386841842834997</v>
      </c>
    </row>
    <row r="35" spans="1:11">
      <c r="A35" s="25" t="s">
        <v>61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26" t="s">
        <v>16</v>
      </c>
      <c r="B36" s="5">
        <f ca="1">AVERAGE(B32:R32)</f>
        <v>498.90357727186336</v>
      </c>
      <c r="C36" s="5"/>
      <c r="G36" s="5"/>
      <c r="H36" s="5"/>
      <c r="I36" s="5"/>
      <c r="J36" s="5"/>
      <c r="K36" s="5"/>
    </row>
    <row r="37" spans="1:11">
      <c r="A37" s="26" t="s">
        <v>17</v>
      </c>
      <c r="B37" s="5">
        <f ca="1">AVERAGE(B25:R25)</f>
        <v>78.926464823309999</v>
      </c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26" t="s">
        <v>48</v>
      </c>
      <c r="B38" s="5">
        <f ca="1">AVERAGE(B26:K26)</f>
        <v>1.6130079940365747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26" t="s">
        <v>55</v>
      </c>
      <c r="B39" s="5">
        <f ca="1">AVERAGE(B33:K33)</f>
        <v>847.59604753223971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28" t="s">
        <v>56</v>
      </c>
      <c r="B40" s="29">
        <f ca="1">AVERAGE(B34:K34)</f>
        <v>348.6924702603763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13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2"/>
    </row>
    <row r="43" spans="1:11">
      <c r="A43" s="1" t="s">
        <v>44</v>
      </c>
    </row>
    <row r="44" spans="1:11" s="20" customFormat="1" ht="13.5" thickBot="1">
      <c r="A44" s="20" t="s">
        <v>5</v>
      </c>
      <c r="B44" s="20">
        <v>1</v>
      </c>
      <c r="C44" s="20">
        <v>2</v>
      </c>
      <c r="D44" s="20">
        <v>3</v>
      </c>
      <c r="E44" s="20">
        <v>4</v>
      </c>
      <c r="F44" s="20">
        <v>5</v>
      </c>
      <c r="G44" s="20">
        <v>6</v>
      </c>
      <c r="H44" s="20">
        <v>7</v>
      </c>
      <c r="I44" s="20">
        <v>8</v>
      </c>
      <c r="J44" s="20">
        <v>9</v>
      </c>
      <c r="K44" s="20">
        <v>10</v>
      </c>
    </row>
    <row r="45" spans="1:11">
      <c r="A45" t="s">
        <v>6</v>
      </c>
      <c r="B45" s="5">
        <f ca="1">B37</f>
        <v>78.926464823309999</v>
      </c>
      <c r="C45" s="5">
        <f t="shared" ref="C45:K45" ca="1" si="15">B51</f>
        <v>44.741507351216214</v>
      </c>
      <c r="D45" s="5">
        <f t="shared" ca="1" si="15"/>
        <v>2.2171103645368291</v>
      </c>
      <c r="E45" s="5">
        <f t="shared" ca="1" si="15"/>
        <v>0</v>
      </c>
      <c r="F45" s="5">
        <f t="shared" ca="1" si="15"/>
        <v>67.536244088831864</v>
      </c>
      <c r="G45" s="5">
        <f t="shared" ca="1" si="15"/>
        <v>184.79997644911577</v>
      </c>
      <c r="H45" s="5">
        <f t="shared" ca="1" si="15"/>
        <v>293.16053044265533</v>
      </c>
      <c r="I45" s="5">
        <f t="shared" ca="1" si="15"/>
        <v>248.46031843444825</v>
      </c>
      <c r="J45" s="5">
        <f t="shared" ca="1" si="15"/>
        <v>203.35504293596748</v>
      </c>
      <c r="K45" s="5">
        <f t="shared" ca="1" si="15"/>
        <v>163.05612513032793</v>
      </c>
    </row>
    <row r="46" spans="1:11">
      <c r="A46" t="s">
        <v>15</v>
      </c>
      <c r="B46" s="5">
        <f t="shared" ref="B46:K46" ca="1" si="16">IF(B45&lt;$B$14,($B$13-B45),0)</f>
        <v>0</v>
      </c>
      <c r="C46" s="5">
        <f t="shared" ca="1" si="16"/>
        <v>105.25849264878379</v>
      </c>
      <c r="D46" s="5">
        <f t="shared" ca="1" si="16"/>
        <v>147.78288963546316</v>
      </c>
      <c r="E46" s="5">
        <f t="shared" ca="1" si="16"/>
        <v>150</v>
      </c>
      <c r="F46" s="5">
        <f t="shared" ca="1" si="16"/>
        <v>0</v>
      </c>
      <c r="G46" s="5">
        <f t="shared" ca="1" si="16"/>
        <v>0</v>
      </c>
      <c r="H46" s="5">
        <f t="shared" ca="1" si="16"/>
        <v>0</v>
      </c>
      <c r="I46" s="5">
        <f t="shared" ca="1" si="16"/>
        <v>0</v>
      </c>
      <c r="J46" s="5">
        <f t="shared" ca="1" si="16"/>
        <v>0</v>
      </c>
      <c r="K46" s="5">
        <f t="shared" ca="1" si="16"/>
        <v>0</v>
      </c>
    </row>
    <row r="47" spans="1:11">
      <c r="A47" t="s">
        <v>14</v>
      </c>
      <c r="B47" s="5">
        <v>0</v>
      </c>
      <c r="C47" s="5">
        <v>0</v>
      </c>
      <c r="D47" s="5">
        <f t="shared" ref="D47:K47" ca="1" si="17">B46</f>
        <v>0</v>
      </c>
      <c r="E47" s="5">
        <f t="shared" ca="1" si="17"/>
        <v>105.25849264878379</v>
      </c>
      <c r="F47" s="5">
        <f t="shared" ca="1" si="17"/>
        <v>147.78288963546316</v>
      </c>
      <c r="G47" s="5">
        <f t="shared" ca="1" si="17"/>
        <v>150</v>
      </c>
      <c r="H47" s="5">
        <f t="shared" ca="1" si="17"/>
        <v>0</v>
      </c>
      <c r="I47" s="5">
        <f t="shared" ca="1" si="17"/>
        <v>0</v>
      </c>
      <c r="J47" s="5">
        <f t="shared" ca="1" si="17"/>
        <v>0</v>
      </c>
      <c r="K47" s="5">
        <f t="shared" ca="1" si="17"/>
        <v>0</v>
      </c>
    </row>
    <row r="48" spans="1:11">
      <c r="A48" t="s">
        <v>41</v>
      </c>
      <c r="B48" s="5">
        <f t="shared" ref="B48:K48" ca="1" si="18">B45+B47</f>
        <v>78.926464823309999</v>
      </c>
      <c r="C48" s="5">
        <f t="shared" ca="1" si="18"/>
        <v>44.741507351216214</v>
      </c>
      <c r="D48" s="5">
        <f t="shared" ca="1" si="18"/>
        <v>2.2171103645368291</v>
      </c>
      <c r="E48" s="5">
        <f t="shared" ca="1" si="18"/>
        <v>105.25849264878379</v>
      </c>
      <c r="F48" s="5">
        <f t="shared" ca="1" si="18"/>
        <v>215.31913372429503</v>
      </c>
      <c r="G48" s="5">
        <f t="shared" ca="1" si="18"/>
        <v>334.79997644911577</v>
      </c>
      <c r="H48" s="5">
        <f t="shared" ca="1" si="18"/>
        <v>293.16053044265533</v>
      </c>
      <c r="I48" s="5">
        <f t="shared" ca="1" si="18"/>
        <v>248.46031843444825</v>
      </c>
      <c r="J48" s="5">
        <f t="shared" ca="1" si="18"/>
        <v>203.35504293596748</v>
      </c>
      <c r="K48" s="5">
        <f t="shared" ca="1" si="18"/>
        <v>163.05612513032793</v>
      </c>
    </row>
    <row r="49" spans="1:11">
      <c r="A49" t="s">
        <v>42</v>
      </c>
      <c r="B49" s="5">
        <f t="shared" ref="B49:K49" ca="1" si="19">B16</f>
        <v>34.184957472093785</v>
      </c>
      <c r="C49" s="5">
        <f t="shared" ca="1" si="19"/>
        <v>42.524396986679385</v>
      </c>
      <c r="D49" s="5">
        <f t="shared" ca="1" si="19"/>
        <v>39.257780999468913</v>
      </c>
      <c r="E49" s="5">
        <f t="shared" ca="1" si="19"/>
        <v>37.722248559951929</v>
      </c>
      <c r="F49" s="5">
        <f t="shared" ca="1" si="19"/>
        <v>30.519157275179264</v>
      </c>
      <c r="G49" s="5">
        <f t="shared" ca="1" si="19"/>
        <v>41.639446006460453</v>
      </c>
      <c r="H49" s="5">
        <f t="shared" ca="1" si="19"/>
        <v>44.700212008207075</v>
      </c>
      <c r="I49" s="5">
        <f t="shared" ca="1" si="19"/>
        <v>45.105275498480779</v>
      </c>
      <c r="J49" s="5">
        <f t="shared" ca="1" si="19"/>
        <v>40.298917805639562</v>
      </c>
      <c r="K49" s="5">
        <f t="shared" ca="1" si="19"/>
        <v>36.887041786977775</v>
      </c>
    </row>
    <row r="50" spans="1:11">
      <c r="A50" t="s">
        <v>35</v>
      </c>
      <c r="B50" s="5">
        <f t="shared" ref="B50:K50" ca="1" si="20">IF(B49&lt;B48,B49,B48)</f>
        <v>34.184957472093785</v>
      </c>
      <c r="C50" s="5">
        <f t="shared" ca="1" si="20"/>
        <v>42.524396986679385</v>
      </c>
      <c r="D50" s="5">
        <f t="shared" ca="1" si="20"/>
        <v>2.2171103645368291</v>
      </c>
      <c r="E50" s="5">
        <f t="shared" ca="1" si="20"/>
        <v>37.722248559951929</v>
      </c>
      <c r="F50" s="5">
        <f t="shared" ca="1" si="20"/>
        <v>30.519157275179264</v>
      </c>
      <c r="G50" s="5">
        <f t="shared" ca="1" si="20"/>
        <v>41.639446006460453</v>
      </c>
      <c r="H50" s="5">
        <f t="shared" ca="1" si="20"/>
        <v>44.700212008207075</v>
      </c>
      <c r="I50" s="5">
        <f t="shared" ca="1" si="20"/>
        <v>45.105275498480779</v>
      </c>
      <c r="J50" s="5">
        <f t="shared" ca="1" si="20"/>
        <v>40.298917805639562</v>
      </c>
      <c r="K50" s="5">
        <f t="shared" ca="1" si="20"/>
        <v>36.887041786977775</v>
      </c>
    </row>
    <row r="51" spans="1:11">
      <c r="A51" t="s">
        <v>7</v>
      </c>
      <c r="B51" s="5">
        <f t="shared" ref="B51:K51" ca="1" si="21">B48-B50</f>
        <v>44.741507351216214</v>
      </c>
      <c r="C51" s="5">
        <f t="shared" ca="1" si="21"/>
        <v>2.2171103645368291</v>
      </c>
      <c r="D51" s="5">
        <f t="shared" ca="1" si="21"/>
        <v>0</v>
      </c>
      <c r="E51" s="5">
        <f t="shared" ca="1" si="21"/>
        <v>67.536244088831864</v>
      </c>
      <c r="F51" s="5">
        <f t="shared" ca="1" si="21"/>
        <v>184.79997644911577</v>
      </c>
      <c r="G51" s="5">
        <f t="shared" ca="1" si="21"/>
        <v>293.16053044265533</v>
      </c>
      <c r="H51" s="5">
        <f t="shared" ca="1" si="21"/>
        <v>248.46031843444825</v>
      </c>
      <c r="I51" s="5">
        <f t="shared" ca="1" si="21"/>
        <v>203.35504293596748</v>
      </c>
      <c r="J51" s="5">
        <f t="shared" ca="1" si="21"/>
        <v>163.05612513032793</v>
      </c>
      <c r="K51" s="5">
        <f t="shared" ca="1" si="21"/>
        <v>126.16908334335015</v>
      </c>
    </row>
    <row r="52" spans="1:11">
      <c r="A52" t="s">
        <v>49</v>
      </c>
      <c r="B52" s="5">
        <f t="shared" ref="B52:K52" ca="1" si="22">B49-B50</f>
        <v>0</v>
      </c>
      <c r="C52" s="5">
        <f t="shared" ca="1" si="22"/>
        <v>0</v>
      </c>
      <c r="D52" s="5">
        <f t="shared" ca="1" si="22"/>
        <v>37.040670634932084</v>
      </c>
      <c r="E52" s="5">
        <f t="shared" ca="1" si="22"/>
        <v>0</v>
      </c>
      <c r="F52" s="5">
        <f t="shared" ca="1" si="22"/>
        <v>0</v>
      </c>
      <c r="G52" s="5">
        <f t="shared" ca="1" si="22"/>
        <v>0</v>
      </c>
      <c r="H52" s="5">
        <f t="shared" ca="1" si="22"/>
        <v>0</v>
      </c>
      <c r="I52" s="5">
        <f t="shared" ca="1" si="22"/>
        <v>0</v>
      </c>
      <c r="J52" s="5">
        <f t="shared" ca="1" si="22"/>
        <v>0</v>
      </c>
      <c r="K52" s="5">
        <f t="shared" ca="1" si="22"/>
        <v>0</v>
      </c>
    </row>
    <row r="53" spans="1:11">
      <c r="A53" t="s">
        <v>8</v>
      </c>
    </row>
    <row r="54" spans="1:11">
      <c r="A54" s="2" t="s">
        <v>9</v>
      </c>
      <c r="B54" s="5">
        <f t="shared" ref="B54:K54" ca="1" si="23">IF(B45&gt;0,$B$9*B45,0)</f>
        <v>236.77939446993</v>
      </c>
      <c r="C54" s="5">
        <f t="shared" ca="1" si="23"/>
        <v>134.22452205364863</v>
      </c>
      <c r="D54" s="5">
        <f t="shared" ca="1" si="23"/>
        <v>6.6513310936104872</v>
      </c>
      <c r="E54" s="5">
        <f t="shared" ca="1" si="23"/>
        <v>0</v>
      </c>
      <c r="F54" s="5">
        <f t="shared" ca="1" si="23"/>
        <v>202.60873226649559</v>
      </c>
      <c r="G54" s="5">
        <f t="shared" ca="1" si="23"/>
        <v>554.39992934734732</v>
      </c>
      <c r="H54" s="5">
        <f t="shared" ca="1" si="23"/>
        <v>879.48159132796604</v>
      </c>
      <c r="I54" s="5">
        <f t="shared" ca="1" si="23"/>
        <v>745.38095530334476</v>
      </c>
      <c r="J54" s="5">
        <f t="shared" ca="1" si="23"/>
        <v>610.0651288079024</v>
      </c>
      <c r="K54" s="5">
        <f t="shared" ca="1" si="23"/>
        <v>489.16837539098378</v>
      </c>
    </row>
    <row r="55" spans="1:11">
      <c r="A55" s="2" t="s">
        <v>10</v>
      </c>
      <c r="B55" s="5">
        <f t="shared" ref="B55:K55" ca="1" si="24">IF(B46&gt;0,$B$10,0)</f>
        <v>0</v>
      </c>
      <c r="C55" s="5">
        <f t="shared" ca="1" si="24"/>
        <v>200</v>
      </c>
      <c r="D55" s="5">
        <f t="shared" ca="1" si="24"/>
        <v>200</v>
      </c>
      <c r="E55" s="5">
        <f t="shared" ca="1" si="24"/>
        <v>200</v>
      </c>
      <c r="F55" s="5">
        <f t="shared" ca="1" si="24"/>
        <v>0</v>
      </c>
      <c r="G55" s="5">
        <f t="shared" ca="1" si="24"/>
        <v>0</v>
      </c>
      <c r="H55" s="5">
        <f t="shared" ca="1" si="24"/>
        <v>0</v>
      </c>
      <c r="I55" s="5">
        <f t="shared" ca="1" si="24"/>
        <v>0</v>
      </c>
      <c r="J55" s="5">
        <f t="shared" ca="1" si="24"/>
        <v>0</v>
      </c>
      <c r="K55" s="5">
        <f t="shared" ca="1" si="24"/>
        <v>0</v>
      </c>
    </row>
    <row r="56" spans="1:11">
      <c r="A56" s="2" t="s">
        <v>11</v>
      </c>
      <c r="B56" s="5">
        <f t="shared" ref="B56:K56" ca="1" si="25">$B$11*B46</f>
        <v>0</v>
      </c>
      <c r="C56" s="5">
        <f t="shared" ca="1" si="25"/>
        <v>421.03397059513514</v>
      </c>
      <c r="D56" s="5">
        <f t="shared" ca="1" si="25"/>
        <v>591.13155854185266</v>
      </c>
      <c r="E56" s="5">
        <f t="shared" ca="1" si="25"/>
        <v>600</v>
      </c>
      <c r="F56" s="5">
        <f t="shared" ca="1" si="25"/>
        <v>0</v>
      </c>
      <c r="G56" s="5">
        <f t="shared" ca="1" si="25"/>
        <v>0</v>
      </c>
      <c r="H56" s="5">
        <f t="shared" ca="1" si="25"/>
        <v>0</v>
      </c>
      <c r="I56" s="5">
        <f t="shared" ca="1" si="25"/>
        <v>0</v>
      </c>
      <c r="J56" s="5">
        <f t="shared" ca="1" si="25"/>
        <v>0</v>
      </c>
      <c r="K56" s="5">
        <f t="shared" ca="1" si="25"/>
        <v>0</v>
      </c>
    </row>
    <row r="57" spans="1:11">
      <c r="A57" s="2" t="s">
        <v>12</v>
      </c>
      <c r="B57" s="5">
        <f t="shared" ref="B57:K57" ca="1" si="26">IF(B50&lt;B49,(B49-B50)*$B$8,0)</f>
        <v>0</v>
      </c>
      <c r="C57" s="5">
        <f t="shared" ca="1" si="26"/>
        <v>0</v>
      </c>
      <c r="D57" s="5">
        <f t="shared" ca="1" si="26"/>
        <v>370.40670634932087</v>
      </c>
      <c r="E57" s="5">
        <f t="shared" ca="1" si="26"/>
        <v>0</v>
      </c>
      <c r="F57" s="5">
        <f t="shared" ca="1" si="26"/>
        <v>0</v>
      </c>
      <c r="G57" s="5">
        <f t="shared" ca="1" si="26"/>
        <v>0</v>
      </c>
      <c r="H57" s="5">
        <f t="shared" ca="1" si="26"/>
        <v>0</v>
      </c>
      <c r="I57" s="5">
        <f t="shared" ca="1" si="26"/>
        <v>0</v>
      </c>
      <c r="J57" s="5">
        <f t="shared" ca="1" si="26"/>
        <v>0</v>
      </c>
      <c r="K57" s="5">
        <f t="shared" ca="1" si="26"/>
        <v>0</v>
      </c>
    </row>
    <row r="58" spans="1:11">
      <c r="A58" s="2" t="s">
        <v>13</v>
      </c>
      <c r="B58" s="5">
        <f t="shared" ref="B58:K58" ca="1" si="27">SUM(B54:B57)</f>
        <v>236.77939446993</v>
      </c>
      <c r="C58" s="5">
        <f t="shared" ca="1" si="27"/>
        <v>755.25849264878377</v>
      </c>
      <c r="D58" s="5">
        <f t="shared" ca="1" si="27"/>
        <v>1168.1895959847839</v>
      </c>
      <c r="E58" s="5">
        <f t="shared" ca="1" si="27"/>
        <v>800</v>
      </c>
      <c r="F58" s="5">
        <f t="shared" ca="1" si="27"/>
        <v>202.60873226649559</v>
      </c>
      <c r="G58" s="5">
        <f t="shared" ca="1" si="27"/>
        <v>554.39992934734732</v>
      </c>
      <c r="H58" s="5">
        <f t="shared" ca="1" si="27"/>
        <v>879.48159132796604</v>
      </c>
      <c r="I58" s="5">
        <f t="shared" ca="1" si="27"/>
        <v>745.38095530334476</v>
      </c>
      <c r="J58" s="5">
        <f t="shared" ca="1" si="27"/>
        <v>610.0651288079024</v>
      </c>
      <c r="K58" s="5">
        <f t="shared" ca="1" si="27"/>
        <v>489.16837539098378</v>
      </c>
    </row>
    <row r="59" spans="1:11">
      <c r="A59" s="13" t="s">
        <v>52</v>
      </c>
      <c r="B59" s="5">
        <f t="shared" ref="B59:K59" ca="1" si="28">$B$7*B50</f>
        <v>769.16154312211017</v>
      </c>
      <c r="C59" s="5">
        <f t="shared" ca="1" si="28"/>
        <v>956.79893220028612</v>
      </c>
      <c r="D59" s="5">
        <f t="shared" ca="1" si="28"/>
        <v>49.884983202078658</v>
      </c>
      <c r="E59" s="5">
        <f t="shared" ca="1" si="28"/>
        <v>848.75059259891839</v>
      </c>
      <c r="F59" s="5">
        <f t="shared" ca="1" si="28"/>
        <v>686.68103869153344</v>
      </c>
      <c r="G59" s="5">
        <f t="shared" ca="1" si="28"/>
        <v>936.88753514536018</v>
      </c>
      <c r="H59" s="5">
        <f t="shared" ca="1" si="28"/>
        <v>1005.7547701846592</v>
      </c>
      <c r="I59" s="5">
        <f t="shared" ca="1" si="28"/>
        <v>1014.8686987158176</v>
      </c>
      <c r="J59" s="5">
        <f t="shared" ca="1" si="28"/>
        <v>906.72565062689011</v>
      </c>
      <c r="K59" s="5">
        <f t="shared" ca="1" si="28"/>
        <v>829.95844020699997</v>
      </c>
    </row>
    <row r="60" spans="1:11">
      <c r="A60" s="13" t="s">
        <v>53</v>
      </c>
      <c r="B60" s="5">
        <f t="shared" ref="B60:K60" ca="1" si="29">B59-B58</f>
        <v>532.38214865218015</v>
      </c>
      <c r="C60" s="5">
        <f t="shared" ca="1" si="29"/>
        <v>201.54043955150235</v>
      </c>
      <c r="D60" s="5">
        <f t="shared" ca="1" si="29"/>
        <v>-1118.3046127827051</v>
      </c>
      <c r="E60" s="5">
        <f t="shared" ca="1" si="29"/>
        <v>48.750592598918388</v>
      </c>
      <c r="F60" s="5">
        <f t="shared" ca="1" si="29"/>
        <v>484.07230642503782</v>
      </c>
      <c r="G60" s="5">
        <f t="shared" ca="1" si="29"/>
        <v>382.48760579801285</v>
      </c>
      <c r="H60" s="5">
        <f t="shared" ca="1" si="29"/>
        <v>126.27317885669311</v>
      </c>
      <c r="I60" s="5">
        <f t="shared" ca="1" si="29"/>
        <v>269.48774341247281</v>
      </c>
      <c r="J60" s="5">
        <f t="shared" ca="1" si="29"/>
        <v>296.66052181898772</v>
      </c>
      <c r="K60" s="5">
        <f t="shared" ca="1" si="29"/>
        <v>340.79006481601618</v>
      </c>
    </row>
    <row r="61" spans="1:11">
      <c r="B61" t="s">
        <v>62</v>
      </c>
    </row>
    <row r="62" spans="1:11">
      <c r="B62" t="s">
        <v>50</v>
      </c>
      <c r="C62" t="s">
        <v>51</v>
      </c>
    </row>
    <row r="63" spans="1:11">
      <c r="A63" t="str">
        <f t="shared" ref="A63:B67" si="30">A36</f>
        <v>Average Cost</v>
      </c>
      <c r="B63" s="5">
        <f t="shared" ca="1" si="30"/>
        <v>498.90357727186336</v>
      </c>
      <c r="C63" s="5">
        <f ca="1">AVERAGE(B58:R58)</f>
        <v>644.13321955475385</v>
      </c>
    </row>
    <row r="64" spans="1:11">
      <c r="A64" t="str">
        <f t="shared" si="30"/>
        <v>Average Inventory</v>
      </c>
      <c r="B64" s="5">
        <f t="shared" ca="1" si="30"/>
        <v>78.926464823309999</v>
      </c>
      <c r="C64" s="5">
        <f ca="1">AVERAGE(B51:R51)</f>
        <v>133.34959385404497</v>
      </c>
    </row>
    <row r="65" spans="1:3">
      <c r="A65" t="str">
        <f t="shared" si="30"/>
        <v>Average Lost Sales</v>
      </c>
      <c r="B65" s="5">
        <f t="shared" ca="1" si="30"/>
        <v>1.6130079940365747</v>
      </c>
      <c r="C65" s="5">
        <f ca="1">AVERAGE(B52:K52)</f>
        <v>3.7040670634932082</v>
      </c>
    </row>
    <row r="66" spans="1:3">
      <c r="A66" t="str">
        <f t="shared" si="30"/>
        <v>Average Revenue</v>
      </c>
      <c r="B66" s="5">
        <f t="shared" ca="1" si="30"/>
        <v>847.59604753223971</v>
      </c>
      <c r="C66" s="5">
        <f ca="1">AVERAGE(B59:K59)</f>
        <v>800.54721846946541</v>
      </c>
    </row>
    <row r="67" spans="1:3">
      <c r="A67" s="1" t="str">
        <f t="shared" si="30"/>
        <v>Average Profit</v>
      </c>
      <c r="B67" s="29">
        <f t="shared" ca="1" si="30"/>
        <v>348.6924702603763</v>
      </c>
      <c r="C67" s="29">
        <f ca="1">AVERAGE(B60:K60)</f>
        <v>156.41399891471161</v>
      </c>
    </row>
  </sheetData>
  <phoneticPr fontId="0" type="noConversion"/>
  <printOptions headings="1"/>
  <pageMargins left="0.75" right="0.75" top="0.52" bottom="0.68" header="0.5" footer="0.5"/>
  <pageSetup scale="72" orientation="portrait" r:id="rId1"/>
  <headerFooter alignWithMargins="0">
    <oddFooter>demoinventory.xls&amp;RPage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B119"/>
  <sheetViews>
    <sheetView workbookViewId="0">
      <selection activeCell="A21" sqref="A21"/>
    </sheetView>
  </sheetViews>
  <sheetFormatPr defaultRowHeight="12.75"/>
  <cols>
    <col min="2" max="2" width="16.7109375" customWidth="1"/>
    <col min="3" max="3" width="15.42578125" customWidth="1"/>
    <col min="4" max="4" width="16.7109375" customWidth="1"/>
    <col min="5" max="5" width="15" customWidth="1"/>
    <col min="6" max="6" width="16.7109375" customWidth="1"/>
    <col min="7" max="7" width="17.28515625" customWidth="1"/>
    <col min="8" max="8" width="15.7109375" customWidth="1"/>
    <col min="9" max="9" width="17.28515625" customWidth="1"/>
  </cols>
  <sheetData>
    <row r="1" spans="1:28">
      <c r="A1" t="s">
        <v>64</v>
      </c>
    </row>
    <row r="2" spans="1:28">
      <c r="A2" t="s">
        <v>18</v>
      </c>
      <c r="B2" t="str">
        <f ca="1">ADDRESS(ROW(Sheet1!$B$40),COLUMN(Sheet1!$B$40),4,,_xll.WSNAME(Sheet1!$B$40))</f>
        <v>Sheet1!B40</v>
      </c>
      <c r="C2" t="str">
        <f ca="1">ADDRESS(ROW(Sheet1!$B$40),COLUMN(Sheet1!$B$40),4,,_xll.WSNAME(Sheet1!$B$40))</f>
        <v>Sheet1!B40</v>
      </c>
      <c r="D2" t="str">
        <f ca="1">ADDRESS(ROW(Sheet1!$B$40),COLUMN(Sheet1!$B$40),4,,_xll.WSNAME(Sheet1!$B$40))</f>
        <v>Sheet1!B40</v>
      </c>
      <c r="E2" t="str">
        <f ca="1">ADDRESS(ROW(Sheet1!$B$40),COLUMN(Sheet1!$B$40),4,,_xll.WSNAME(Sheet1!$B$40))</f>
        <v>Sheet1!B40</v>
      </c>
      <c r="F2" t="str">
        <f ca="1">ADDRESS(ROW(Sheet1!$B$67),COLUMN(Sheet1!$B$67),4,,_xll.WSNAME(Sheet1!$B$67))</f>
        <v>Sheet1!B67</v>
      </c>
      <c r="G2" t="str">
        <f ca="1">ADDRESS(ROW(Sheet1!$B$67),COLUMN(Sheet1!$B$67),4,,_xll.WSNAME(Sheet1!$B$67))</f>
        <v>Sheet1!B67</v>
      </c>
      <c r="H2" t="str">
        <f ca="1">ADDRESS(ROW(Sheet1!$B$67),COLUMN(Sheet1!$B$67),4,,_xll.WSNAME(Sheet1!$B$67))</f>
        <v>Sheet1!B67</v>
      </c>
      <c r="I2" t="str">
        <f ca="1">ADDRESS(ROW(Sheet1!$B$67),COLUMN(Sheet1!$B$67),4,,_xll.WSNAME(Sheet1!$B$67))</f>
        <v>Sheet1!B67</v>
      </c>
    </row>
    <row r="3" spans="1:28">
      <c r="A3" t="s">
        <v>19</v>
      </c>
      <c r="B3">
        <f t="shared" ref="B3:I3" si="0">AVERAGE(B9:B108)</f>
        <v>354.44131725468498</v>
      </c>
      <c r="C3">
        <f t="shared" si="0"/>
        <v>369.3848002235855</v>
      </c>
      <c r="D3">
        <f t="shared" si="0"/>
        <v>359.95920918278767</v>
      </c>
      <c r="E3">
        <f t="shared" si="0"/>
        <v>329.21323504461571</v>
      </c>
      <c r="F3">
        <f t="shared" si="0"/>
        <v>354.44131725468498</v>
      </c>
      <c r="G3">
        <f t="shared" si="0"/>
        <v>369.3848002235855</v>
      </c>
      <c r="H3">
        <f t="shared" si="0"/>
        <v>359.95920918278767</v>
      </c>
      <c r="I3">
        <f t="shared" si="0"/>
        <v>329.21323504461571</v>
      </c>
    </row>
    <row r="4" spans="1:28">
      <c r="A4" t="s">
        <v>20</v>
      </c>
      <c r="B4">
        <f t="shared" ref="B4:I4" si="1">STDEV(B9:B108)</f>
        <v>25.476432481129638</v>
      </c>
      <c r="C4">
        <f t="shared" si="1"/>
        <v>40.17755990770501</v>
      </c>
      <c r="D4">
        <f t="shared" si="1"/>
        <v>34.63226983007052</v>
      </c>
      <c r="E4">
        <f t="shared" si="1"/>
        <v>34.787782233954836</v>
      </c>
      <c r="F4">
        <f t="shared" si="1"/>
        <v>25.476432481129638</v>
      </c>
      <c r="G4">
        <f t="shared" si="1"/>
        <v>40.17755990770501</v>
      </c>
      <c r="H4">
        <f t="shared" si="1"/>
        <v>34.63226983007052</v>
      </c>
      <c r="I4">
        <f t="shared" si="1"/>
        <v>34.787782233954836</v>
      </c>
    </row>
    <row r="5" spans="1:28">
      <c r="A5" t="s">
        <v>21</v>
      </c>
      <c r="B5">
        <f t="shared" ref="B5:I5" si="2">100*B4/B3</f>
        <v>7.1877716397333726</v>
      </c>
      <c r="C5">
        <f t="shared" si="2"/>
        <v>10.876884994560109</v>
      </c>
      <c r="D5">
        <f t="shared" si="2"/>
        <v>9.6211651060951784</v>
      </c>
      <c r="E5">
        <f t="shared" si="2"/>
        <v>10.56694522905202</v>
      </c>
      <c r="F5">
        <f t="shared" si="2"/>
        <v>7.1877716397333726</v>
      </c>
      <c r="G5">
        <f t="shared" si="2"/>
        <v>10.876884994560109</v>
      </c>
      <c r="H5">
        <f t="shared" si="2"/>
        <v>9.6211651060951784</v>
      </c>
      <c r="I5">
        <f t="shared" si="2"/>
        <v>10.56694522905202</v>
      </c>
      <c r="M5" t="str">
        <f>SimData1!$B$8</f>
        <v>Average Profit: 1</v>
      </c>
      <c r="N5" t="s">
        <v>40</v>
      </c>
      <c r="O5" t="str">
        <f>SimData1!$C$8</f>
        <v>Average Profit: 2</v>
      </c>
      <c r="P5" t="s">
        <v>40</v>
      </c>
      <c r="Q5" t="str">
        <f>SimData1!$D$8</f>
        <v>Average Profit: 3</v>
      </c>
      <c r="R5" t="s">
        <v>40</v>
      </c>
      <c r="S5" t="str">
        <f>SimData1!$E$8</f>
        <v>Average Profit: 4</v>
      </c>
      <c r="T5" t="s">
        <v>40</v>
      </c>
      <c r="U5" t="str">
        <f>SimData1!$F$8</f>
        <v>Average Profit: 1</v>
      </c>
      <c r="V5" t="s">
        <v>40</v>
      </c>
      <c r="W5" t="str">
        <f>SimData1!$G$8</f>
        <v>Average Profit: 2</v>
      </c>
      <c r="X5" t="s">
        <v>40</v>
      </c>
      <c r="Y5" t="str">
        <f>SimData1!$H$8</f>
        <v>Average Profit: 3</v>
      </c>
      <c r="Z5" t="s">
        <v>40</v>
      </c>
      <c r="AA5" t="str">
        <f>SimData1!$I$8</f>
        <v>Average Profit: 4</v>
      </c>
      <c r="AB5" t="s">
        <v>40</v>
      </c>
    </row>
    <row r="6" spans="1:28">
      <c r="A6" t="s">
        <v>22</v>
      </c>
      <c r="B6">
        <f t="shared" ref="B6:I6" si="3">MIN(B9:B108)</f>
        <v>261.51305841655005</v>
      </c>
      <c r="C6">
        <f t="shared" si="3"/>
        <v>277.06983265950225</v>
      </c>
      <c r="D6">
        <f t="shared" si="3"/>
        <v>263.79941861118607</v>
      </c>
      <c r="E6">
        <f t="shared" si="3"/>
        <v>239.08063213591839</v>
      </c>
      <c r="F6">
        <f t="shared" si="3"/>
        <v>261.51305841655005</v>
      </c>
      <c r="G6">
        <f t="shared" si="3"/>
        <v>277.06983265950225</v>
      </c>
      <c r="H6">
        <f t="shared" si="3"/>
        <v>263.79941861118607</v>
      </c>
      <c r="I6">
        <f t="shared" si="3"/>
        <v>239.08063213591839</v>
      </c>
      <c r="M6">
        <f>SMALL(SimData1!$B$9:$B$108,1)</f>
        <v>261.51305841655005</v>
      </c>
      <c r="N6">
        <v>0</v>
      </c>
      <c r="O6">
        <f>SMALL(SimData1!$C$9:$C$108,1)</f>
        <v>277.06983265950225</v>
      </c>
      <c r="P6">
        <v>0</v>
      </c>
      <c r="Q6">
        <f>SMALL(SimData1!$D$9:$D$108,1)</f>
        <v>263.79941861118607</v>
      </c>
      <c r="R6">
        <v>0</v>
      </c>
      <c r="S6">
        <f>SMALL(SimData1!$E$9:$E$108,1)</f>
        <v>239.08063213591839</v>
      </c>
      <c r="T6">
        <v>0</v>
      </c>
      <c r="U6">
        <f>SMALL(SimData1!$F$9:$F$108,1)</f>
        <v>261.51305841655005</v>
      </c>
      <c r="V6">
        <v>0</v>
      </c>
      <c r="W6">
        <f>SMALL(SimData1!$G$9:$G$108,1)</f>
        <v>277.06983265950225</v>
      </c>
      <c r="X6">
        <v>0</v>
      </c>
      <c r="Y6">
        <f>SMALL(SimData1!$H$9:$H$108,1)</f>
        <v>263.79941861118607</v>
      </c>
      <c r="Z6">
        <v>0</v>
      </c>
      <c r="AA6">
        <f>SMALL(SimData1!$I$9:$I$108,1)</f>
        <v>239.08063213591839</v>
      </c>
      <c r="AB6">
        <v>0</v>
      </c>
    </row>
    <row r="7" spans="1:28">
      <c r="A7" t="s">
        <v>23</v>
      </c>
      <c r="B7">
        <f t="shared" ref="B7:I7" si="4">MAX(B9:B108)</f>
        <v>449.42580660997282</v>
      </c>
      <c r="C7">
        <f t="shared" si="4"/>
        <v>449.42580660997282</v>
      </c>
      <c r="D7">
        <f t="shared" si="4"/>
        <v>446.73824216074047</v>
      </c>
      <c r="E7">
        <f t="shared" si="4"/>
        <v>408.37453768072669</v>
      </c>
      <c r="F7">
        <f t="shared" si="4"/>
        <v>449.42580660997282</v>
      </c>
      <c r="G7">
        <f t="shared" si="4"/>
        <v>449.42580660997282</v>
      </c>
      <c r="H7">
        <f t="shared" si="4"/>
        <v>446.73824216074047</v>
      </c>
      <c r="I7">
        <f t="shared" si="4"/>
        <v>408.37453768072669</v>
      </c>
      <c r="M7">
        <f>SMALL(SimData1!$B$9:$B$108,2)</f>
        <v>318.0656937675036</v>
      </c>
      <c r="N7">
        <f>1/(COUNT(SimData1!$B$9:$B$108)-1)+$N$6</f>
        <v>1.0101010101010102E-2</v>
      </c>
      <c r="O7">
        <f>SMALL(SimData1!$C$9:$C$108,2)</f>
        <v>291.11481607230087</v>
      </c>
      <c r="P7">
        <f>1/(COUNT(SimData1!$C$9:$C$108)-1)+$P$6</f>
        <v>1.0101010101010102E-2</v>
      </c>
      <c r="Q7">
        <f>SMALL(SimData1!$D$9:$D$108,2)</f>
        <v>281.9424582448803</v>
      </c>
      <c r="R7">
        <f>1/(COUNT(SimData1!$D$9:$D$108)-1)+$R$6</f>
        <v>1.0101010101010102E-2</v>
      </c>
      <c r="S7">
        <f>SMALL(SimData1!$E$9:$E$108,2)</f>
        <v>254.96722703581037</v>
      </c>
      <c r="T7">
        <f>1/(COUNT(SimData1!$E$9:$E$108)-1)+$T$6</f>
        <v>1.0101010101010102E-2</v>
      </c>
      <c r="U7">
        <f>SMALL(SimData1!$F$9:$F$108,2)</f>
        <v>318.0656937675036</v>
      </c>
      <c r="V7">
        <f>1/(COUNT(SimData1!$F$9:$F$108)-1)+$V$6</f>
        <v>1.0101010101010102E-2</v>
      </c>
      <c r="W7">
        <f>SMALL(SimData1!$G$9:$G$108,2)</f>
        <v>291.11481607230087</v>
      </c>
      <c r="X7">
        <f>1/(COUNT(SimData1!$G$9:$G$108)-1)+$X$6</f>
        <v>1.0101010101010102E-2</v>
      </c>
      <c r="Y7">
        <f>SMALL(SimData1!$H$9:$H$108,2)</f>
        <v>281.9424582448803</v>
      </c>
      <c r="Z7">
        <f>1/(COUNT(SimData1!$H$9:$H$108)-1)+$Z$6</f>
        <v>1.0101010101010102E-2</v>
      </c>
      <c r="AA7">
        <f>SMALL(SimData1!$I$9:$I$108,2)</f>
        <v>254.96722703581037</v>
      </c>
      <c r="AB7">
        <f>1/(COUNT(SimData1!$I$9:$I$108)-1)+$AB$6</f>
        <v>1.0101010101010102E-2</v>
      </c>
    </row>
    <row r="8" spans="1:28">
      <c r="A8" t="s">
        <v>24</v>
      </c>
      <c r="B8" t="str">
        <f>Sheet1!$A$40&amp;": "&amp;1</f>
        <v>Average Profit: 1</v>
      </c>
      <c r="C8" t="str">
        <f>Sheet1!$A$40&amp;": "&amp;2</f>
        <v>Average Profit: 2</v>
      </c>
      <c r="D8" t="str">
        <f>Sheet1!$A$40&amp;": "&amp;3</f>
        <v>Average Profit: 3</v>
      </c>
      <c r="E8" t="str">
        <f>Sheet1!$A$40&amp;": "&amp;4</f>
        <v>Average Profit: 4</v>
      </c>
      <c r="F8" t="str">
        <f>Sheet1!$A$67&amp;": "&amp;1</f>
        <v>Average Profit: 1</v>
      </c>
      <c r="G8" t="str">
        <f>Sheet1!$A$67&amp;": "&amp;2</f>
        <v>Average Profit: 2</v>
      </c>
      <c r="H8" t="str">
        <f>Sheet1!$A$67&amp;": "&amp;3</f>
        <v>Average Profit: 3</v>
      </c>
      <c r="I8" t="str">
        <f>Sheet1!$A$67&amp;": "&amp;4</f>
        <v>Average Profit: 4</v>
      </c>
      <c r="M8">
        <f>SMALL(SimData1!$B$9:$B$108,3)</f>
        <v>319.79424304216991</v>
      </c>
      <c r="N8">
        <f>1/(COUNT(SimData1!$B$9:$B$108)-1)+$N$7</f>
        <v>2.0202020202020204E-2</v>
      </c>
      <c r="O8">
        <f>SMALL(SimData1!$C$9:$C$108,3)</f>
        <v>295.25604360099061</v>
      </c>
      <c r="P8">
        <f>1/(COUNT(SimData1!$C$9:$C$108)-1)+$P$7</f>
        <v>2.0202020202020204E-2</v>
      </c>
      <c r="Q8">
        <f>SMALL(SimData1!$D$9:$D$108,3)</f>
        <v>292.50331864597871</v>
      </c>
      <c r="R8">
        <f>1/(COUNT(SimData1!$D$9:$D$108)-1)+$R$7</f>
        <v>2.0202020202020204E-2</v>
      </c>
      <c r="S8">
        <f>SMALL(SimData1!$E$9:$E$108,3)</f>
        <v>257.7028704157425</v>
      </c>
      <c r="T8">
        <f>1/(COUNT(SimData1!$E$9:$E$108)-1)+$T$7</f>
        <v>2.0202020202020204E-2</v>
      </c>
      <c r="U8">
        <f>SMALL(SimData1!$F$9:$F$108,3)</f>
        <v>319.79424304216991</v>
      </c>
      <c r="V8">
        <f>1/(COUNT(SimData1!$F$9:$F$108)-1)+$V$7</f>
        <v>2.0202020202020204E-2</v>
      </c>
      <c r="W8">
        <f>SMALL(SimData1!$G$9:$G$108,3)</f>
        <v>295.25604360099061</v>
      </c>
      <c r="X8">
        <f>1/(COUNT(SimData1!$G$9:$G$108)-1)+$X$7</f>
        <v>2.0202020202020204E-2</v>
      </c>
      <c r="Y8">
        <f>SMALL(SimData1!$H$9:$H$108,3)</f>
        <v>292.50331864597871</v>
      </c>
      <c r="Z8">
        <f>1/(COUNT(SimData1!$H$9:$H$108)-1)+$Z$7</f>
        <v>2.0202020202020204E-2</v>
      </c>
      <c r="AA8">
        <f>SMALL(SimData1!$I$9:$I$108,3)</f>
        <v>257.7028704157425</v>
      </c>
      <c r="AB8">
        <f>1/(COUNT(SimData1!$I$9:$I$108)-1)+$AB$7</f>
        <v>2.0202020202020204E-2</v>
      </c>
    </row>
    <row r="9" spans="1:28">
      <c r="A9">
        <v>1</v>
      </c>
      <c r="B9">
        <v>328.61458784992857</v>
      </c>
      <c r="C9">
        <v>400.19426231845398</v>
      </c>
      <c r="D9">
        <v>345.74171871790088</v>
      </c>
      <c r="E9">
        <v>345.74171871790088</v>
      </c>
      <c r="F9">
        <v>328.61458784992857</v>
      </c>
      <c r="G9">
        <v>400.19426231845398</v>
      </c>
      <c r="H9">
        <v>345.74171871790088</v>
      </c>
      <c r="I9">
        <v>345.74171871790088</v>
      </c>
      <c r="M9">
        <f>SMALL(SimData1!$B$9:$B$108,4)</f>
        <v>322.96441732800793</v>
      </c>
      <c r="N9">
        <f>1/(COUNT(SimData1!$B$9:$B$108)-1)+$N$8</f>
        <v>3.0303030303030304E-2</v>
      </c>
      <c r="O9">
        <f>SMALL(SimData1!$C$9:$C$108,4)</f>
        <v>302.89078601913076</v>
      </c>
      <c r="P9">
        <f>1/(COUNT(SimData1!$C$9:$C$108)-1)+$P$8</f>
        <v>3.0303030303030304E-2</v>
      </c>
      <c r="Q9">
        <f>SMALL(SimData1!$D$9:$D$108,4)</f>
        <v>295.25604360099061</v>
      </c>
      <c r="R9">
        <f>1/(COUNT(SimData1!$D$9:$D$108)-1)+$R$8</f>
        <v>3.0303030303030304E-2</v>
      </c>
      <c r="S9">
        <f>SMALL(SimData1!$E$9:$E$108,4)</f>
        <v>259.70559539304429</v>
      </c>
      <c r="T9">
        <f>1/(COUNT(SimData1!$E$9:$E$108)-1)+$T$8</f>
        <v>3.0303030303030304E-2</v>
      </c>
      <c r="U9">
        <f>SMALL(SimData1!$F$9:$F$108,4)</f>
        <v>322.96441732800793</v>
      </c>
      <c r="V9">
        <f>1/(COUNT(SimData1!$F$9:$F$108)-1)+$V$8</f>
        <v>3.0303030303030304E-2</v>
      </c>
      <c r="W9">
        <f>SMALL(SimData1!$G$9:$G$108,4)</f>
        <v>302.89078601913076</v>
      </c>
      <c r="X9">
        <f>1/(COUNT(SimData1!$G$9:$G$108)-1)+$X$8</f>
        <v>3.0303030303030304E-2</v>
      </c>
      <c r="Y9">
        <f>SMALL(SimData1!$H$9:$H$108,4)</f>
        <v>295.25604360099061</v>
      </c>
      <c r="Z9">
        <f>1/(COUNT(SimData1!$H$9:$H$108)-1)+$Z$8</f>
        <v>3.0303030303030304E-2</v>
      </c>
      <c r="AA9">
        <f>SMALL(SimData1!$I$9:$I$108,4)</f>
        <v>259.70559539304429</v>
      </c>
      <c r="AB9">
        <f>1/(COUNT(SimData1!$I$9:$I$108)-1)+$AB$8</f>
        <v>3.0303030303030304E-2</v>
      </c>
    </row>
    <row r="10" spans="1:28">
      <c r="A10">
        <v>2</v>
      </c>
      <c r="B10">
        <v>363.27214705849366</v>
      </c>
      <c r="C10">
        <v>363.27214705849366</v>
      </c>
      <c r="D10">
        <v>407.26735473279069</v>
      </c>
      <c r="E10">
        <v>329.12971059516741</v>
      </c>
      <c r="F10">
        <v>363.27214705849366</v>
      </c>
      <c r="G10">
        <v>363.27214705849366</v>
      </c>
      <c r="H10">
        <v>407.26735473279069</v>
      </c>
      <c r="I10">
        <v>329.12971059516741</v>
      </c>
      <c r="M10">
        <f>SMALL(SimData1!$B$9:$B$108,5)</f>
        <v>323.00379860335204</v>
      </c>
      <c r="N10">
        <f>1/(COUNT(SimData1!$B$9:$B$108)-1)+$N$9</f>
        <v>4.0404040404040407E-2</v>
      </c>
      <c r="O10">
        <f>SMALL(SimData1!$C$9:$C$108,5)</f>
        <v>313.89249472061243</v>
      </c>
      <c r="P10">
        <f>1/(COUNT(SimData1!$C$9:$C$108)-1)+$P$9</f>
        <v>4.0404040404040407E-2</v>
      </c>
      <c r="Q10">
        <f>SMALL(SimData1!$D$9:$D$108,5)</f>
        <v>298.41153815245417</v>
      </c>
      <c r="R10">
        <f>1/(COUNT(SimData1!$D$9:$D$108)-1)+$R$9</f>
        <v>4.0404040404040407E-2</v>
      </c>
      <c r="S10">
        <f>SMALL(SimData1!$E$9:$E$108,5)</f>
        <v>263.79941861118607</v>
      </c>
      <c r="T10">
        <f>1/(COUNT(SimData1!$E$9:$E$108)-1)+$T$9</f>
        <v>4.0404040404040407E-2</v>
      </c>
      <c r="U10">
        <f>SMALL(SimData1!$F$9:$F$108,5)</f>
        <v>323.00379860335204</v>
      </c>
      <c r="V10">
        <f>1/(COUNT(SimData1!$F$9:$F$108)-1)+$V$9</f>
        <v>4.0404040404040407E-2</v>
      </c>
      <c r="W10">
        <f>SMALL(SimData1!$G$9:$G$108,5)</f>
        <v>313.89249472061243</v>
      </c>
      <c r="X10">
        <f>1/(COUNT(SimData1!$G$9:$G$108)-1)+$X$9</f>
        <v>4.0404040404040407E-2</v>
      </c>
      <c r="Y10">
        <f>SMALL(SimData1!$H$9:$H$108,5)</f>
        <v>298.41153815245417</v>
      </c>
      <c r="Z10">
        <f>1/(COUNT(SimData1!$H$9:$H$108)-1)+$Z$9</f>
        <v>4.0404040404040407E-2</v>
      </c>
      <c r="AA10">
        <f>SMALL(SimData1!$I$9:$I$108,5)</f>
        <v>263.79941861118607</v>
      </c>
      <c r="AB10">
        <f>1/(COUNT(SimData1!$I$9:$I$108)-1)+$AB$9</f>
        <v>4.0404040404040407E-2</v>
      </c>
    </row>
    <row r="11" spans="1:28">
      <c r="A11">
        <v>3</v>
      </c>
      <c r="B11">
        <v>353.65059705102368</v>
      </c>
      <c r="C11">
        <v>347.44186426872267</v>
      </c>
      <c r="D11">
        <v>347.44186426872267</v>
      </c>
      <c r="E11">
        <v>239.08063213591839</v>
      </c>
      <c r="F11">
        <v>353.65059705102368</v>
      </c>
      <c r="G11">
        <v>347.44186426872267</v>
      </c>
      <c r="H11">
        <v>347.44186426872267</v>
      </c>
      <c r="I11">
        <v>239.08063213591839</v>
      </c>
      <c r="M11">
        <f>SMALL(SimData1!$B$9:$B$108,6)</f>
        <v>323.13899273982827</v>
      </c>
      <c r="N11">
        <f>1/(COUNT(SimData1!$B$9:$B$108)-1)+$N$10</f>
        <v>5.0505050505050511E-2</v>
      </c>
      <c r="O11">
        <f>SMALL(SimData1!$C$9:$C$108,6)</f>
        <v>314.95582683068631</v>
      </c>
      <c r="P11">
        <f>1/(COUNT(SimData1!$C$9:$C$108)-1)+$P$10</f>
        <v>5.0505050505050511E-2</v>
      </c>
      <c r="Q11">
        <f>SMALL(SimData1!$D$9:$D$108,6)</f>
        <v>303.94209145709368</v>
      </c>
      <c r="R11">
        <f>1/(COUNT(SimData1!$D$9:$D$108)-1)+$R$10</f>
        <v>5.0505050505050511E-2</v>
      </c>
      <c r="S11">
        <f>SMALL(SimData1!$E$9:$E$108,6)</f>
        <v>265.66410994114824</v>
      </c>
      <c r="T11">
        <f>1/(COUNT(SimData1!$E$9:$E$108)-1)+$T$10</f>
        <v>5.0505050505050511E-2</v>
      </c>
      <c r="U11">
        <f>SMALL(SimData1!$F$9:$F$108,6)</f>
        <v>323.13899273982827</v>
      </c>
      <c r="V11">
        <f>1/(COUNT(SimData1!$F$9:$F$108)-1)+$V$10</f>
        <v>5.0505050505050511E-2</v>
      </c>
      <c r="W11">
        <f>SMALL(SimData1!$G$9:$G$108,6)</f>
        <v>314.95582683068631</v>
      </c>
      <c r="X11">
        <f>1/(COUNT(SimData1!$G$9:$G$108)-1)+$X$10</f>
        <v>5.0505050505050511E-2</v>
      </c>
      <c r="Y11">
        <f>SMALL(SimData1!$H$9:$H$108,6)</f>
        <v>303.94209145709368</v>
      </c>
      <c r="Z11">
        <f>1/(COUNT(SimData1!$H$9:$H$108)-1)+$Z$10</f>
        <v>5.0505050505050511E-2</v>
      </c>
      <c r="AA11">
        <f>SMALL(SimData1!$I$9:$I$108,6)</f>
        <v>265.66410994114824</v>
      </c>
      <c r="AB11">
        <f>1/(COUNT(SimData1!$I$9:$I$108)-1)+$AB$10</f>
        <v>5.0505050505050511E-2</v>
      </c>
    </row>
    <row r="12" spans="1:28">
      <c r="A12">
        <v>4</v>
      </c>
      <c r="B12">
        <v>368.7595618210575</v>
      </c>
      <c r="C12">
        <v>379.15957078632306</v>
      </c>
      <c r="D12">
        <v>318.10880032685088</v>
      </c>
      <c r="E12">
        <v>318.10880032685088</v>
      </c>
      <c r="F12">
        <v>368.7595618210575</v>
      </c>
      <c r="G12">
        <v>379.15957078632306</v>
      </c>
      <c r="H12">
        <v>318.10880032685088</v>
      </c>
      <c r="I12">
        <v>318.10880032685088</v>
      </c>
      <c r="M12">
        <f>SMALL(SimData1!$B$9:$B$108,7)</f>
        <v>326.86161834435831</v>
      </c>
      <c r="N12">
        <f>1/(COUNT(SimData1!$B$9:$B$108)-1)+$N$11</f>
        <v>6.0606060606060615E-2</v>
      </c>
      <c r="O12">
        <f>SMALL(SimData1!$C$9:$C$108,7)</f>
        <v>318.0656937675036</v>
      </c>
      <c r="P12">
        <f>1/(COUNT(SimData1!$C$9:$C$108)-1)+$P$11</f>
        <v>6.0606060606060615E-2</v>
      </c>
      <c r="Q12">
        <f>SMALL(SimData1!$D$9:$D$108,7)</f>
        <v>310.5949671300707</v>
      </c>
      <c r="R12">
        <f>1/(COUNT(SimData1!$D$9:$D$108)-1)+$R$11</f>
        <v>6.0606060606060615E-2</v>
      </c>
      <c r="S12">
        <f>SMALL(SimData1!$E$9:$E$108,7)</f>
        <v>271.09756882774445</v>
      </c>
      <c r="T12">
        <f>1/(COUNT(SimData1!$E$9:$E$108)-1)+$T$11</f>
        <v>6.0606060606060615E-2</v>
      </c>
      <c r="U12">
        <f>SMALL(SimData1!$F$9:$F$108,7)</f>
        <v>326.86161834435831</v>
      </c>
      <c r="V12">
        <f>1/(COUNT(SimData1!$F$9:$F$108)-1)+$V$11</f>
        <v>6.0606060606060615E-2</v>
      </c>
      <c r="W12">
        <f>SMALL(SimData1!$G$9:$G$108,7)</f>
        <v>318.0656937675036</v>
      </c>
      <c r="X12">
        <f>1/(COUNT(SimData1!$G$9:$G$108)-1)+$X$11</f>
        <v>6.0606060606060615E-2</v>
      </c>
      <c r="Y12">
        <f>SMALL(SimData1!$H$9:$H$108,7)</f>
        <v>310.5949671300707</v>
      </c>
      <c r="Z12">
        <f>1/(COUNT(SimData1!$H$9:$H$108)-1)+$Z$11</f>
        <v>6.0606060606060615E-2</v>
      </c>
      <c r="AA12">
        <f>SMALL(SimData1!$I$9:$I$108,7)</f>
        <v>271.09756882774445</v>
      </c>
      <c r="AB12">
        <f>1/(COUNT(SimData1!$I$9:$I$108)-1)+$AB$11</f>
        <v>6.0606060606060615E-2</v>
      </c>
    </row>
    <row r="13" spans="1:28">
      <c r="A13">
        <v>5</v>
      </c>
      <c r="B13">
        <v>377.66506935874042</v>
      </c>
      <c r="C13">
        <v>411.02848973329935</v>
      </c>
      <c r="D13">
        <v>346.82329431007804</v>
      </c>
      <c r="E13">
        <v>346.82329431007804</v>
      </c>
      <c r="F13">
        <v>377.66506935874042</v>
      </c>
      <c r="G13">
        <v>411.02848973329935</v>
      </c>
      <c r="H13">
        <v>346.82329431007804</v>
      </c>
      <c r="I13">
        <v>346.82329431007804</v>
      </c>
      <c r="M13">
        <f>SMALL(SimData1!$B$9:$B$108,8)</f>
        <v>327.29784046339864</v>
      </c>
      <c r="N13">
        <f>1/(COUNT(SimData1!$B$9:$B$108)-1)+$N$12</f>
        <v>7.0707070707070718E-2</v>
      </c>
      <c r="O13">
        <f>SMALL(SimData1!$C$9:$C$108,8)</f>
        <v>321.34045181237832</v>
      </c>
      <c r="P13">
        <f>1/(COUNT(SimData1!$C$9:$C$108)-1)+$P$12</f>
        <v>7.0707070707070718E-2</v>
      </c>
      <c r="Q13">
        <f>SMALL(SimData1!$D$9:$D$108,8)</f>
        <v>313.01107060149968</v>
      </c>
      <c r="R13">
        <f>1/(COUNT(SimData1!$D$9:$D$108)-1)+$R$12</f>
        <v>7.0707070707070718E-2</v>
      </c>
      <c r="S13">
        <f>SMALL(SimData1!$E$9:$E$108,8)</f>
        <v>272.05192698454374</v>
      </c>
      <c r="T13">
        <f>1/(COUNT(SimData1!$E$9:$E$108)-1)+$T$12</f>
        <v>7.0707070707070718E-2</v>
      </c>
      <c r="U13">
        <f>SMALL(SimData1!$F$9:$F$108,8)</f>
        <v>327.29784046339864</v>
      </c>
      <c r="V13">
        <f>1/(COUNT(SimData1!$F$9:$F$108)-1)+$V$12</f>
        <v>7.0707070707070718E-2</v>
      </c>
      <c r="W13">
        <f>SMALL(SimData1!$G$9:$G$108,8)</f>
        <v>321.34045181237832</v>
      </c>
      <c r="X13">
        <f>1/(COUNT(SimData1!$G$9:$G$108)-1)+$X$12</f>
        <v>7.0707070707070718E-2</v>
      </c>
      <c r="Y13">
        <f>SMALL(SimData1!$H$9:$H$108,8)</f>
        <v>313.01107060149968</v>
      </c>
      <c r="Z13">
        <f>1/(COUNT(SimData1!$H$9:$H$108)-1)+$Z$12</f>
        <v>7.0707070707070718E-2</v>
      </c>
      <c r="AA13">
        <f>SMALL(SimData1!$I$9:$I$108,8)</f>
        <v>272.05192698454374</v>
      </c>
      <c r="AB13">
        <f>1/(COUNT(SimData1!$I$9:$I$108)-1)+$AB$12</f>
        <v>7.0707070707070718E-2</v>
      </c>
    </row>
    <row r="14" spans="1:28">
      <c r="A14">
        <v>6</v>
      </c>
      <c r="B14">
        <v>374.62763292916037</v>
      </c>
      <c r="C14">
        <v>408.68260089650539</v>
      </c>
      <c r="D14">
        <v>408.68260089650539</v>
      </c>
      <c r="E14">
        <v>320.51649768963199</v>
      </c>
      <c r="F14">
        <v>374.62763292916037</v>
      </c>
      <c r="G14">
        <v>408.68260089650539</v>
      </c>
      <c r="H14">
        <v>408.68260089650539</v>
      </c>
      <c r="I14">
        <v>320.51649768963199</v>
      </c>
      <c r="M14">
        <f>SMALL(SimData1!$B$9:$B$108,9)</f>
        <v>327.90205976338001</v>
      </c>
      <c r="N14">
        <f>1/(COUNT(SimData1!$B$9:$B$108)-1)+$N$13</f>
        <v>8.0808080808080815E-2</v>
      </c>
      <c r="O14">
        <f>SMALL(SimData1!$C$9:$C$108,9)</f>
        <v>323.00379860335204</v>
      </c>
      <c r="P14">
        <f>1/(COUNT(SimData1!$C$9:$C$108)-1)+$P$13</f>
        <v>8.0808080808080815E-2</v>
      </c>
      <c r="Q14">
        <f>SMALL(SimData1!$D$9:$D$108,9)</f>
        <v>313.45556079653613</v>
      </c>
      <c r="R14">
        <f>1/(COUNT(SimData1!$D$9:$D$108)-1)+$R$13</f>
        <v>8.0808080808080815E-2</v>
      </c>
      <c r="S14">
        <f>SMALL(SimData1!$E$9:$E$108,9)</f>
        <v>278.08001512941604</v>
      </c>
      <c r="T14">
        <f>1/(COUNT(SimData1!$E$9:$E$108)-1)+$T$13</f>
        <v>8.0808080808080815E-2</v>
      </c>
      <c r="U14">
        <f>SMALL(SimData1!$F$9:$F$108,9)</f>
        <v>327.90205976338001</v>
      </c>
      <c r="V14">
        <f>1/(COUNT(SimData1!$F$9:$F$108)-1)+$V$13</f>
        <v>8.0808080808080815E-2</v>
      </c>
      <c r="W14">
        <f>SMALL(SimData1!$G$9:$G$108,9)</f>
        <v>323.00379860335204</v>
      </c>
      <c r="X14">
        <f>1/(COUNT(SimData1!$G$9:$G$108)-1)+$X$13</f>
        <v>8.0808080808080815E-2</v>
      </c>
      <c r="Y14">
        <f>SMALL(SimData1!$H$9:$H$108,9)</f>
        <v>313.45556079653613</v>
      </c>
      <c r="Z14">
        <f>1/(COUNT(SimData1!$H$9:$H$108)-1)+$Z$13</f>
        <v>8.0808080808080815E-2</v>
      </c>
      <c r="AA14">
        <f>SMALL(SimData1!$I$9:$I$108,9)</f>
        <v>278.08001512941604</v>
      </c>
      <c r="AB14">
        <f>1/(COUNT(SimData1!$I$9:$I$108)-1)+$AB$13</f>
        <v>8.0808080808080815E-2</v>
      </c>
    </row>
    <row r="15" spans="1:28">
      <c r="A15">
        <v>7</v>
      </c>
      <c r="B15">
        <v>323.00379860335204</v>
      </c>
      <c r="C15">
        <v>323.00379860335204</v>
      </c>
      <c r="D15">
        <v>402.31466353132589</v>
      </c>
      <c r="E15">
        <v>319.63937218298344</v>
      </c>
      <c r="F15">
        <v>323.00379860335204</v>
      </c>
      <c r="G15">
        <v>323.00379860335204</v>
      </c>
      <c r="H15">
        <v>402.31466353132589</v>
      </c>
      <c r="I15">
        <v>319.63937218298344</v>
      </c>
      <c r="M15">
        <f>SMALL(SimData1!$B$9:$B$108,10)</f>
        <v>328.05031743883308</v>
      </c>
      <c r="N15">
        <f>1/(COUNT(SimData1!$B$9:$B$108)-1)+$N$14</f>
        <v>9.0909090909090912E-2</v>
      </c>
      <c r="O15">
        <f>SMALL(SimData1!$C$9:$C$108,10)</f>
        <v>323.13899273982827</v>
      </c>
      <c r="P15">
        <f>1/(COUNT(SimData1!$C$9:$C$108)-1)+$P$14</f>
        <v>9.0909090909090912E-2</v>
      </c>
      <c r="Q15">
        <f>SMALL(SimData1!$D$9:$D$108,10)</f>
        <v>315.13427200066639</v>
      </c>
      <c r="R15">
        <f>1/(COUNT(SimData1!$D$9:$D$108)-1)+$R$14</f>
        <v>9.0909090909090912E-2</v>
      </c>
      <c r="S15">
        <f>SMALL(SimData1!$E$9:$E$108,10)</f>
        <v>281.9424582448803</v>
      </c>
      <c r="T15">
        <f>1/(COUNT(SimData1!$E$9:$E$108)-1)+$T$14</f>
        <v>9.0909090909090912E-2</v>
      </c>
      <c r="U15">
        <f>SMALL(SimData1!$F$9:$F$108,10)</f>
        <v>328.05031743883308</v>
      </c>
      <c r="V15">
        <f>1/(COUNT(SimData1!$F$9:$F$108)-1)+$V$14</f>
        <v>9.0909090909090912E-2</v>
      </c>
      <c r="W15">
        <f>SMALL(SimData1!$G$9:$G$108,10)</f>
        <v>323.13899273982827</v>
      </c>
      <c r="X15">
        <f>1/(COUNT(SimData1!$G$9:$G$108)-1)+$X$14</f>
        <v>9.0909090909090912E-2</v>
      </c>
      <c r="Y15">
        <f>SMALL(SimData1!$H$9:$H$108,10)</f>
        <v>315.13427200066639</v>
      </c>
      <c r="Z15">
        <f>1/(COUNT(SimData1!$H$9:$H$108)-1)+$Z$14</f>
        <v>9.0909090909090912E-2</v>
      </c>
      <c r="AA15">
        <f>SMALL(SimData1!$I$9:$I$108,10)</f>
        <v>281.9424582448803</v>
      </c>
      <c r="AB15">
        <f>1/(COUNT(SimData1!$I$9:$I$108)-1)+$AB$14</f>
        <v>9.0909090909090912E-2</v>
      </c>
    </row>
    <row r="16" spans="1:28">
      <c r="A16">
        <v>8</v>
      </c>
      <c r="B16">
        <v>347.16198393196544</v>
      </c>
      <c r="C16">
        <v>347.16198393196544</v>
      </c>
      <c r="D16">
        <v>361.48988694722084</v>
      </c>
      <c r="E16">
        <v>361.48988694722084</v>
      </c>
      <c r="F16">
        <v>347.16198393196544</v>
      </c>
      <c r="G16">
        <v>347.16198393196544</v>
      </c>
      <c r="H16">
        <v>361.48988694722084</v>
      </c>
      <c r="I16">
        <v>361.48988694722084</v>
      </c>
      <c r="M16">
        <f>SMALL(SimData1!$B$9:$B$108,11)</f>
        <v>328.31993660258712</v>
      </c>
      <c r="N16">
        <f>1/(COUNT(SimData1!$B$9:$B$108)-1)+$N$15</f>
        <v>0.10101010101010101</v>
      </c>
      <c r="O16">
        <f>SMALL(SimData1!$C$9:$C$108,11)</f>
        <v>326.86161834435831</v>
      </c>
      <c r="P16">
        <f>1/(COUNT(SimData1!$C$9:$C$108)-1)+$P$15</f>
        <v>0.10101010101010101</v>
      </c>
      <c r="Q16">
        <f>SMALL(SimData1!$D$9:$D$108,11)</f>
        <v>317.37664600148253</v>
      </c>
      <c r="R16">
        <f>1/(COUNT(SimData1!$D$9:$D$108)-1)+$R$15</f>
        <v>0.10101010101010101</v>
      </c>
      <c r="S16">
        <f>SMALL(SimData1!$E$9:$E$108,11)</f>
        <v>282.58727338484761</v>
      </c>
      <c r="T16">
        <f>1/(COUNT(SimData1!$E$9:$E$108)-1)+$T$15</f>
        <v>0.10101010101010101</v>
      </c>
      <c r="U16">
        <f>SMALL(SimData1!$F$9:$F$108,11)</f>
        <v>328.31993660258712</v>
      </c>
      <c r="V16">
        <f>1/(COUNT(SimData1!$F$9:$F$108)-1)+$V$15</f>
        <v>0.10101010101010101</v>
      </c>
      <c r="W16">
        <f>SMALL(SimData1!$G$9:$G$108,11)</f>
        <v>326.86161834435831</v>
      </c>
      <c r="X16">
        <f>1/(COUNT(SimData1!$G$9:$G$108)-1)+$X$15</f>
        <v>0.10101010101010101</v>
      </c>
      <c r="Y16">
        <f>SMALL(SimData1!$H$9:$H$108,11)</f>
        <v>317.37664600148253</v>
      </c>
      <c r="Z16">
        <f>1/(COUNT(SimData1!$H$9:$H$108)-1)+$Z$15</f>
        <v>0.10101010101010101</v>
      </c>
      <c r="AA16">
        <f>SMALL(SimData1!$I$9:$I$108,11)</f>
        <v>282.58727338484761</v>
      </c>
      <c r="AB16">
        <f>1/(COUNT(SimData1!$I$9:$I$108)-1)+$AB$15</f>
        <v>0.10101010101010101</v>
      </c>
    </row>
    <row r="17" spans="1:28">
      <c r="A17">
        <v>9</v>
      </c>
      <c r="B17">
        <v>350.5090434053489</v>
      </c>
      <c r="C17">
        <v>350.5090434053489</v>
      </c>
      <c r="D17">
        <v>350.5090434053489</v>
      </c>
      <c r="E17">
        <v>282.58727338484761</v>
      </c>
      <c r="F17">
        <v>350.5090434053489</v>
      </c>
      <c r="G17">
        <v>350.5090434053489</v>
      </c>
      <c r="H17">
        <v>350.5090434053489</v>
      </c>
      <c r="I17">
        <v>282.58727338484761</v>
      </c>
      <c r="M17">
        <f>SMALL(SimData1!$B$9:$B$108,12)</f>
        <v>328.41564325801892</v>
      </c>
      <c r="N17">
        <f>1/(COUNT(SimData1!$B$9:$B$108)-1)+$N$16</f>
        <v>0.1111111111111111</v>
      </c>
      <c r="O17">
        <f>SMALL(SimData1!$C$9:$C$108,12)</f>
        <v>327.69669670491515</v>
      </c>
      <c r="P17">
        <f>1/(COUNT(SimData1!$C$9:$C$108)-1)+$P$16</f>
        <v>0.1111111111111111</v>
      </c>
      <c r="Q17">
        <f>SMALL(SimData1!$D$9:$D$108,12)</f>
        <v>318.10880032685088</v>
      </c>
      <c r="R17">
        <f>1/(COUNT(SimData1!$D$9:$D$108)-1)+$R$16</f>
        <v>0.1111111111111111</v>
      </c>
      <c r="S17">
        <f>SMALL(SimData1!$E$9:$E$108,12)</f>
        <v>283.66282076939103</v>
      </c>
      <c r="T17">
        <f>1/(COUNT(SimData1!$E$9:$E$108)-1)+$T$16</f>
        <v>0.1111111111111111</v>
      </c>
      <c r="U17">
        <f>SMALL(SimData1!$F$9:$F$108,12)</f>
        <v>328.41564325801892</v>
      </c>
      <c r="V17">
        <f>1/(COUNT(SimData1!$F$9:$F$108)-1)+$V$16</f>
        <v>0.1111111111111111</v>
      </c>
      <c r="W17">
        <f>SMALL(SimData1!$G$9:$G$108,12)</f>
        <v>327.69669670491515</v>
      </c>
      <c r="X17">
        <f>1/(COUNT(SimData1!$G$9:$G$108)-1)+$X$16</f>
        <v>0.1111111111111111</v>
      </c>
      <c r="Y17">
        <f>SMALL(SimData1!$H$9:$H$108,12)</f>
        <v>318.10880032685088</v>
      </c>
      <c r="Z17">
        <f>1/(COUNT(SimData1!$H$9:$H$108)-1)+$Z$16</f>
        <v>0.1111111111111111</v>
      </c>
      <c r="AA17">
        <f>SMALL(SimData1!$I$9:$I$108,12)</f>
        <v>283.66282076939103</v>
      </c>
      <c r="AB17">
        <f>1/(COUNT(SimData1!$I$9:$I$108)-1)+$AB$16</f>
        <v>0.1111111111111111</v>
      </c>
    </row>
    <row r="18" spans="1:28">
      <c r="A18">
        <v>10</v>
      </c>
      <c r="B18">
        <v>332.10741005090233</v>
      </c>
      <c r="C18">
        <v>385.03797245420066</v>
      </c>
      <c r="D18">
        <v>358.27595226792948</v>
      </c>
      <c r="E18">
        <v>309.79814621064173</v>
      </c>
      <c r="F18">
        <v>332.10741005090233</v>
      </c>
      <c r="G18">
        <v>385.03797245420066</v>
      </c>
      <c r="H18">
        <v>358.27595226792948</v>
      </c>
      <c r="I18">
        <v>309.79814621064173</v>
      </c>
      <c r="M18">
        <f>SMALL(SimData1!$B$9:$B$108,13)</f>
        <v>328.52063105407325</v>
      </c>
      <c r="N18">
        <f>1/(COUNT(SimData1!$B$9:$B$108)-1)+$N$17</f>
        <v>0.1212121212121212</v>
      </c>
      <c r="O18">
        <f>SMALL(SimData1!$C$9:$C$108,13)</f>
        <v>328.05031743883308</v>
      </c>
      <c r="P18">
        <f>1/(COUNT(SimData1!$C$9:$C$108)-1)+$P$17</f>
        <v>0.1212121212121212</v>
      </c>
      <c r="Q18">
        <f>SMALL(SimData1!$D$9:$D$108,13)</f>
        <v>319.24102980217469</v>
      </c>
      <c r="R18">
        <f>1/(COUNT(SimData1!$D$9:$D$108)-1)+$R$17</f>
        <v>0.1212121212121212</v>
      </c>
      <c r="S18">
        <f>SMALL(SimData1!$E$9:$E$108,13)</f>
        <v>288.59029111010511</v>
      </c>
      <c r="T18">
        <f>1/(COUNT(SimData1!$E$9:$E$108)-1)+$T$17</f>
        <v>0.1212121212121212</v>
      </c>
      <c r="U18">
        <f>SMALL(SimData1!$F$9:$F$108,13)</f>
        <v>328.52063105407325</v>
      </c>
      <c r="V18">
        <f>1/(COUNT(SimData1!$F$9:$F$108)-1)+$V$17</f>
        <v>0.1212121212121212</v>
      </c>
      <c r="W18">
        <f>SMALL(SimData1!$G$9:$G$108,13)</f>
        <v>328.05031743883308</v>
      </c>
      <c r="X18">
        <f>1/(COUNT(SimData1!$G$9:$G$108)-1)+$X$17</f>
        <v>0.1212121212121212</v>
      </c>
      <c r="Y18">
        <f>SMALL(SimData1!$H$9:$H$108,13)</f>
        <v>319.24102980217469</v>
      </c>
      <c r="Z18">
        <f>1/(COUNT(SimData1!$H$9:$H$108)-1)+$Z$17</f>
        <v>0.1212121212121212</v>
      </c>
      <c r="AA18">
        <f>SMALL(SimData1!$I$9:$I$108,13)</f>
        <v>288.59029111010511</v>
      </c>
      <c r="AB18">
        <f>1/(COUNT(SimData1!$I$9:$I$108)-1)+$AB$17</f>
        <v>0.1212121212121212</v>
      </c>
    </row>
    <row r="19" spans="1:28">
      <c r="A19">
        <v>11</v>
      </c>
      <c r="B19">
        <v>332.92590493781273</v>
      </c>
      <c r="C19">
        <v>336.19903790024262</v>
      </c>
      <c r="D19">
        <v>337.85600105429666</v>
      </c>
      <c r="E19">
        <v>288.59029111010511</v>
      </c>
      <c r="F19">
        <v>332.92590493781273</v>
      </c>
      <c r="G19">
        <v>336.19903790024262</v>
      </c>
      <c r="H19">
        <v>337.85600105429666</v>
      </c>
      <c r="I19">
        <v>288.59029111010511</v>
      </c>
      <c r="M19">
        <f>SMALL(SimData1!$B$9:$B$108,14)</f>
        <v>328.61458784992857</v>
      </c>
      <c r="N19">
        <f>1/(COUNT(SimData1!$B$9:$B$108)-1)+$N$18</f>
        <v>0.1313131313131313</v>
      </c>
      <c r="O19">
        <f>SMALL(SimData1!$C$9:$C$108,14)</f>
        <v>328.52063105407325</v>
      </c>
      <c r="P19">
        <f>1/(COUNT(SimData1!$C$9:$C$108)-1)+$P$18</f>
        <v>0.1313131313131313</v>
      </c>
      <c r="Q19">
        <f>SMALL(SimData1!$D$9:$D$108,14)</f>
        <v>320.25481189477586</v>
      </c>
      <c r="R19">
        <f>1/(COUNT(SimData1!$D$9:$D$108)-1)+$R$18</f>
        <v>0.1313131313131313</v>
      </c>
      <c r="S19">
        <f>SMALL(SimData1!$E$9:$E$108,14)</f>
        <v>289.95469013588735</v>
      </c>
      <c r="T19">
        <f>1/(COUNT(SimData1!$E$9:$E$108)-1)+$T$18</f>
        <v>0.1313131313131313</v>
      </c>
      <c r="U19">
        <f>SMALL(SimData1!$F$9:$F$108,14)</f>
        <v>328.61458784992857</v>
      </c>
      <c r="V19">
        <f>1/(COUNT(SimData1!$F$9:$F$108)-1)+$V$18</f>
        <v>0.1313131313131313</v>
      </c>
      <c r="W19">
        <f>SMALL(SimData1!$G$9:$G$108,14)</f>
        <v>328.52063105407325</v>
      </c>
      <c r="X19">
        <f>1/(COUNT(SimData1!$G$9:$G$108)-1)+$X$18</f>
        <v>0.1313131313131313</v>
      </c>
      <c r="Y19">
        <f>SMALL(SimData1!$H$9:$H$108,14)</f>
        <v>320.25481189477586</v>
      </c>
      <c r="Z19">
        <f>1/(COUNT(SimData1!$H$9:$H$108)-1)+$Z$18</f>
        <v>0.1313131313131313</v>
      </c>
      <c r="AA19">
        <f>SMALL(SimData1!$I$9:$I$108,14)</f>
        <v>289.95469013588735</v>
      </c>
      <c r="AB19">
        <f>1/(COUNT(SimData1!$I$9:$I$108)-1)+$AB$18</f>
        <v>0.1313131313131313</v>
      </c>
    </row>
    <row r="20" spans="1:28">
      <c r="A20">
        <v>12</v>
      </c>
      <c r="B20">
        <v>415.27832126124213</v>
      </c>
      <c r="C20">
        <v>415.27832126124213</v>
      </c>
      <c r="D20">
        <v>399.59967918716336</v>
      </c>
      <c r="E20">
        <v>399.59967918716336</v>
      </c>
      <c r="F20">
        <v>415.27832126124213</v>
      </c>
      <c r="G20">
        <v>415.27832126124213</v>
      </c>
      <c r="H20">
        <v>399.59967918716336</v>
      </c>
      <c r="I20">
        <v>399.59967918716336</v>
      </c>
      <c r="M20">
        <f>SMALL(SimData1!$B$9:$B$108,15)</f>
        <v>332.10741005090233</v>
      </c>
      <c r="N20">
        <f>1/(COUNT(SimData1!$B$9:$B$108)-1)+$N$19</f>
        <v>0.14141414141414141</v>
      </c>
      <c r="O20">
        <f>SMALL(SimData1!$C$9:$C$108,15)</f>
        <v>334.089407253118</v>
      </c>
      <c r="P20">
        <f>1/(COUNT(SimData1!$C$9:$C$108)-1)+$P$19</f>
        <v>0.14141414141414141</v>
      </c>
      <c r="Q20">
        <f>SMALL(SimData1!$D$9:$D$108,15)</f>
        <v>322.6827452214132</v>
      </c>
      <c r="R20">
        <f>1/(COUNT(SimData1!$D$9:$D$108)-1)+$R$19</f>
        <v>0.14141414141414141</v>
      </c>
      <c r="S20">
        <f>SMALL(SimData1!$E$9:$E$108,15)</f>
        <v>290.04715862208656</v>
      </c>
      <c r="T20">
        <f>1/(COUNT(SimData1!$E$9:$E$108)-1)+$T$19</f>
        <v>0.14141414141414141</v>
      </c>
      <c r="U20">
        <f>SMALL(SimData1!$F$9:$F$108,15)</f>
        <v>332.10741005090233</v>
      </c>
      <c r="V20">
        <f>1/(COUNT(SimData1!$F$9:$F$108)-1)+$V$19</f>
        <v>0.14141414141414141</v>
      </c>
      <c r="W20">
        <f>SMALL(SimData1!$G$9:$G$108,15)</f>
        <v>334.089407253118</v>
      </c>
      <c r="X20">
        <f>1/(COUNT(SimData1!$G$9:$G$108)-1)+$X$19</f>
        <v>0.14141414141414141</v>
      </c>
      <c r="Y20">
        <f>SMALL(SimData1!$H$9:$H$108,15)</f>
        <v>322.6827452214132</v>
      </c>
      <c r="Z20">
        <f>1/(COUNT(SimData1!$H$9:$H$108)-1)+$Z$19</f>
        <v>0.14141414141414141</v>
      </c>
      <c r="AA20">
        <f>SMALL(SimData1!$I$9:$I$108,15)</f>
        <v>290.04715862208656</v>
      </c>
      <c r="AB20">
        <f>1/(COUNT(SimData1!$I$9:$I$108)-1)+$AB$19</f>
        <v>0.14141414141414141</v>
      </c>
    </row>
    <row r="21" spans="1:28">
      <c r="A21">
        <v>13</v>
      </c>
      <c r="B21">
        <v>347.6975031247033</v>
      </c>
      <c r="C21">
        <v>436.59196829269041</v>
      </c>
      <c r="D21">
        <v>373.20680725928003</v>
      </c>
      <c r="E21">
        <v>373.20680725928003</v>
      </c>
      <c r="F21">
        <v>347.6975031247033</v>
      </c>
      <c r="G21">
        <v>436.59196829269041</v>
      </c>
      <c r="H21">
        <v>373.20680725928003</v>
      </c>
      <c r="I21">
        <v>373.20680725928003</v>
      </c>
      <c r="M21">
        <f>SMALL(SimData1!$B$9:$B$108,16)</f>
        <v>332.92590493781273</v>
      </c>
      <c r="N21">
        <f>1/(COUNT(SimData1!$B$9:$B$108)-1)+$N$20</f>
        <v>0.15151515151515152</v>
      </c>
      <c r="O21">
        <f>SMALL(SimData1!$C$9:$C$108,16)</f>
        <v>334.38525907281127</v>
      </c>
      <c r="P21">
        <f>1/(COUNT(SimData1!$C$9:$C$108)-1)+$P$20</f>
        <v>0.15151515151515152</v>
      </c>
      <c r="Q21">
        <f>SMALL(SimData1!$D$9:$D$108,16)</f>
        <v>324.36284945016433</v>
      </c>
      <c r="R21">
        <f>1/(COUNT(SimData1!$D$9:$D$108)-1)+$R$20</f>
        <v>0.15151515151515152</v>
      </c>
      <c r="S21">
        <f>SMALL(SimData1!$E$9:$E$108,16)</f>
        <v>292.50331864597871</v>
      </c>
      <c r="T21">
        <f>1/(COUNT(SimData1!$E$9:$E$108)-1)+$T$20</f>
        <v>0.15151515151515152</v>
      </c>
      <c r="U21">
        <f>SMALL(SimData1!$F$9:$F$108,16)</f>
        <v>332.92590493781273</v>
      </c>
      <c r="V21">
        <f>1/(COUNT(SimData1!$F$9:$F$108)-1)+$V$20</f>
        <v>0.15151515151515152</v>
      </c>
      <c r="W21">
        <f>SMALL(SimData1!$G$9:$G$108,16)</f>
        <v>334.38525907281127</v>
      </c>
      <c r="X21">
        <f>1/(COUNT(SimData1!$G$9:$G$108)-1)+$X$20</f>
        <v>0.15151515151515152</v>
      </c>
      <c r="Y21">
        <f>SMALL(SimData1!$H$9:$H$108,16)</f>
        <v>324.36284945016433</v>
      </c>
      <c r="Z21">
        <f>1/(COUNT(SimData1!$H$9:$H$108)-1)+$Z$20</f>
        <v>0.15151515151515152</v>
      </c>
      <c r="AA21">
        <f>SMALL(SimData1!$I$9:$I$108,16)</f>
        <v>292.50331864597871</v>
      </c>
      <c r="AB21">
        <f>1/(COUNT(SimData1!$I$9:$I$108)-1)+$AB$20</f>
        <v>0.15151515151515152</v>
      </c>
    </row>
    <row r="22" spans="1:28">
      <c r="A22">
        <v>14</v>
      </c>
      <c r="B22">
        <v>347.16053830530336</v>
      </c>
      <c r="C22">
        <v>347.16053830530336</v>
      </c>
      <c r="D22">
        <v>335.57474436778176</v>
      </c>
      <c r="E22">
        <v>289.95469013588735</v>
      </c>
      <c r="F22">
        <v>347.16053830530336</v>
      </c>
      <c r="G22">
        <v>347.16053830530336</v>
      </c>
      <c r="H22">
        <v>335.57474436778176</v>
      </c>
      <c r="I22">
        <v>289.95469013588735</v>
      </c>
      <c r="M22">
        <f>SMALL(SimData1!$B$9:$B$108,17)</f>
        <v>334.38525907281127</v>
      </c>
      <c r="N22">
        <f>1/(COUNT(SimData1!$B$9:$B$108)-1)+$N$21</f>
        <v>0.16161616161616163</v>
      </c>
      <c r="O22">
        <f>SMALL(SimData1!$C$9:$C$108,17)</f>
        <v>336.19903790024262</v>
      </c>
      <c r="P22">
        <f>1/(COUNT(SimData1!$C$9:$C$108)-1)+$P$21</f>
        <v>0.16161616161616163</v>
      </c>
      <c r="Q22">
        <f>SMALL(SimData1!$D$9:$D$108,17)</f>
        <v>325.33706416977839</v>
      </c>
      <c r="R22">
        <f>1/(COUNT(SimData1!$D$9:$D$108)-1)+$R$21</f>
        <v>0.16161616161616163</v>
      </c>
      <c r="S22">
        <f>SMALL(SimData1!$E$9:$E$108,17)</f>
        <v>292.86299785303834</v>
      </c>
      <c r="T22">
        <f>1/(COUNT(SimData1!$E$9:$E$108)-1)+$T$21</f>
        <v>0.16161616161616163</v>
      </c>
      <c r="U22">
        <f>SMALL(SimData1!$F$9:$F$108,17)</f>
        <v>334.38525907281127</v>
      </c>
      <c r="V22">
        <f>1/(COUNT(SimData1!$F$9:$F$108)-1)+$V$21</f>
        <v>0.16161616161616163</v>
      </c>
      <c r="W22">
        <f>SMALL(SimData1!$G$9:$G$108,17)</f>
        <v>336.19903790024262</v>
      </c>
      <c r="X22">
        <f>1/(COUNT(SimData1!$G$9:$G$108)-1)+$X$21</f>
        <v>0.16161616161616163</v>
      </c>
      <c r="Y22">
        <f>SMALL(SimData1!$H$9:$H$108,17)</f>
        <v>325.33706416977839</v>
      </c>
      <c r="Z22">
        <f>1/(COUNT(SimData1!$H$9:$H$108)-1)+$Z$21</f>
        <v>0.16161616161616163</v>
      </c>
      <c r="AA22">
        <f>SMALL(SimData1!$I$9:$I$108,17)</f>
        <v>292.86299785303834</v>
      </c>
      <c r="AB22">
        <f>1/(COUNT(SimData1!$I$9:$I$108)-1)+$AB$21</f>
        <v>0.16161616161616163</v>
      </c>
    </row>
    <row r="23" spans="1:28">
      <c r="A23">
        <v>15</v>
      </c>
      <c r="B23">
        <v>355.43644145527674</v>
      </c>
      <c r="C23">
        <v>355.43644145527674</v>
      </c>
      <c r="D23">
        <v>331.01257337254088</v>
      </c>
      <c r="E23">
        <v>307.16087074958551</v>
      </c>
      <c r="F23">
        <v>355.43644145527674</v>
      </c>
      <c r="G23">
        <v>355.43644145527674</v>
      </c>
      <c r="H23">
        <v>331.01257337254088</v>
      </c>
      <c r="I23">
        <v>307.16087074958551</v>
      </c>
      <c r="M23">
        <f>SMALL(SimData1!$B$9:$B$108,18)</f>
        <v>335.32493749016447</v>
      </c>
      <c r="N23">
        <f>1/(COUNT(SimData1!$B$9:$B$108)-1)+$N$22</f>
        <v>0.17171717171717174</v>
      </c>
      <c r="O23">
        <f>SMALL(SimData1!$C$9:$C$108,18)</f>
        <v>336.79514153736625</v>
      </c>
      <c r="P23">
        <f>1/(COUNT(SimData1!$C$9:$C$108)-1)+$P$22</f>
        <v>0.17171717171717174</v>
      </c>
      <c r="Q23">
        <f>SMALL(SimData1!$D$9:$D$108,18)</f>
        <v>326.39878004857621</v>
      </c>
      <c r="R23">
        <f>1/(COUNT(SimData1!$D$9:$D$108)-1)+$R$22</f>
        <v>0.17171717171717174</v>
      </c>
      <c r="S23">
        <f>SMALL(SimData1!$E$9:$E$108,18)</f>
        <v>294.2909922486769</v>
      </c>
      <c r="T23">
        <f>1/(COUNT(SimData1!$E$9:$E$108)-1)+$T$22</f>
        <v>0.17171717171717174</v>
      </c>
      <c r="U23">
        <f>SMALL(SimData1!$F$9:$F$108,18)</f>
        <v>335.32493749016447</v>
      </c>
      <c r="V23">
        <f>1/(COUNT(SimData1!$F$9:$F$108)-1)+$V$22</f>
        <v>0.17171717171717174</v>
      </c>
      <c r="W23">
        <f>SMALL(SimData1!$G$9:$G$108,18)</f>
        <v>336.79514153736625</v>
      </c>
      <c r="X23">
        <f>1/(COUNT(SimData1!$G$9:$G$108)-1)+$X$22</f>
        <v>0.17171717171717174</v>
      </c>
      <c r="Y23">
        <f>SMALL(SimData1!$H$9:$H$108,18)</f>
        <v>326.39878004857621</v>
      </c>
      <c r="Z23">
        <f>1/(COUNT(SimData1!$H$9:$H$108)-1)+$Z$22</f>
        <v>0.17171717171717174</v>
      </c>
      <c r="AA23">
        <f>SMALL(SimData1!$I$9:$I$108,18)</f>
        <v>294.2909922486769</v>
      </c>
      <c r="AB23">
        <f>1/(COUNT(SimData1!$I$9:$I$108)-1)+$AB$22</f>
        <v>0.17171717171717174</v>
      </c>
    </row>
    <row r="24" spans="1:28">
      <c r="A24">
        <v>16</v>
      </c>
      <c r="B24">
        <v>338.30456467903298</v>
      </c>
      <c r="C24">
        <v>338.30456467903298</v>
      </c>
      <c r="D24">
        <v>381.80320126653726</v>
      </c>
      <c r="E24">
        <v>381.80320126653726</v>
      </c>
      <c r="F24">
        <v>338.30456467903298</v>
      </c>
      <c r="G24">
        <v>338.30456467903298</v>
      </c>
      <c r="H24">
        <v>381.80320126653726</v>
      </c>
      <c r="I24">
        <v>381.80320126653726</v>
      </c>
      <c r="M24">
        <f>SMALL(SimData1!$B$9:$B$108,19)</f>
        <v>336.79514153736625</v>
      </c>
      <c r="N24">
        <f>1/(COUNT(SimData1!$B$9:$B$108)-1)+$N$23</f>
        <v>0.18181818181818185</v>
      </c>
      <c r="O24">
        <f>SMALL(SimData1!$C$9:$C$108,19)</f>
        <v>338.30456467903298</v>
      </c>
      <c r="P24">
        <f>1/(COUNT(SimData1!$C$9:$C$108)-1)+$P$23</f>
        <v>0.18181818181818185</v>
      </c>
      <c r="Q24">
        <f>SMALL(SimData1!$D$9:$D$108,19)</f>
        <v>327.69669670491515</v>
      </c>
      <c r="R24">
        <f>1/(COUNT(SimData1!$D$9:$D$108)-1)+$R$23</f>
        <v>0.18181818181818185</v>
      </c>
      <c r="S24">
        <f>SMALL(SimData1!$E$9:$E$108,19)</f>
        <v>301.16695384756616</v>
      </c>
      <c r="T24">
        <f>1/(COUNT(SimData1!$E$9:$E$108)-1)+$T$23</f>
        <v>0.18181818181818185</v>
      </c>
      <c r="U24">
        <f>SMALL(SimData1!$F$9:$F$108,19)</f>
        <v>336.79514153736625</v>
      </c>
      <c r="V24">
        <f>1/(COUNT(SimData1!$F$9:$F$108)-1)+$V$23</f>
        <v>0.18181818181818185</v>
      </c>
      <c r="W24">
        <f>SMALL(SimData1!$G$9:$G$108,19)</f>
        <v>338.30456467903298</v>
      </c>
      <c r="X24">
        <f>1/(COUNT(SimData1!$G$9:$G$108)-1)+$X$23</f>
        <v>0.18181818181818185</v>
      </c>
      <c r="Y24">
        <f>SMALL(SimData1!$H$9:$H$108,19)</f>
        <v>327.69669670491515</v>
      </c>
      <c r="Z24">
        <f>1/(COUNT(SimData1!$H$9:$H$108)-1)+$Z$23</f>
        <v>0.18181818181818185</v>
      </c>
      <c r="AA24">
        <f>SMALL(SimData1!$I$9:$I$108,19)</f>
        <v>301.16695384756616</v>
      </c>
      <c r="AB24">
        <f>1/(COUNT(SimData1!$I$9:$I$108)-1)+$AB$23</f>
        <v>0.18181818181818185</v>
      </c>
    </row>
    <row r="25" spans="1:28">
      <c r="A25">
        <v>17</v>
      </c>
      <c r="B25">
        <v>261.51305841655005</v>
      </c>
      <c r="C25">
        <v>295.25604360099061</v>
      </c>
      <c r="D25">
        <v>295.25604360099061</v>
      </c>
      <c r="E25">
        <v>265.66410994114824</v>
      </c>
      <c r="F25">
        <v>261.51305841655005</v>
      </c>
      <c r="G25">
        <v>295.25604360099061</v>
      </c>
      <c r="H25">
        <v>295.25604360099061</v>
      </c>
      <c r="I25">
        <v>265.66410994114824</v>
      </c>
      <c r="M25">
        <f>SMALL(SimData1!$B$9:$B$108,20)</f>
        <v>337.59196850300583</v>
      </c>
      <c r="N25">
        <f>1/(COUNT(SimData1!$B$9:$B$108)-1)+$N$24</f>
        <v>0.19191919191919196</v>
      </c>
      <c r="O25">
        <f>SMALL(SimData1!$C$9:$C$108,20)</f>
        <v>338.43103516043618</v>
      </c>
      <c r="P25">
        <f>1/(COUNT(SimData1!$C$9:$C$108)-1)+$P$24</f>
        <v>0.19191919191919196</v>
      </c>
      <c r="Q25">
        <f>SMALL(SimData1!$D$9:$D$108,20)</f>
        <v>329.47405381123224</v>
      </c>
      <c r="R25">
        <f>1/(COUNT(SimData1!$D$9:$D$108)-1)+$R$24</f>
        <v>0.19191919191919196</v>
      </c>
      <c r="S25">
        <f>SMALL(SimData1!$E$9:$E$108,20)</f>
        <v>303.94209145709368</v>
      </c>
      <c r="T25">
        <f>1/(COUNT(SimData1!$E$9:$E$108)-1)+$T$24</f>
        <v>0.19191919191919196</v>
      </c>
      <c r="U25">
        <f>SMALL(SimData1!$F$9:$F$108,20)</f>
        <v>337.59196850300583</v>
      </c>
      <c r="V25">
        <f>1/(COUNT(SimData1!$F$9:$F$108)-1)+$V$24</f>
        <v>0.19191919191919196</v>
      </c>
      <c r="W25">
        <f>SMALL(SimData1!$G$9:$G$108,20)</f>
        <v>338.43103516043618</v>
      </c>
      <c r="X25">
        <f>1/(COUNT(SimData1!$G$9:$G$108)-1)+$X$24</f>
        <v>0.19191919191919196</v>
      </c>
      <c r="Y25">
        <f>SMALL(SimData1!$H$9:$H$108,20)</f>
        <v>329.47405381123224</v>
      </c>
      <c r="Z25">
        <f>1/(COUNT(SimData1!$H$9:$H$108)-1)+$Z$24</f>
        <v>0.19191919191919196</v>
      </c>
      <c r="AA25">
        <f>SMALL(SimData1!$I$9:$I$108,20)</f>
        <v>303.94209145709368</v>
      </c>
      <c r="AB25">
        <f>1/(COUNT(SimData1!$I$9:$I$108)-1)+$AB$24</f>
        <v>0.19191919191919196</v>
      </c>
    </row>
    <row r="26" spans="1:28">
      <c r="A26">
        <v>18</v>
      </c>
      <c r="B26">
        <v>328.31993660258712</v>
      </c>
      <c r="C26">
        <v>445.87054028492867</v>
      </c>
      <c r="D26">
        <v>383.30117558217978</v>
      </c>
      <c r="E26">
        <v>383.30117558217978</v>
      </c>
      <c r="F26">
        <v>328.31993660258712</v>
      </c>
      <c r="G26">
        <v>445.87054028492867</v>
      </c>
      <c r="H26">
        <v>383.30117558217978</v>
      </c>
      <c r="I26">
        <v>383.30117558217978</v>
      </c>
      <c r="M26">
        <f>SMALL(SimData1!$B$9:$B$108,21)</f>
        <v>338.30456467903298</v>
      </c>
      <c r="N26">
        <f>1/(COUNT(SimData1!$B$9:$B$108)-1)+$N$25</f>
        <v>0.20202020202020207</v>
      </c>
      <c r="O26">
        <f>SMALL(SimData1!$C$9:$C$108,21)</f>
        <v>339.31947860219771</v>
      </c>
      <c r="P26">
        <f>1/(COUNT(SimData1!$C$9:$C$108)-1)+$P$25</f>
        <v>0.20202020202020207</v>
      </c>
      <c r="Q26">
        <f>SMALL(SimData1!$D$9:$D$108,21)</f>
        <v>331.01257337254088</v>
      </c>
      <c r="R26">
        <f>1/(COUNT(SimData1!$D$9:$D$108)-1)+$R$25</f>
        <v>0.20202020202020207</v>
      </c>
      <c r="S26">
        <f>SMALL(SimData1!$E$9:$E$108,21)</f>
        <v>303.96283637328304</v>
      </c>
      <c r="T26">
        <f>1/(COUNT(SimData1!$E$9:$E$108)-1)+$T$25</f>
        <v>0.20202020202020207</v>
      </c>
      <c r="U26">
        <f>SMALL(SimData1!$F$9:$F$108,21)</f>
        <v>338.30456467903298</v>
      </c>
      <c r="V26">
        <f>1/(COUNT(SimData1!$F$9:$F$108)-1)+$V$25</f>
        <v>0.20202020202020207</v>
      </c>
      <c r="W26">
        <f>SMALL(SimData1!$G$9:$G$108,21)</f>
        <v>339.31947860219771</v>
      </c>
      <c r="X26">
        <f>1/(COUNT(SimData1!$G$9:$G$108)-1)+$X$25</f>
        <v>0.20202020202020207</v>
      </c>
      <c r="Y26">
        <f>SMALL(SimData1!$H$9:$H$108,21)</f>
        <v>331.01257337254088</v>
      </c>
      <c r="Z26">
        <f>1/(COUNT(SimData1!$H$9:$H$108)-1)+$Z$25</f>
        <v>0.20202020202020207</v>
      </c>
      <c r="AA26">
        <f>SMALL(SimData1!$I$9:$I$108,21)</f>
        <v>303.96283637328304</v>
      </c>
      <c r="AB26">
        <f>1/(COUNT(SimData1!$I$9:$I$108)-1)+$AB$25</f>
        <v>0.20202020202020207</v>
      </c>
    </row>
    <row r="27" spans="1:28">
      <c r="A27">
        <v>19</v>
      </c>
      <c r="B27">
        <v>354.15777811820243</v>
      </c>
      <c r="C27">
        <v>377.15204098903735</v>
      </c>
      <c r="D27">
        <v>322.6827452214132</v>
      </c>
      <c r="E27">
        <v>322.6827452214132</v>
      </c>
      <c r="F27">
        <v>354.15777811820243</v>
      </c>
      <c r="G27">
        <v>377.15204098903735</v>
      </c>
      <c r="H27">
        <v>322.6827452214132</v>
      </c>
      <c r="I27">
        <v>322.6827452214132</v>
      </c>
      <c r="M27">
        <f>SMALL(SimData1!$B$9:$B$108,22)</f>
        <v>338.43103516043618</v>
      </c>
      <c r="N27">
        <f>1/(COUNT(SimData1!$B$9:$B$108)-1)+$N$26</f>
        <v>0.21212121212121218</v>
      </c>
      <c r="O27">
        <f>SMALL(SimData1!$C$9:$C$108,22)</f>
        <v>340.07626019153889</v>
      </c>
      <c r="P27">
        <f>1/(COUNT(SimData1!$C$9:$C$108)-1)+$P$26</f>
        <v>0.21212121212121218</v>
      </c>
      <c r="Q27">
        <f>SMALL(SimData1!$D$9:$D$108,22)</f>
        <v>335.57474436778176</v>
      </c>
      <c r="R27">
        <f>1/(COUNT(SimData1!$D$9:$D$108)-1)+$R$26</f>
        <v>0.21212121212121218</v>
      </c>
      <c r="S27">
        <f>SMALL(SimData1!$E$9:$E$108,22)</f>
        <v>305.9863461695856</v>
      </c>
      <c r="T27">
        <f>1/(COUNT(SimData1!$E$9:$E$108)-1)+$T$26</f>
        <v>0.21212121212121218</v>
      </c>
      <c r="U27">
        <f>SMALL(SimData1!$F$9:$F$108,22)</f>
        <v>338.43103516043618</v>
      </c>
      <c r="V27">
        <f>1/(COUNT(SimData1!$F$9:$F$108)-1)+$V$26</f>
        <v>0.21212121212121218</v>
      </c>
      <c r="W27">
        <f>SMALL(SimData1!$G$9:$G$108,22)</f>
        <v>340.07626019153889</v>
      </c>
      <c r="X27">
        <f>1/(COUNT(SimData1!$G$9:$G$108)-1)+$X$26</f>
        <v>0.21212121212121218</v>
      </c>
      <c r="Y27">
        <f>SMALL(SimData1!$H$9:$H$108,22)</f>
        <v>335.57474436778176</v>
      </c>
      <c r="Z27">
        <f>1/(COUNT(SimData1!$H$9:$H$108)-1)+$Z$26</f>
        <v>0.21212121212121218</v>
      </c>
      <c r="AA27">
        <f>SMALL(SimData1!$I$9:$I$108,22)</f>
        <v>305.9863461695856</v>
      </c>
      <c r="AB27">
        <f>1/(COUNT(SimData1!$I$9:$I$108)-1)+$AB$26</f>
        <v>0.21212121212121218</v>
      </c>
    </row>
    <row r="28" spans="1:28">
      <c r="A28">
        <v>20</v>
      </c>
      <c r="B28">
        <v>354.30276324800445</v>
      </c>
      <c r="C28">
        <v>426.08982255748896</v>
      </c>
      <c r="D28">
        <v>361.41358938254803</v>
      </c>
      <c r="E28">
        <v>327.94038672182165</v>
      </c>
      <c r="F28">
        <v>354.30276324800445</v>
      </c>
      <c r="G28">
        <v>426.08982255748896</v>
      </c>
      <c r="H28">
        <v>361.41358938254803</v>
      </c>
      <c r="I28">
        <v>327.94038672182165</v>
      </c>
      <c r="M28">
        <f>SMALL(SimData1!$B$9:$B$108,23)</f>
        <v>338.61680817748771</v>
      </c>
      <c r="N28">
        <f>1/(COUNT(SimData1!$B$9:$B$108)-1)+$N$27</f>
        <v>0.22222222222222229</v>
      </c>
      <c r="O28">
        <f>SMALL(SimData1!$C$9:$C$108,23)</f>
        <v>340.89834910938742</v>
      </c>
      <c r="P28">
        <f>1/(COUNT(SimData1!$C$9:$C$108)-1)+$P$27</f>
        <v>0.22222222222222229</v>
      </c>
      <c r="Q28">
        <f>SMALL(SimData1!$D$9:$D$108,23)</f>
        <v>337.60175999280739</v>
      </c>
      <c r="R28">
        <f>1/(COUNT(SimData1!$D$9:$D$108)-1)+$R$27</f>
        <v>0.22222222222222229</v>
      </c>
      <c r="S28">
        <f>SMALL(SimData1!$E$9:$E$108,23)</f>
        <v>307.16087074958551</v>
      </c>
      <c r="T28">
        <f>1/(COUNT(SimData1!$E$9:$E$108)-1)+$T$27</f>
        <v>0.22222222222222229</v>
      </c>
      <c r="U28">
        <f>SMALL(SimData1!$F$9:$F$108,23)</f>
        <v>338.61680817748771</v>
      </c>
      <c r="V28">
        <f>1/(COUNT(SimData1!$F$9:$F$108)-1)+$V$27</f>
        <v>0.22222222222222229</v>
      </c>
      <c r="W28">
        <f>SMALL(SimData1!$G$9:$G$108,23)</f>
        <v>340.89834910938742</v>
      </c>
      <c r="X28">
        <f>1/(COUNT(SimData1!$G$9:$G$108)-1)+$X$27</f>
        <v>0.22222222222222229</v>
      </c>
      <c r="Y28">
        <f>SMALL(SimData1!$H$9:$H$108,23)</f>
        <v>337.60175999280739</v>
      </c>
      <c r="Z28">
        <f>1/(COUNT(SimData1!$H$9:$H$108)-1)+$Z$27</f>
        <v>0.22222222222222229</v>
      </c>
      <c r="AA28">
        <f>SMALL(SimData1!$I$9:$I$108,23)</f>
        <v>307.16087074958551</v>
      </c>
      <c r="AB28">
        <f>1/(COUNT(SimData1!$I$9:$I$108)-1)+$AB$27</f>
        <v>0.22222222222222229</v>
      </c>
    </row>
    <row r="29" spans="1:28">
      <c r="A29">
        <v>21</v>
      </c>
      <c r="B29">
        <v>328.52063105407325</v>
      </c>
      <c r="C29">
        <v>328.52063105407325</v>
      </c>
      <c r="D29">
        <v>313.01107060149968</v>
      </c>
      <c r="E29">
        <v>283.66282076939103</v>
      </c>
      <c r="F29">
        <v>328.52063105407325</v>
      </c>
      <c r="G29">
        <v>328.52063105407325</v>
      </c>
      <c r="H29">
        <v>313.01107060149968</v>
      </c>
      <c r="I29">
        <v>283.66282076939103</v>
      </c>
      <c r="M29">
        <f>SMALL(SimData1!$B$9:$B$108,24)</f>
        <v>338.72977057487196</v>
      </c>
      <c r="N29">
        <f>1/(COUNT(SimData1!$B$9:$B$108)-1)+$N$28</f>
        <v>0.2323232323232324</v>
      </c>
      <c r="O29">
        <f>SMALL(SimData1!$C$9:$C$108,24)</f>
        <v>341.22891024883398</v>
      </c>
      <c r="P29">
        <f>1/(COUNT(SimData1!$C$9:$C$108)-1)+$P$28</f>
        <v>0.2323232323232324</v>
      </c>
      <c r="Q29">
        <f>SMALL(SimData1!$D$9:$D$108,24)</f>
        <v>337.85600105429666</v>
      </c>
      <c r="R29">
        <f>1/(COUNT(SimData1!$D$9:$D$108)-1)+$R$28</f>
        <v>0.2323232323232324</v>
      </c>
      <c r="S29">
        <f>SMALL(SimData1!$E$9:$E$108,24)</f>
        <v>308.85747849079428</v>
      </c>
      <c r="T29">
        <f>1/(COUNT(SimData1!$E$9:$E$108)-1)+$T$28</f>
        <v>0.2323232323232324</v>
      </c>
      <c r="U29">
        <f>SMALL(SimData1!$F$9:$F$108,24)</f>
        <v>338.72977057487196</v>
      </c>
      <c r="V29">
        <f>1/(COUNT(SimData1!$F$9:$F$108)-1)+$V$28</f>
        <v>0.2323232323232324</v>
      </c>
      <c r="W29">
        <f>SMALL(SimData1!$G$9:$G$108,24)</f>
        <v>341.22891024883398</v>
      </c>
      <c r="X29">
        <f>1/(COUNT(SimData1!$G$9:$G$108)-1)+$X$28</f>
        <v>0.2323232323232324</v>
      </c>
      <c r="Y29">
        <f>SMALL(SimData1!$H$9:$H$108,24)</f>
        <v>337.85600105429666</v>
      </c>
      <c r="Z29">
        <f>1/(COUNT(SimData1!$H$9:$H$108)-1)+$Z$28</f>
        <v>0.2323232323232324</v>
      </c>
      <c r="AA29">
        <f>SMALL(SimData1!$I$9:$I$108,24)</f>
        <v>308.85747849079428</v>
      </c>
      <c r="AB29">
        <f>1/(COUNT(SimData1!$I$9:$I$108)-1)+$AB$28</f>
        <v>0.2323232323232324</v>
      </c>
    </row>
    <row r="30" spans="1:28">
      <c r="A30">
        <v>22</v>
      </c>
      <c r="B30">
        <v>359.54505071773542</v>
      </c>
      <c r="C30">
        <v>359.54505071773542</v>
      </c>
      <c r="D30">
        <v>339.71030331459144</v>
      </c>
      <c r="E30">
        <v>339.71030331459144</v>
      </c>
      <c r="F30">
        <v>359.54505071773542</v>
      </c>
      <c r="G30">
        <v>359.54505071773542</v>
      </c>
      <c r="H30">
        <v>339.71030331459144</v>
      </c>
      <c r="I30">
        <v>339.71030331459144</v>
      </c>
      <c r="M30">
        <f>SMALL(SimData1!$B$9:$B$108,25)</f>
        <v>339.31947860219771</v>
      </c>
      <c r="N30">
        <f>1/(COUNT(SimData1!$B$9:$B$108)-1)+$N$29</f>
        <v>0.24242424242424251</v>
      </c>
      <c r="O30">
        <f>SMALL(SimData1!$C$9:$C$108,25)</f>
        <v>341.2739699796216</v>
      </c>
      <c r="P30">
        <f>1/(COUNT(SimData1!$C$9:$C$108)-1)+$P$29</f>
        <v>0.24242424242424251</v>
      </c>
      <c r="Q30">
        <f>SMALL(SimData1!$D$9:$D$108,25)</f>
        <v>339.13424096410716</v>
      </c>
      <c r="R30">
        <f>1/(COUNT(SimData1!$D$9:$D$108)-1)+$R$29</f>
        <v>0.24242424242424251</v>
      </c>
      <c r="S30">
        <f>SMALL(SimData1!$E$9:$E$108,25)</f>
        <v>309.08629833342542</v>
      </c>
      <c r="T30">
        <f>1/(COUNT(SimData1!$E$9:$E$108)-1)+$T$29</f>
        <v>0.24242424242424251</v>
      </c>
      <c r="U30">
        <f>SMALL(SimData1!$F$9:$F$108,25)</f>
        <v>339.31947860219771</v>
      </c>
      <c r="V30">
        <f>1/(COUNT(SimData1!$F$9:$F$108)-1)+$V$29</f>
        <v>0.24242424242424251</v>
      </c>
      <c r="W30">
        <f>SMALL(SimData1!$G$9:$G$108,25)</f>
        <v>341.2739699796216</v>
      </c>
      <c r="X30">
        <f>1/(COUNT(SimData1!$G$9:$G$108)-1)+$X$29</f>
        <v>0.24242424242424251</v>
      </c>
      <c r="Y30">
        <f>SMALL(SimData1!$H$9:$H$108,25)</f>
        <v>339.13424096410716</v>
      </c>
      <c r="Z30">
        <f>1/(COUNT(SimData1!$H$9:$H$108)-1)+$Z$29</f>
        <v>0.24242424242424251</v>
      </c>
      <c r="AA30">
        <f>SMALL(SimData1!$I$9:$I$108,25)</f>
        <v>309.08629833342542</v>
      </c>
      <c r="AB30">
        <f>1/(COUNT(SimData1!$I$9:$I$108)-1)+$AB$29</f>
        <v>0.24242424242424251</v>
      </c>
    </row>
    <row r="31" spans="1:28">
      <c r="A31">
        <v>23</v>
      </c>
      <c r="B31">
        <v>319.79424304216991</v>
      </c>
      <c r="C31">
        <v>277.06983265950225</v>
      </c>
      <c r="D31">
        <v>325.33706416977839</v>
      </c>
      <c r="E31">
        <v>310.68713732584052</v>
      </c>
      <c r="F31">
        <v>319.79424304216991</v>
      </c>
      <c r="G31">
        <v>277.06983265950225</v>
      </c>
      <c r="H31">
        <v>325.33706416977839</v>
      </c>
      <c r="I31">
        <v>310.68713732584052</v>
      </c>
      <c r="M31">
        <f>SMALL(SimData1!$B$9:$B$108,26)</f>
        <v>340.07626019153889</v>
      </c>
      <c r="N31">
        <f>1/(COUNT(SimData1!$B$9:$B$108)-1)+$N$30</f>
        <v>0.2525252525252526</v>
      </c>
      <c r="O31">
        <f>SMALL(SimData1!$C$9:$C$108,26)</f>
        <v>341.68070313644233</v>
      </c>
      <c r="P31">
        <f>1/(COUNT(SimData1!$C$9:$C$108)-1)+$P$30</f>
        <v>0.2525252525252526</v>
      </c>
      <c r="Q31">
        <f>SMALL(SimData1!$D$9:$D$108,26)</f>
        <v>339.71030331459144</v>
      </c>
      <c r="R31">
        <f>1/(COUNT(SimData1!$D$9:$D$108)-1)+$R$30</f>
        <v>0.2525252525252526</v>
      </c>
      <c r="S31">
        <f>SMALL(SimData1!$E$9:$E$108,26)</f>
        <v>309.79814621064173</v>
      </c>
      <c r="T31">
        <f>1/(COUNT(SimData1!$E$9:$E$108)-1)+$T$30</f>
        <v>0.2525252525252526</v>
      </c>
      <c r="U31">
        <f>SMALL(SimData1!$F$9:$F$108,26)</f>
        <v>340.07626019153889</v>
      </c>
      <c r="V31">
        <f>1/(COUNT(SimData1!$F$9:$F$108)-1)+$V$30</f>
        <v>0.2525252525252526</v>
      </c>
      <c r="W31">
        <f>SMALL(SimData1!$G$9:$G$108,26)</f>
        <v>341.68070313644233</v>
      </c>
      <c r="X31">
        <f>1/(COUNT(SimData1!$G$9:$G$108)-1)+$X$30</f>
        <v>0.2525252525252526</v>
      </c>
      <c r="Y31">
        <f>SMALL(SimData1!$H$9:$H$108,26)</f>
        <v>339.71030331459144</v>
      </c>
      <c r="Z31">
        <f>1/(COUNT(SimData1!$H$9:$H$108)-1)+$Z$30</f>
        <v>0.2525252525252526</v>
      </c>
      <c r="AA31">
        <f>SMALL(SimData1!$I$9:$I$108,26)</f>
        <v>309.79814621064173</v>
      </c>
      <c r="AB31">
        <f>1/(COUNT(SimData1!$I$9:$I$108)-1)+$AB$30</f>
        <v>0.2525252525252526</v>
      </c>
    </row>
    <row r="32" spans="1:28">
      <c r="A32">
        <v>24</v>
      </c>
      <c r="B32">
        <v>355.62567518497423</v>
      </c>
      <c r="C32">
        <v>355.62567518497423</v>
      </c>
      <c r="D32">
        <v>402.94734766100254</v>
      </c>
      <c r="E32">
        <v>322.80423003574475</v>
      </c>
      <c r="F32">
        <v>355.62567518497423</v>
      </c>
      <c r="G32">
        <v>355.62567518497423</v>
      </c>
      <c r="H32">
        <v>402.94734766100254</v>
      </c>
      <c r="I32">
        <v>322.80423003574475</v>
      </c>
      <c r="M32">
        <f>SMALL(SimData1!$B$9:$B$108,27)</f>
        <v>340.07737461578233</v>
      </c>
      <c r="N32">
        <f>1/(COUNT(SimData1!$B$9:$B$108)-1)+$N$31</f>
        <v>0.26262626262626271</v>
      </c>
      <c r="O32">
        <f>SMALL(SimData1!$C$9:$C$108,27)</f>
        <v>343.17932183626982</v>
      </c>
      <c r="P32">
        <f>1/(COUNT(SimData1!$C$9:$C$108)-1)+$P$31</f>
        <v>0.26262626262626271</v>
      </c>
      <c r="Q32">
        <f>SMALL(SimData1!$D$9:$D$108,27)</f>
        <v>340.04641653586765</v>
      </c>
      <c r="R32">
        <f>1/(COUNT(SimData1!$D$9:$D$108)-1)+$R$31</f>
        <v>0.26262626262626271</v>
      </c>
      <c r="S32">
        <f>SMALL(SimData1!$E$9:$E$108,27)</f>
        <v>310.02628656824754</v>
      </c>
      <c r="T32">
        <f>1/(COUNT(SimData1!$E$9:$E$108)-1)+$T$31</f>
        <v>0.26262626262626271</v>
      </c>
      <c r="U32">
        <f>SMALL(SimData1!$F$9:$F$108,27)</f>
        <v>340.07737461578233</v>
      </c>
      <c r="V32">
        <f>1/(COUNT(SimData1!$F$9:$F$108)-1)+$V$31</f>
        <v>0.26262626262626271</v>
      </c>
      <c r="W32">
        <f>SMALL(SimData1!$G$9:$G$108,27)</f>
        <v>343.17932183626982</v>
      </c>
      <c r="X32">
        <f>1/(COUNT(SimData1!$G$9:$G$108)-1)+$X$31</f>
        <v>0.26262626262626271</v>
      </c>
      <c r="Y32">
        <f>SMALL(SimData1!$H$9:$H$108,27)</f>
        <v>340.04641653586765</v>
      </c>
      <c r="Z32">
        <f>1/(COUNT(SimData1!$H$9:$H$108)-1)+$Z$31</f>
        <v>0.26262626262626271</v>
      </c>
      <c r="AA32">
        <f>SMALL(SimData1!$I$9:$I$108,27)</f>
        <v>310.02628656824754</v>
      </c>
      <c r="AB32">
        <f>1/(COUNT(SimData1!$I$9:$I$108)-1)+$AB$31</f>
        <v>0.26262626262626271</v>
      </c>
    </row>
    <row r="33" spans="1:28">
      <c r="A33">
        <v>25</v>
      </c>
      <c r="B33">
        <v>368.24051557225903</v>
      </c>
      <c r="C33">
        <v>426.27780085152961</v>
      </c>
      <c r="D33">
        <v>373.09889352121957</v>
      </c>
      <c r="E33">
        <v>366.14781437996965</v>
      </c>
      <c r="F33">
        <v>368.24051557225903</v>
      </c>
      <c r="G33">
        <v>426.27780085152961</v>
      </c>
      <c r="H33">
        <v>373.09889352121957</v>
      </c>
      <c r="I33">
        <v>366.14781437996965</v>
      </c>
      <c r="M33">
        <f>SMALL(SimData1!$B$9:$B$108,28)</f>
        <v>340.88914672292179</v>
      </c>
      <c r="N33">
        <f>1/(COUNT(SimData1!$B$9:$B$108)-1)+$N$32</f>
        <v>0.27272727272727282</v>
      </c>
      <c r="O33">
        <f>SMALL(SimData1!$C$9:$C$108,28)</f>
        <v>344.23356139135967</v>
      </c>
      <c r="P33">
        <f>1/(COUNT(SimData1!$C$9:$C$108)-1)+$P$32</f>
        <v>0.27272727272727282</v>
      </c>
      <c r="Q33">
        <f>SMALL(SimData1!$D$9:$D$108,28)</f>
        <v>340.25037895234505</v>
      </c>
      <c r="R33">
        <f>1/(COUNT(SimData1!$D$9:$D$108)-1)+$R$32</f>
        <v>0.27272727272727282</v>
      </c>
      <c r="S33">
        <f>SMALL(SimData1!$E$9:$E$108,28)</f>
        <v>310.47681453654815</v>
      </c>
      <c r="T33">
        <f>1/(COUNT(SimData1!$E$9:$E$108)-1)+$T$32</f>
        <v>0.27272727272727282</v>
      </c>
      <c r="U33">
        <f>SMALL(SimData1!$F$9:$F$108,28)</f>
        <v>340.88914672292179</v>
      </c>
      <c r="V33">
        <f>1/(COUNT(SimData1!$F$9:$F$108)-1)+$V$32</f>
        <v>0.27272727272727282</v>
      </c>
      <c r="W33">
        <f>SMALL(SimData1!$G$9:$G$108,28)</f>
        <v>344.23356139135967</v>
      </c>
      <c r="X33">
        <f>1/(COUNT(SimData1!$G$9:$G$108)-1)+$X$32</f>
        <v>0.27272727272727282</v>
      </c>
      <c r="Y33">
        <f>SMALL(SimData1!$H$9:$H$108,28)</f>
        <v>340.25037895234505</v>
      </c>
      <c r="Z33">
        <f>1/(COUNT(SimData1!$H$9:$H$108)-1)+$Z$32</f>
        <v>0.27272727272727282</v>
      </c>
      <c r="AA33">
        <f>SMALL(SimData1!$I$9:$I$108,28)</f>
        <v>310.47681453654815</v>
      </c>
      <c r="AB33">
        <f>1/(COUNT(SimData1!$I$9:$I$108)-1)+$AB$32</f>
        <v>0.27272727272727282</v>
      </c>
    </row>
    <row r="34" spans="1:28">
      <c r="A34">
        <v>26</v>
      </c>
      <c r="B34">
        <v>379.17238996586377</v>
      </c>
      <c r="C34">
        <v>321.34045181237832</v>
      </c>
      <c r="D34">
        <v>329.47405381123224</v>
      </c>
      <c r="E34">
        <v>329.47405381123224</v>
      </c>
      <c r="F34">
        <v>379.17238996586377</v>
      </c>
      <c r="G34">
        <v>321.34045181237832</v>
      </c>
      <c r="H34">
        <v>329.47405381123224</v>
      </c>
      <c r="I34">
        <v>329.47405381123224</v>
      </c>
      <c r="M34">
        <f>SMALL(SimData1!$B$9:$B$108,29)</f>
        <v>340.89834910938742</v>
      </c>
      <c r="N34">
        <f>1/(COUNT(SimData1!$B$9:$B$108)-1)+$N$33</f>
        <v>0.28282828282828293</v>
      </c>
      <c r="O34">
        <f>SMALL(SimData1!$C$9:$C$108,29)</f>
        <v>344.93533126814469</v>
      </c>
      <c r="P34">
        <f>1/(COUNT(SimData1!$C$9:$C$108)-1)+$P$33</f>
        <v>0.28282828282828293</v>
      </c>
      <c r="Q34">
        <f>SMALL(SimData1!$D$9:$D$108,29)</f>
        <v>341.0462508450907</v>
      </c>
      <c r="R34">
        <f>1/(COUNT(SimData1!$D$9:$D$108)-1)+$R$33</f>
        <v>0.28282828282828293</v>
      </c>
      <c r="S34">
        <f>SMALL(SimData1!$E$9:$E$108,29)</f>
        <v>310.68713732584052</v>
      </c>
      <c r="T34">
        <f>1/(COUNT(SimData1!$E$9:$E$108)-1)+$T$33</f>
        <v>0.28282828282828293</v>
      </c>
      <c r="U34">
        <f>SMALL(SimData1!$F$9:$F$108,29)</f>
        <v>340.89834910938742</v>
      </c>
      <c r="V34">
        <f>1/(COUNT(SimData1!$F$9:$F$108)-1)+$V$33</f>
        <v>0.28282828282828293</v>
      </c>
      <c r="W34">
        <f>SMALL(SimData1!$G$9:$G$108,29)</f>
        <v>344.93533126814469</v>
      </c>
      <c r="X34">
        <f>1/(COUNT(SimData1!$G$9:$G$108)-1)+$X$33</f>
        <v>0.28282828282828293</v>
      </c>
      <c r="Y34">
        <f>SMALL(SimData1!$H$9:$H$108,29)</f>
        <v>341.0462508450907</v>
      </c>
      <c r="Z34">
        <f>1/(COUNT(SimData1!$H$9:$H$108)-1)+$Z$33</f>
        <v>0.28282828282828293</v>
      </c>
      <c r="AA34">
        <f>SMALL(SimData1!$I$9:$I$108,29)</f>
        <v>310.68713732584052</v>
      </c>
      <c r="AB34">
        <f>1/(COUNT(SimData1!$I$9:$I$108)-1)+$AB$33</f>
        <v>0.28282828282828293</v>
      </c>
    </row>
    <row r="35" spans="1:28">
      <c r="A35">
        <v>27</v>
      </c>
      <c r="B35">
        <v>341.80887006690688</v>
      </c>
      <c r="C35">
        <v>395.55505213663076</v>
      </c>
      <c r="D35">
        <v>341.0462508450907</v>
      </c>
      <c r="E35">
        <v>290.04715862208656</v>
      </c>
      <c r="F35">
        <v>341.80887006690688</v>
      </c>
      <c r="G35">
        <v>395.55505213663076</v>
      </c>
      <c r="H35">
        <v>341.0462508450907</v>
      </c>
      <c r="I35">
        <v>290.04715862208656</v>
      </c>
      <c r="M35">
        <f>SMALL(SimData1!$B$9:$B$108,30)</f>
        <v>341.13003040661528</v>
      </c>
      <c r="N35">
        <f>1/(COUNT(SimData1!$B$9:$B$108)-1)+$N$34</f>
        <v>0.29292929292929304</v>
      </c>
      <c r="O35">
        <f>SMALL(SimData1!$C$9:$C$108,30)</f>
        <v>346.08451306120708</v>
      </c>
      <c r="P35">
        <f>1/(COUNT(SimData1!$C$9:$C$108)-1)+$P$34</f>
        <v>0.29292929292929304</v>
      </c>
      <c r="Q35">
        <f>SMALL(SimData1!$D$9:$D$108,30)</f>
        <v>342.91271938376968</v>
      </c>
      <c r="R35">
        <f>1/(COUNT(SimData1!$D$9:$D$108)-1)+$R$34</f>
        <v>0.29292929292929304</v>
      </c>
      <c r="S35">
        <f>SMALL(SimData1!$E$9:$E$108,30)</f>
        <v>312.94133249383509</v>
      </c>
      <c r="T35">
        <f>1/(COUNT(SimData1!$E$9:$E$108)-1)+$T$34</f>
        <v>0.29292929292929304</v>
      </c>
      <c r="U35">
        <f>SMALL(SimData1!$F$9:$F$108,30)</f>
        <v>341.13003040661528</v>
      </c>
      <c r="V35">
        <f>1/(COUNT(SimData1!$F$9:$F$108)-1)+$V$34</f>
        <v>0.29292929292929304</v>
      </c>
      <c r="W35">
        <f>SMALL(SimData1!$G$9:$G$108,30)</f>
        <v>346.08451306120708</v>
      </c>
      <c r="X35">
        <f>1/(COUNT(SimData1!$G$9:$G$108)-1)+$X$34</f>
        <v>0.29292929292929304</v>
      </c>
      <c r="Y35">
        <f>SMALL(SimData1!$H$9:$H$108,30)</f>
        <v>342.91271938376968</v>
      </c>
      <c r="Z35">
        <f>1/(COUNT(SimData1!$H$9:$H$108)-1)+$Z$34</f>
        <v>0.29292929292929304</v>
      </c>
      <c r="AA35">
        <f>SMALL(SimData1!$I$9:$I$108,30)</f>
        <v>312.94133249383509</v>
      </c>
      <c r="AB35">
        <f>1/(COUNT(SimData1!$I$9:$I$108)-1)+$AB$34</f>
        <v>0.29292929292929304</v>
      </c>
    </row>
    <row r="36" spans="1:28">
      <c r="A36">
        <v>28</v>
      </c>
      <c r="B36">
        <v>416.18282632003292</v>
      </c>
      <c r="C36">
        <v>356.89091822685003</v>
      </c>
      <c r="D36">
        <v>378.03705309048667</v>
      </c>
      <c r="E36">
        <v>327.12654707399577</v>
      </c>
      <c r="F36">
        <v>416.18282632003292</v>
      </c>
      <c r="G36">
        <v>356.89091822685003</v>
      </c>
      <c r="H36">
        <v>378.03705309048667</v>
      </c>
      <c r="I36">
        <v>327.12654707399577</v>
      </c>
      <c r="M36">
        <f>SMALL(SimData1!$B$9:$B$108,31)</f>
        <v>341.22891024883398</v>
      </c>
      <c r="N36">
        <f>1/(COUNT(SimData1!$B$9:$B$108)-1)+$N$35</f>
        <v>0.30303030303030315</v>
      </c>
      <c r="O36">
        <f>SMALL(SimData1!$C$9:$C$108,31)</f>
        <v>347.09338083350468</v>
      </c>
      <c r="P36">
        <f>1/(COUNT(SimData1!$C$9:$C$108)-1)+$P$35</f>
        <v>0.30303030303030315</v>
      </c>
      <c r="Q36">
        <f>SMALL(SimData1!$D$9:$D$108,31)</f>
        <v>345.74171871790088</v>
      </c>
      <c r="R36">
        <f>1/(COUNT(SimData1!$D$9:$D$108)-1)+$R$35</f>
        <v>0.30303030303030315</v>
      </c>
      <c r="S36">
        <f>SMALL(SimData1!$E$9:$E$108,31)</f>
        <v>313.45556079653613</v>
      </c>
      <c r="T36">
        <f>1/(COUNT(SimData1!$E$9:$E$108)-1)+$T$35</f>
        <v>0.30303030303030315</v>
      </c>
      <c r="U36">
        <f>SMALL(SimData1!$F$9:$F$108,31)</f>
        <v>341.22891024883398</v>
      </c>
      <c r="V36">
        <f>1/(COUNT(SimData1!$F$9:$F$108)-1)+$V$35</f>
        <v>0.30303030303030315</v>
      </c>
      <c r="W36">
        <f>SMALL(SimData1!$G$9:$G$108,31)</f>
        <v>347.09338083350468</v>
      </c>
      <c r="X36">
        <f>1/(COUNT(SimData1!$G$9:$G$108)-1)+$X$35</f>
        <v>0.30303030303030315</v>
      </c>
      <c r="Y36">
        <f>SMALL(SimData1!$H$9:$H$108,31)</f>
        <v>345.74171871790088</v>
      </c>
      <c r="Z36">
        <f>1/(COUNT(SimData1!$H$9:$H$108)-1)+$Z$35</f>
        <v>0.30303030303030315</v>
      </c>
      <c r="AA36">
        <f>SMALL(SimData1!$I$9:$I$108,31)</f>
        <v>313.45556079653613</v>
      </c>
      <c r="AB36">
        <f>1/(COUNT(SimData1!$I$9:$I$108)-1)+$AB$35</f>
        <v>0.30303030303030315</v>
      </c>
    </row>
    <row r="37" spans="1:28">
      <c r="A37">
        <v>29</v>
      </c>
      <c r="B37">
        <v>340.88914672292179</v>
      </c>
      <c r="C37">
        <v>438.61178352250465</v>
      </c>
      <c r="D37">
        <v>354.44253433191147</v>
      </c>
      <c r="E37">
        <v>338.94995826214989</v>
      </c>
      <c r="F37">
        <v>340.88914672292179</v>
      </c>
      <c r="G37">
        <v>438.61178352250465</v>
      </c>
      <c r="H37">
        <v>354.44253433191147</v>
      </c>
      <c r="I37">
        <v>338.94995826214989</v>
      </c>
      <c r="M37">
        <f>SMALL(SimData1!$B$9:$B$108,32)</f>
        <v>341.2739699796216</v>
      </c>
      <c r="N37">
        <f>1/(COUNT(SimData1!$B$9:$B$108)-1)+$N$36</f>
        <v>0.31313131313131326</v>
      </c>
      <c r="O37">
        <f>SMALL(SimData1!$C$9:$C$108,32)</f>
        <v>347.16053830530336</v>
      </c>
      <c r="P37">
        <f>1/(COUNT(SimData1!$C$9:$C$108)-1)+$P$36</f>
        <v>0.31313131313131326</v>
      </c>
      <c r="Q37">
        <f>SMALL(SimData1!$D$9:$D$108,32)</f>
        <v>346.73756480080431</v>
      </c>
      <c r="R37">
        <f>1/(COUNT(SimData1!$D$9:$D$108)-1)+$R$36</f>
        <v>0.31313131313131326</v>
      </c>
      <c r="S37">
        <f>SMALL(SimData1!$E$9:$E$108,32)</f>
        <v>313.76753221059221</v>
      </c>
      <c r="T37">
        <f>1/(COUNT(SimData1!$E$9:$E$108)-1)+$T$36</f>
        <v>0.31313131313131326</v>
      </c>
      <c r="U37">
        <f>SMALL(SimData1!$F$9:$F$108,32)</f>
        <v>341.2739699796216</v>
      </c>
      <c r="V37">
        <f>1/(COUNT(SimData1!$F$9:$F$108)-1)+$V$36</f>
        <v>0.31313131313131326</v>
      </c>
      <c r="W37">
        <f>SMALL(SimData1!$G$9:$G$108,32)</f>
        <v>347.16053830530336</v>
      </c>
      <c r="X37">
        <f>1/(COUNT(SimData1!$G$9:$G$108)-1)+$X$36</f>
        <v>0.31313131313131326</v>
      </c>
      <c r="Y37">
        <f>SMALL(SimData1!$H$9:$H$108,32)</f>
        <v>346.73756480080431</v>
      </c>
      <c r="Z37">
        <f>1/(COUNT(SimData1!$H$9:$H$108)-1)+$Z$36</f>
        <v>0.31313131313131326</v>
      </c>
      <c r="AA37">
        <f>SMALL(SimData1!$I$9:$I$108,32)</f>
        <v>313.76753221059221</v>
      </c>
      <c r="AB37">
        <f>1/(COUNT(SimData1!$I$9:$I$108)-1)+$AB$36</f>
        <v>0.31313131313131326</v>
      </c>
    </row>
    <row r="38" spans="1:28">
      <c r="A38">
        <v>30</v>
      </c>
      <c r="B38">
        <v>368.7413939752488</v>
      </c>
      <c r="C38">
        <v>382.32751499310496</v>
      </c>
      <c r="D38">
        <v>382.32751499310496</v>
      </c>
      <c r="E38">
        <v>331.22218223135013</v>
      </c>
      <c r="F38">
        <v>368.7413939752488</v>
      </c>
      <c r="G38">
        <v>382.32751499310496</v>
      </c>
      <c r="H38">
        <v>382.32751499310496</v>
      </c>
      <c r="I38">
        <v>331.22218223135013</v>
      </c>
      <c r="M38">
        <f>SMALL(SimData1!$B$9:$B$108,33)</f>
        <v>341.68070313644233</v>
      </c>
      <c r="N38">
        <f>1/(COUNT(SimData1!$B$9:$B$108)-1)+$N$37</f>
        <v>0.32323232323232337</v>
      </c>
      <c r="O38">
        <f>SMALL(SimData1!$C$9:$C$108,33)</f>
        <v>347.16198393196544</v>
      </c>
      <c r="P38">
        <f>1/(COUNT(SimData1!$C$9:$C$108)-1)+$P$37</f>
        <v>0.32323232323232337</v>
      </c>
      <c r="Q38">
        <f>SMALL(SimData1!$D$9:$D$108,33)</f>
        <v>346.82329431007804</v>
      </c>
      <c r="R38">
        <f>1/(COUNT(SimData1!$D$9:$D$108)-1)+$R$37</f>
        <v>0.32323232323232337</v>
      </c>
      <c r="S38">
        <f>SMALL(SimData1!$E$9:$E$108,33)</f>
        <v>314.07300563499041</v>
      </c>
      <c r="T38">
        <f>1/(COUNT(SimData1!$E$9:$E$108)-1)+$T$37</f>
        <v>0.32323232323232337</v>
      </c>
      <c r="U38">
        <f>SMALL(SimData1!$F$9:$F$108,33)</f>
        <v>341.68070313644233</v>
      </c>
      <c r="V38">
        <f>1/(COUNT(SimData1!$F$9:$F$108)-1)+$V$37</f>
        <v>0.32323232323232337</v>
      </c>
      <c r="W38">
        <f>SMALL(SimData1!$G$9:$G$108,33)</f>
        <v>347.16198393196544</v>
      </c>
      <c r="X38">
        <f>1/(COUNT(SimData1!$G$9:$G$108)-1)+$X$37</f>
        <v>0.32323232323232337</v>
      </c>
      <c r="Y38">
        <f>SMALL(SimData1!$H$9:$H$108,33)</f>
        <v>346.82329431007804</v>
      </c>
      <c r="Z38">
        <f>1/(COUNT(SimData1!$H$9:$H$108)-1)+$Z$37</f>
        <v>0.32323232323232337</v>
      </c>
      <c r="AA38">
        <f>SMALL(SimData1!$I$9:$I$108,33)</f>
        <v>314.07300563499041</v>
      </c>
      <c r="AB38">
        <f>1/(COUNT(SimData1!$I$9:$I$108)-1)+$AB$37</f>
        <v>0.32323232323232337</v>
      </c>
    </row>
    <row r="39" spans="1:28">
      <c r="A39">
        <v>31</v>
      </c>
      <c r="B39">
        <v>360.52339383233539</v>
      </c>
      <c r="C39">
        <v>360.52339383233539</v>
      </c>
      <c r="D39">
        <v>359.93172061083339</v>
      </c>
      <c r="E39">
        <v>320.30326711984992</v>
      </c>
      <c r="F39">
        <v>360.52339383233539</v>
      </c>
      <c r="G39">
        <v>360.52339383233539</v>
      </c>
      <c r="H39">
        <v>359.93172061083339</v>
      </c>
      <c r="I39">
        <v>320.30326711984992</v>
      </c>
      <c r="M39">
        <f>SMALL(SimData1!$B$9:$B$108,34)</f>
        <v>341.78466059610616</v>
      </c>
      <c r="N39">
        <f>1/(COUNT(SimData1!$B$9:$B$108)-1)+$N$38</f>
        <v>0.33333333333333348</v>
      </c>
      <c r="O39">
        <f>SMALL(SimData1!$C$9:$C$108,34)</f>
        <v>347.37068347328665</v>
      </c>
      <c r="P39">
        <f>1/(COUNT(SimData1!$C$9:$C$108)-1)+$P$38</f>
        <v>0.33333333333333348</v>
      </c>
      <c r="Q39">
        <f>SMALL(SimData1!$D$9:$D$108,34)</f>
        <v>347.44186426872267</v>
      </c>
      <c r="R39">
        <f>1/(COUNT(SimData1!$D$9:$D$108)-1)+$R$38</f>
        <v>0.33333333333333348</v>
      </c>
      <c r="S39">
        <f>SMALL(SimData1!$E$9:$E$108,34)</f>
        <v>315.13427200066639</v>
      </c>
      <c r="T39">
        <f>1/(COUNT(SimData1!$E$9:$E$108)-1)+$T$38</f>
        <v>0.33333333333333348</v>
      </c>
      <c r="U39">
        <f>SMALL(SimData1!$F$9:$F$108,34)</f>
        <v>341.78466059610616</v>
      </c>
      <c r="V39">
        <f>1/(COUNT(SimData1!$F$9:$F$108)-1)+$V$38</f>
        <v>0.33333333333333348</v>
      </c>
      <c r="W39">
        <f>SMALL(SimData1!$G$9:$G$108,34)</f>
        <v>347.37068347328665</v>
      </c>
      <c r="X39">
        <f>1/(COUNT(SimData1!$G$9:$G$108)-1)+$X$38</f>
        <v>0.33333333333333348</v>
      </c>
      <c r="Y39">
        <f>SMALL(SimData1!$H$9:$H$108,34)</f>
        <v>347.44186426872267</v>
      </c>
      <c r="Z39">
        <f>1/(COUNT(SimData1!$H$9:$H$108)-1)+$Z$38</f>
        <v>0.33333333333333348</v>
      </c>
      <c r="AA39">
        <f>SMALL(SimData1!$I$9:$I$108,34)</f>
        <v>315.13427200066639</v>
      </c>
      <c r="AB39">
        <f>1/(COUNT(SimData1!$I$9:$I$108)-1)+$AB$38</f>
        <v>0.33333333333333348</v>
      </c>
    </row>
    <row r="40" spans="1:28">
      <c r="A40">
        <v>32</v>
      </c>
      <c r="B40">
        <v>354.46970226545216</v>
      </c>
      <c r="C40">
        <v>354.46970226545216</v>
      </c>
      <c r="D40">
        <v>292.50331864597871</v>
      </c>
      <c r="E40">
        <v>292.50331864597871</v>
      </c>
      <c r="F40">
        <v>354.46970226545216</v>
      </c>
      <c r="G40">
        <v>354.46970226545216</v>
      </c>
      <c r="H40">
        <v>292.50331864597871</v>
      </c>
      <c r="I40">
        <v>292.50331864597871</v>
      </c>
      <c r="M40">
        <f>SMALL(SimData1!$B$9:$B$108,35)</f>
        <v>341.80887006690688</v>
      </c>
      <c r="N40">
        <f>1/(COUNT(SimData1!$B$9:$B$108)-1)+$N$39</f>
        <v>0.34343434343434359</v>
      </c>
      <c r="O40">
        <f>SMALL(SimData1!$C$9:$C$108,35)</f>
        <v>347.44186426872267</v>
      </c>
      <c r="P40">
        <f>1/(COUNT(SimData1!$C$9:$C$108)-1)+$P$39</f>
        <v>0.34343434343434359</v>
      </c>
      <c r="Q40">
        <f>SMALL(SimData1!$D$9:$D$108,35)</f>
        <v>348.13554181257962</v>
      </c>
      <c r="R40">
        <f>1/(COUNT(SimData1!$D$9:$D$108)-1)+$R$39</f>
        <v>0.34343434343434359</v>
      </c>
      <c r="S40">
        <f>SMALL(SimData1!$E$9:$E$108,35)</f>
        <v>317.37664600148253</v>
      </c>
      <c r="T40">
        <f>1/(COUNT(SimData1!$E$9:$E$108)-1)+$T$39</f>
        <v>0.34343434343434359</v>
      </c>
      <c r="U40">
        <f>SMALL(SimData1!$F$9:$F$108,35)</f>
        <v>341.80887006690688</v>
      </c>
      <c r="V40">
        <f>1/(COUNT(SimData1!$F$9:$F$108)-1)+$V$39</f>
        <v>0.34343434343434359</v>
      </c>
      <c r="W40">
        <f>SMALL(SimData1!$G$9:$G$108,35)</f>
        <v>347.44186426872267</v>
      </c>
      <c r="X40">
        <f>1/(COUNT(SimData1!$G$9:$G$108)-1)+$X$39</f>
        <v>0.34343434343434359</v>
      </c>
      <c r="Y40">
        <f>SMALL(SimData1!$H$9:$H$108,35)</f>
        <v>348.13554181257962</v>
      </c>
      <c r="Z40">
        <f>1/(COUNT(SimData1!$H$9:$H$108)-1)+$Z$39</f>
        <v>0.34343434343434359</v>
      </c>
      <c r="AA40">
        <f>SMALL(SimData1!$I$9:$I$108,35)</f>
        <v>317.37664600148253</v>
      </c>
      <c r="AB40">
        <f>1/(COUNT(SimData1!$I$9:$I$108)-1)+$AB$39</f>
        <v>0.34343434343434359</v>
      </c>
    </row>
    <row r="41" spans="1:28">
      <c r="A41">
        <v>33</v>
      </c>
      <c r="B41">
        <v>353.89058308797337</v>
      </c>
      <c r="C41">
        <v>353.89058308797337</v>
      </c>
      <c r="D41">
        <v>350.4392851699082</v>
      </c>
      <c r="E41">
        <v>301.16695384756616</v>
      </c>
      <c r="F41">
        <v>353.89058308797337</v>
      </c>
      <c r="G41">
        <v>353.89058308797337</v>
      </c>
      <c r="H41">
        <v>350.4392851699082</v>
      </c>
      <c r="I41">
        <v>301.16695384756616</v>
      </c>
      <c r="M41">
        <f>SMALL(SimData1!$B$9:$B$108,36)</f>
        <v>344.23356139135967</v>
      </c>
      <c r="N41">
        <f>1/(COUNT(SimData1!$B$9:$B$108)-1)+$N$40</f>
        <v>0.3535353535353537</v>
      </c>
      <c r="O41">
        <f>SMALL(SimData1!$C$9:$C$108,36)</f>
        <v>347.81496725482987</v>
      </c>
      <c r="P41">
        <f>1/(COUNT(SimData1!$C$9:$C$108)-1)+$P$40</f>
        <v>0.3535353535353537</v>
      </c>
      <c r="Q41">
        <f>SMALL(SimData1!$D$9:$D$108,36)</f>
        <v>348.85955272681144</v>
      </c>
      <c r="R41">
        <f>1/(COUNT(SimData1!$D$9:$D$108)-1)+$R$40</f>
        <v>0.3535353535353537</v>
      </c>
      <c r="S41">
        <f>SMALL(SimData1!$E$9:$E$108,36)</f>
        <v>318.10880032685088</v>
      </c>
      <c r="T41">
        <f>1/(COUNT(SimData1!$E$9:$E$108)-1)+$T$40</f>
        <v>0.3535353535353537</v>
      </c>
      <c r="U41">
        <f>SMALL(SimData1!$F$9:$F$108,36)</f>
        <v>344.23356139135967</v>
      </c>
      <c r="V41">
        <f>1/(COUNT(SimData1!$F$9:$F$108)-1)+$V$40</f>
        <v>0.3535353535353537</v>
      </c>
      <c r="W41">
        <f>SMALL(SimData1!$G$9:$G$108,36)</f>
        <v>347.81496725482987</v>
      </c>
      <c r="X41">
        <f>1/(COUNT(SimData1!$G$9:$G$108)-1)+$X$40</f>
        <v>0.3535353535353537</v>
      </c>
      <c r="Y41">
        <f>SMALL(SimData1!$H$9:$H$108,36)</f>
        <v>348.85955272681144</v>
      </c>
      <c r="Z41">
        <f>1/(COUNT(SimData1!$H$9:$H$108)-1)+$Z$40</f>
        <v>0.3535353535353537</v>
      </c>
      <c r="AA41">
        <f>SMALL(SimData1!$I$9:$I$108,36)</f>
        <v>318.10880032685088</v>
      </c>
      <c r="AB41">
        <f>1/(COUNT(SimData1!$I$9:$I$108)-1)+$AB$40</f>
        <v>0.3535353535353537</v>
      </c>
    </row>
    <row r="42" spans="1:28">
      <c r="A42">
        <v>34</v>
      </c>
      <c r="B42">
        <v>433.64784302560957</v>
      </c>
      <c r="C42">
        <v>433.64784302560957</v>
      </c>
      <c r="D42">
        <v>433.64784302560957</v>
      </c>
      <c r="E42">
        <v>333.62974711691282</v>
      </c>
      <c r="F42">
        <v>433.64784302560957</v>
      </c>
      <c r="G42">
        <v>433.64784302560957</v>
      </c>
      <c r="H42">
        <v>433.64784302560957</v>
      </c>
      <c r="I42">
        <v>333.62974711691282</v>
      </c>
      <c r="M42">
        <f>SMALL(SimData1!$B$9:$B$108,37)</f>
        <v>344.88974198483174</v>
      </c>
      <c r="N42">
        <f>1/(COUNT(SimData1!$B$9:$B$108)-1)+$N$41</f>
        <v>0.36363636363636381</v>
      </c>
      <c r="O42">
        <f>SMALL(SimData1!$C$9:$C$108,37)</f>
        <v>348.85955272681144</v>
      </c>
      <c r="P42">
        <f>1/(COUNT(SimData1!$C$9:$C$108)-1)+$P$41</f>
        <v>0.36363636363636381</v>
      </c>
      <c r="Q42">
        <f>SMALL(SimData1!$D$9:$D$108,37)</f>
        <v>350.4392851699082</v>
      </c>
      <c r="R42">
        <f>1/(COUNT(SimData1!$D$9:$D$108)-1)+$R$41</f>
        <v>0.36363636363636381</v>
      </c>
      <c r="S42">
        <f>SMALL(SimData1!$E$9:$E$108,37)</f>
        <v>319.63937218298344</v>
      </c>
      <c r="T42">
        <f>1/(COUNT(SimData1!$E$9:$E$108)-1)+$T$41</f>
        <v>0.36363636363636381</v>
      </c>
      <c r="U42">
        <f>SMALL(SimData1!$F$9:$F$108,37)</f>
        <v>344.88974198483174</v>
      </c>
      <c r="V42">
        <f>1/(COUNT(SimData1!$F$9:$F$108)-1)+$V$41</f>
        <v>0.36363636363636381</v>
      </c>
      <c r="W42">
        <f>SMALL(SimData1!$G$9:$G$108,37)</f>
        <v>348.85955272681144</v>
      </c>
      <c r="X42">
        <f>1/(COUNT(SimData1!$G$9:$G$108)-1)+$X$41</f>
        <v>0.36363636363636381</v>
      </c>
      <c r="Y42">
        <f>SMALL(SimData1!$H$9:$H$108,37)</f>
        <v>350.4392851699082</v>
      </c>
      <c r="Z42">
        <f>1/(COUNT(SimData1!$H$9:$H$108)-1)+$Z$41</f>
        <v>0.36363636363636381</v>
      </c>
      <c r="AA42">
        <f>SMALL(SimData1!$I$9:$I$108,37)</f>
        <v>319.63937218298344</v>
      </c>
      <c r="AB42">
        <f>1/(COUNT(SimData1!$I$9:$I$108)-1)+$AB$41</f>
        <v>0.36363636363636381</v>
      </c>
    </row>
    <row r="43" spans="1:28">
      <c r="A43">
        <v>35</v>
      </c>
      <c r="B43">
        <v>327.29784046339864</v>
      </c>
      <c r="C43">
        <v>377.1866173207315</v>
      </c>
      <c r="D43">
        <v>377.1866173207315</v>
      </c>
      <c r="E43">
        <v>325.37083765668217</v>
      </c>
      <c r="F43">
        <v>327.29784046339864</v>
      </c>
      <c r="G43">
        <v>377.1866173207315</v>
      </c>
      <c r="H43">
        <v>377.1866173207315</v>
      </c>
      <c r="I43">
        <v>325.37083765668217</v>
      </c>
      <c r="M43">
        <f>SMALL(SimData1!$B$9:$B$108,38)</f>
        <v>344.93533126814469</v>
      </c>
      <c r="N43">
        <f>1/(COUNT(SimData1!$B$9:$B$108)-1)+$N$42</f>
        <v>0.37373737373737392</v>
      </c>
      <c r="O43">
        <f>SMALL(SimData1!$C$9:$C$108,38)</f>
        <v>349.19377278618322</v>
      </c>
      <c r="P43">
        <f>1/(COUNT(SimData1!$C$9:$C$108)-1)+$P$42</f>
        <v>0.37373737373737392</v>
      </c>
      <c r="Q43">
        <f>SMALL(SimData1!$D$9:$D$108,38)</f>
        <v>350.5090434053489</v>
      </c>
      <c r="R43">
        <f>1/(COUNT(SimData1!$D$9:$D$108)-1)+$R$42</f>
        <v>0.37373737373737392</v>
      </c>
      <c r="S43">
        <f>SMALL(SimData1!$E$9:$E$108,38)</f>
        <v>320.30326711984992</v>
      </c>
      <c r="T43">
        <f>1/(COUNT(SimData1!$E$9:$E$108)-1)+$T$42</f>
        <v>0.37373737373737392</v>
      </c>
      <c r="U43">
        <f>SMALL(SimData1!$F$9:$F$108,38)</f>
        <v>344.93533126814469</v>
      </c>
      <c r="V43">
        <f>1/(COUNT(SimData1!$F$9:$F$108)-1)+$V$42</f>
        <v>0.37373737373737392</v>
      </c>
      <c r="W43">
        <f>SMALL(SimData1!$G$9:$G$108,38)</f>
        <v>349.19377278618322</v>
      </c>
      <c r="X43">
        <f>1/(COUNT(SimData1!$G$9:$G$108)-1)+$X$42</f>
        <v>0.37373737373737392</v>
      </c>
      <c r="Y43">
        <f>SMALL(SimData1!$H$9:$H$108,38)</f>
        <v>350.5090434053489</v>
      </c>
      <c r="Z43">
        <f>1/(COUNT(SimData1!$H$9:$H$108)-1)+$Z$42</f>
        <v>0.37373737373737392</v>
      </c>
      <c r="AA43">
        <f>SMALL(SimData1!$I$9:$I$108,38)</f>
        <v>320.30326711984992</v>
      </c>
      <c r="AB43">
        <f>1/(COUNT(SimData1!$I$9:$I$108)-1)+$AB$42</f>
        <v>0.37373737373737392</v>
      </c>
    </row>
    <row r="44" spans="1:28">
      <c r="A44">
        <v>36</v>
      </c>
      <c r="B44">
        <v>374.92094130565584</v>
      </c>
      <c r="C44">
        <v>314.95582683068631</v>
      </c>
      <c r="D44">
        <v>310.5949671300707</v>
      </c>
      <c r="E44">
        <v>259.70559539304429</v>
      </c>
      <c r="F44">
        <v>374.92094130565584</v>
      </c>
      <c r="G44">
        <v>314.95582683068631</v>
      </c>
      <c r="H44">
        <v>310.5949671300707</v>
      </c>
      <c r="I44">
        <v>259.70559539304429</v>
      </c>
      <c r="M44">
        <f>SMALL(SimData1!$B$9:$B$108,39)</f>
        <v>345.15862568892214</v>
      </c>
      <c r="N44">
        <f>1/(COUNT(SimData1!$B$9:$B$108)-1)+$N$43</f>
        <v>0.38383838383838403</v>
      </c>
      <c r="O44">
        <f>SMALL(SimData1!$C$9:$C$108,39)</f>
        <v>350.1306824022713</v>
      </c>
      <c r="P44">
        <f>1/(COUNT(SimData1!$C$9:$C$108)-1)+$P$43</f>
        <v>0.38383838383838403</v>
      </c>
      <c r="Q44">
        <f>SMALL(SimData1!$D$9:$D$108,39)</f>
        <v>350.96401911831106</v>
      </c>
      <c r="R44">
        <f>1/(COUNT(SimData1!$D$9:$D$108)-1)+$R$43</f>
        <v>0.38383838383838403</v>
      </c>
      <c r="S44">
        <f>SMALL(SimData1!$E$9:$E$108,39)</f>
        <v>320.51649768963199</v>
      </c>
      <c r="T44">
        <f>1/(COUNT(SimData1!$E$9:$E$108)-1)+$T$43</f>
        <v>0.38383838383838403</v>
      </c>
      <c r="U44">
        <f>SMALL(SimData1!$F$9:$F$108,39)</f>
        <v>345.15862568892214</v>
      </c>
      <c r="V44">
        <f>1/(COUNT(SimData1!$F$9:$F$108)-1)+$V$43</f>
        <v>0.38383838383838403</v>
      </c>
      <c r="W44">
        <f>SMALL(SimData1!$G$9:$G$108,39)</f>
        <v>350.1306824022713</v>
      </c>
      <c r="X44">
        <f>1/(COUNT(SimData1!$G$9:$G$108)-1)+$X$43</f>
        <v>0.38383838383838403</v>
      </c>
      <c r="Y44">
        <f>SMALL(SimData1!$H$9:$H$108,39)</f>
        <v>350.96401911831106</v>
      </c>
      <c r="Z44">
        <f>1/(COUNT(SimData1!$H$9:$H$108)-1)+$Z$43</f>
        <v>0.38383838383838403</v>
      </c>
      <c r="AA44">
        <f>SMALL(SimData1!$I$9:$I$108,39)</f>
        <v>320.51649768963199</v>
      </c>
      <c r="AB44">
        <f>1/(COUNT(SimData1!$I$9:$I$108)-1)+$AB$43</f>
        <v>0.38383838383838403</v>
      </c>
    </row>
    <row r="45" spans="1:28">
      <c r="A45">
        <v>37</v>
      </c>
      <c r="B45">
        <v>382.24964679967673</v>
      </c>
      <c r="C45">
        <v>358.74350964656412</v>
      </c>
      <c r="D45">
        <v>358.74350964656412</v>
      </c>
      <c r="E45">
        <v>358.74350964656412</v>
      </c>
      <c r="F45">
        <v>382.24964679967673</v>
      </c>
      <c r="G45">
        <v>358.74350964656412</v>
      </c>
      <c r="H45">
        <v>358.74350964656412</v>
      </c>
      <c r="I45">
        <v>358.74350964656412</v>
      </c>
      <c r="M45">
        <f>SMALL(SimData1!$B$9:$B$108,40)</f>
        <v>346.14348015177063</v>
      </c>
      <c r="N45">
        <f>1/(COUNT(SimData1!$B$9:$B$108)-1)+$N$44</f>
        <v>0.39393939393939414</v>
      </c>
      <c r="O45">
        <f>SMALL(SimData1!$C$9:$C$108,40)</f>
        <v>350.5090434053489</v>
      </c>
      <c r="P45">
        <f>1/(COUNT(SimData1!$C$9:$C$108)-1)+$P$44</f>
        <v>0.39393939393939414</v>
      </c>
      <c r="Q45">
        <f>SMALL(SimData1!$D$9:$D$108,40)</f>
        <v>352.18792747859555</v>
      </c>
      <c r="R45">
        <f>1/(COUNT(SimData1!$D$9:$D$108)-1)+$R$44</f>
        <v>0.39393939393939414</v>
      </c>
      <c r="S45">
        <f>SMALL(SimData1!$E$9:$E$108,40)</f>
        <v>321.8109316703185</v>
      </c>
      <c r="T45">
        <f>1/(COUNT(SimData1!$E$9:$E$108)-1)+$T$44</f>
        <v>0.39393939393939414</v>
      </c>
      <c r="U45">
        <f>SMALL(SimData1!$F$9:$F$108,40)</f>
        <v>346.14348015177063</v>
      </c>
      <c r="V45">
        <f>1/(COUNT(SimData1!$F$9:$F$108)-1)+$V$44</f>
        <v>0.39393939393939414</v>
      </c>
      <c r="W45">
        <f>SMALL(SimData1!$G$9:$G$108,40)</f>
        <v>350.5090434053489</v>
      </c>
      <c r="X45">
        <f>1/(COUNT(SimData1!$G$9:$G$108)-1)+$X$44</f>
        <v>0.39393939393939414</v>
      </c>
      <c r="Y45">
        <f>SMALL(SimData1!$H$9:$H$108,40)</f>
        <v>352.18792747859555</v>
      </c>
      <c r="Z45">
        <f>1/(COUNT(SimData1!$H$9:$H$108)-1)+$Z$44</f>
        <v>0.39393939393939414</v>
      </c>
      <c r="AA45">
        <f>SMALL(SimData1!$I$9:$I$108,40)</f>
        <v>321.8109316703185</v>
      </c>
      <c r="AB45">
        <f>1/(COUNT(SimData1!$I$9:$I$108)-1)+$AB$44</f>
        <v>0.39393939393939414</v>
      </c>
    </row>
    <row r="46" spans="1:28">
      <c r="A46">
        <v>38</v>
      </c>
      <c r="B46">
        <v>370.0534735395342</v>
      </c>
      <c r="C46">
        <v>360.85025647807811</v>
      </c>
      <c r="D46">
        <v>360.85025647807811</v>
      </c>
      <c r="E46">
        <v>360.85025647807811</v>
      </c>
      <c r="F46">
        <v>370.0534735395342</v>
      </c>
      <c r="G46">
        <v>360.85025647807811</v>
      </c>
      <c r="H46">
        <v>360.85025647807811</v>
      </c>
      <c r="I46">
        <v>360.85025647807811</v>
      </c>
      <c r="M46">
        <f>SMALL(SimData1!$B$9:$B$108,41)</f>
        <v>347.16053830530336</v>
      </c>
      <c r="N46">
        <f>1/(COUNT(SimData1!$B$9:$B$108)-1)+$N$45</f>
        <v>0.40404040404040426</v>
      </c>
      <c r="O46">
        <f>SMALL(SimData1!$C$9:$C$108,41)</f>
        <v>352.25101005169165</v>
      </c>
      <c r="P46">
        <f>1/(COUNT(SimData1!$C$9:$C$108)-1)+$P$45</f>
        <v>0.40404040404040426</v>
      </c>
      <c r="Q46">
        <f>SMALL(SimData1!$D$9:$D$108,41)</f>
        <v>352.98317573930558</v>
      </c>
      <c r="R46">
        <f>1/(COUNT(SimData1!$D$9:$D$108)-1)+$R$45</f>
        <v>0.40404040404040426</v>
      </c>
      <c r="S46">
        <f>SMALL(SimData1!$E$9:$E$108,41)</f>
        <v>322.6827452214132</v>
      </c>
      <c r="T46">
        <f>1/(COUNT(SimData1!$E$9:$E$108)-1)+$T$45</f>
        <v>0.40404040404040426</v>
      </c>
      <c r="U46">
        <f>SMALL(SimData1!$F$9:$F$108,41)</f>
        <v>347.16053830530336</v>
      </c>
      <c r="V46">
        <f>1/(COUNT(SimData1!$F$9:$F$108)-1)+$V$45</f>
        <v>0.40404040404040426</v>
      </c>
      <c r="W46">
        <f>SMALL(SimData1!$G$9:$G$108,41)</f>
        <v>352.25101005169165</v>
      </c>
      <c r="X46">
        <f>1/(COUNT(SimData1!$G$9:$G$108)-1)+$X$45</f>
        <v>0.40404040404040426</v>
      </c>
      <c r="Y46">
        <f>SMALL(SimData1!$H$9:$H$108,41)</f>
        <v>352.98317573930558</v>
      </c>
      <c r="Z46">
        <f>1/(COUNT(SimData1!$H$9:$H$108)-1)+$Z$45</f>
        <v>0.40404040404040426</v>
      </c>
      <c r="AA46">
        <f>SMALL(SimData1!$I$9:$I$108,41)</f>
        <v>322.6827452214132</v>
      </c>
      <c r="AB46">
        <f>1/(COUNT(SimData1!$I$9:$I$108)-1)+$AB$45</f>
        <v>0.40404040404040426</v>
      </c>
    </row>
    <row r="47" spans="1:28">
      <c r="A47">
        <v>39</v>
      </c>
      <c r="B47">
        <v>352.41267249646319</v>
      </c>
      <c r="C47">
        <v>429.45206628749537</v>
      </c>
      <c r="D47">
        <v>365.68171197715435</v>
      </c>
      <c r="E47">
        <v>365.68171197715435</v>
      </c>
      <c r="F47">
        <v>352.41267249646319</v>
      </c>
      <c r="G47">
        <v>429.45206628749537</v>
      </c>
      <c r="H47">
        <v>365.68171197715435</v>
      </c>
      <c r="I47">
        <v>365.68171197715435</v>
      </c>
      <c r="M47">
        <f>SMALL(SimData1!$B$9:$B$108,42)</f>
        <v>347.16198393196544</v>
      </c>
      <c r="N47">
        <f>1/(COUNT(SimData1!$B$9:$B$108)-1)+$N$46</f>
        <v>0.41414141414141437</v>
      </c>
      <c r="O47">
        <f>SMALL(SimData1!$C$9:$C$108,42)</f>
        <v>353.67155397804333</v>
      </c>
      <c r="P47">
        <f>1/(COUNT(SimData1!$C$9:$C$108)-1)+$P$46</f>
        <v>0.41414141414141437</v>
      </c>
      <c r="Q47">
        <f>SMALL(SimData1!$D$9:$D$108,42)</f>
        <v>353.67155397804333</v>
      </c>
      <c r="R47">
        <f>1/(COUNT(SimData1!$D$9:$D$108)-1)+$R$46</f>
        <v>0.41414141414141437</v>
      </c>
      <c r="S47">
        <f>SMALL(SimData1!$E$9:$E$108,42)</f>
        <v>322.80423003574475</v>
      </c>
      <c r="T47">
        <f>1/(COUNT(SimData1!$E$9:$E$108)-1)+$T$46</f>
        <v>0.41414141414141437</v>
      </c>
      <c r="U47">
        <f>SMALL(SimData1!$F$9:$F$108,42)</f>
        <v>347.16198393196544</v>
      </c>
      <c r="V47">
        <f>1/(COUNT(SimData1!$F$9:$F$108)-1)+$V$46</f>
        <v>0.41414141414141437</v>
      </c>
      <c r="W47">
        <f>SMALL(SimData1!$G$9:$G$108,42)</f>
        <v>353.67155397804333</v>
      </c>
      <c r="X47">
        <f>1/(COUNT(SimData1!$G$9:$G$108)-1)+$X$46</f>
        <v>0.41414141414141437</v>
      </c>
      <c r="Y47">
        <f>SMALL(SimData1!$H$9:$H$108,42)</f>
        <v>353.67155397804333</v>
      </c>
      <c r="Z47">
        <f>1/(COUNT(SimData1!$H$9:$H$108)-1)+$Z$46</f>
        <v>0.41414141414141437</v>
      </c>
      <c r="AA47">
        <f>SMALL(SimData1!$I$9:$I$108,42)</f>
        <v>322.80423003574475</v>
      </c>
      <c r="AB47">
        <f>1/(COUNT(SimData1!$I$9:$I$108)-1)+$AB$46</f>
        <v>0.41414141414141437</v>
      </c>
    </row>
    <row r="48" spans="1:28">
      <c r="A48">
        <v>40</v>
      </c>
      <c r="B48">
        <v>347.81496725482987</v>
      </c>
      <c r="C48">
        <v>347.81496725482987</v>
      </c>
      <c r="D48">
        <v>395.38532861138145</v>
      </c>
      <c r="E48">
        <v>313.76753221059221</v>
      </c>
      <c r="F48">
        <v>347.81496725482987</v>
      </c>
      <c r="G48">
        <v>347.81496725482987</v>
      </c>
      <c r="H48">
        <v>395.38532861138145</v>
      </c>
      <c r="I48">
        <v>313.76753221059221</v>
      </c>
      <c r="M48">
        <f>SMALL(SimData1!$B$9:$B$108,43)</f>
        <v>347.6975031247033</v>
      </c>
      <c r="N48">
        <f>1/(COUNT(SimData1!$B$9:$B$108)-1)+$N$47</f>
        <v>0.42424242424242448</v>
      </c>
      <c r="O48">
        <f>SMALL(SimData1!$C$9:$C$108,43)</f>
        <v>353.89058308797337</v>
      </c>
      <c r="P48">
        <f>1/(COUNT(SimData1!$C$9:$C$108)-1)+$P$47</f>
        <v>0.42424242424242448</v>
      </c>
      <c r="Q48">
        <f>SMALL(SimData1!$D$9:$D$108,43)</f>
        <v>353.85392949588243</v>
      </c>
      <c r="R48">
        <f>1/(COUNT(SimData1!$D$9:$D$108)-1)+$R$47</f>
        <v>0.42424242424242448</v>
      </c>
      <c r="S48">
        <f>SMALL(SimData1!$E$9:$E$108,43)</f>
        <v>324.36284945016433</v>
      </c>
      <c r="T48">
        <f>1/(COUNT(SimData1!$E$9:$E$108)-1)+$T$47</f>
        <v>0.42424242424242448</v>
      </c>
      <c r="U48">
        <f>SMALL(SimData1!$F$9:$F$108,43)</f>
        <v>347.6975031247033</v>
      </c>
      <c r="V48">
        <f>1/(COUNT(SimData1!$F$9:$F$108)-1)+$V$47</f>
        <v>0.42424242424242448</v>
      </c>
      <c r="W48">
        <f>SMALL(SimData1!$G$9:$G$108,43)</f>
        <v>353.89058308797337</v>
      </c>
      <c r="X48">
        <f>1/(COUNT(SimData1!$G$9:$G$108)-1)+$X$47</f>
        <v>0.42424242424242448</v>
      </c>
      <c r="Y48">
        <f>SMALL(SimData1!$H$9:$H$108,43)</f>
        <v>353.85392949588243</v>
      </c>
      <c r="Z48">
        <f>1/(COUNT(SimData1!$H$9:$H$108)-1)+$Z$47</f>
        <v>0.42424242424242448</v>
      </c>
      <c r="AA48">
        <f>SMALL(SimData1!$I$9:$I$108,43)</f>
        <v>324.36284945016433</v>
      </c>
      <c r="AB48">
        <f>1/(COUNT(SimData1!$I$9:$I$108)-1)+$AB$47</f>
        <v>0.42424242424242448</v>
      </c>
    </row>
    <row r="49" spans="1:28">
      <c r="A49">
        <v>41</v>
      </c>
      <c r="B49">
        <v>362.02316017090249</v>
      </c>
      <c r="C49">
        <v>362.02316017090249</v>
      </c>
      <c r="D49">
        <v>326.39878004857621</v>
      </c>
      <c r="E49">
        <v>326.39878004857621</v>
      </c>
      <c r="F49">
        <v>362.02316017090249</v>
      </c>
      <c r="G49">
        <v>362.02316017090249</v>
      </c>
      <c r="H49">
        <v>326.39878004857621</v>
      </c>
      <c r="I49">
        <v>326.39878004857621</v>
      </c>
      <c r="M49">
        <f>SMALL(SimData1!$B$9:$B$108,44)</f>
        <v>347.79766581002815</v>
      </c>
      <c r="N49">
        <f>1/(COUNT(SimData1!$B$9:$B$108)-1)+$N$48</f>
        <v>0.43434343434343459</v>
      </c>
      <c r="O49">
        <f>SMALL(SimData1!$C$9:$C$108,44)</f>
        <v>354.41907532719563</v>
      </c>
      <c r="P49">
        <f>1/(COUNT(SimData1!$C$9:$C$108)-1)+$P$48</f>
        <v>0.43434343434343459</v>
      </c>
      <c r="Q49">
        <f>SMALL(SimData1!$D$9:$D$108,44)</f>
        <v>354.44253433191147</v>
      </c>
      <c r="R49">
        <f>1/(COUNT(SimData1!$D$9:$D$108)-1)+$R$48</f>
        <v>0.43434343434343459</v>
      </c>
      <c r="S49">
        <f>SMALL(SimData1!$E$9:$E$108,44)</f>
        <v>325.37083765668217</v>
      </c>
      <c r="T49">
        <f>1/(COUNT(SimData1!$E$9:$E$108)-1)+$T$48</f>
        <v>0.43434343434343459</v>
      </c>
      <c r="U49">
        <f>SMALL(SimData1!$F$9:$F$108,44)</f>
        <v>347.79766581002815</v>
      </c>
      <c r="V49">
        <f>1/(COUNT(SimData1!$F$9:$F$108)-1)+$V$48</f>
        <v>0.43434343434343459</v>
      </c>
      <c r="W49">
        <f>SMALL(SimData1!$G$9:$G$108,44)</f>
        <v>354.41907532719563</v>
      </c>
      <c r="X49">
        <f>1/(COUNT(SimData1!$G$9:$G$108)-1)+$X$48</f>
        <v>0.43434343434343459</v>
      </c>
      <c r="Y49">
        <f>SMALL(SimData1!$H$9:$H$108,44)</f>
        <v>354.44253433191147</v>
      </c>
      <c r="Z49">
        <f>1/(COUNT(SimData1!$H$9:$H$108)-1)+$Z$48</f>
        <v>0.43434343434343459</v>
      </c>
      <c r="AA49">
        <f>SMALL(SimData1!$I$9:$I$108,44)</f>
        <v>325.37083765668217</v>
      </c>
      <c r="AB49">
        <f>1/(COUNT(SimData1!$I$9:$I$108)-1)+$AB$48</f>
        <v>0.43434343434343459</v>
      </c>
    </row>
    <row r="50" spans="1:28">
      <c r="A50">
        <v>42</v>
      </c>
      <c r="B50">
        <v>340.07737461578233</v>
      </c>
      <c r="C50">
        <v>402.70797406733175</v>
      </c>
      <c r="D50">
        <v>374.45604493888658</v>
      </c>
      <c r="E50">
        <v>325.55917687568655</v>
      </c>
      <c r="F50">
        <v>340.07737461578233</v>
      </c>
      <c r="G50">
        <v>402.70797406733175</v>
      </c>
      <c r="H50">
        <v>374.45604493888658</v>
      </c>
      <c r="I50">
        <v>325.55917687568655</v>
      </c>
      <c r="M50">
        <f>SMALL(SimData1!$B$9:$B$108,45)</f>
        <v>347.81496725482987</v>
      </c>
      <c r="N50">
        <f>1/(COUNT(SimData1!$B$9:$B$108)-1)+$N$49</f>
        <v>0.4444444444444447</v>
      </c>
      <c r="O50">
        <f>SMALL(SimData1!$C$9:$C$108,45)</f>
        <v>354.46970226545216</v>
      </c>
      <c r="P50">
        <f>1/(COUNT(SimData1!$C$9:$C$108)-1)+$P$49</f>
        <v>0.4444444444444447</v>
      </c>
      <c r="Q50">
        <f>SMALL(SimData1!$D$9:$D$108,45)</f>
        <v>356.30482369739627</v>
      </c>
      <c r="R50">
        <f>1/(COUNT(SimData1!$D$9:$D$108)-1)+$R$49</f>
        <v>0.4444444444444447</v>
      </c>
      <c r="S50">
        <f>SMALL(SimData1!$E$9:$E$108,45)</f>
        <v>325.55917687568655</v>
      </c>
      <c r="T50">
        <f>1/(COUNT(SimData1!$E$9:$E$108)-1)+$T$49</f>
        <v>0.4444444444444447</v>
      </c>
      <c r="U50">
        <f>SMALL(SimData1!$F$9:$F$108,45)</f>
        <v>347.81496725482987</v>
      </c>
      <c r="V50">
        <f>1/(COUNT(SimData1!$F$9:$F$108)-1)+$V$49</f>
        <v>0.4444444444444447</v>
      </c>
      <c r="W50">
        <f>SMALL(SimData1!$G$9:$G$108,45)</f>
        <v>354.46970226545216</v>
      </c>
      <c r="X50">
        <f>1/(COUNT(SimData1!$G$9:$G$108)-1)+$X$49</f>
        <v>0.4444444444444447</v>
      </c>
      <c r="Y50">
        <f>SMALL(SimData1!$H$9:$H$108,45)</f>
        <v>356.30482369739627</v>
      </c>
      <c r="Z50">
        <f>1/(COUNT(SimData1!$H$9:$H$108)-1)+$Z$49</f>
        <v>0.4444444444444447</v>
      </c>
      <c r="AA50">
        <f>SMALL(SimData1!$I$9:$I$108,45)</f>
        <v>325.55917687568655</v>
      </c>
      <c r="AB50">
        <f>1/(COUNT(SimData1!$I$9:$I$108)-1)+$AB$49</f>
        <v>0.4444444444444447</v>
      </c>
    </row>
    <row r="51" spans="1:28">
      <c r="A51">
        <v>43</v>
      </c>
      <c r="B51">
        <v>362.13978897543979</v>
      </c>
      <c r="C51">
        <v>421.19938732780008</v>
      </c>
      <c r="D51">
        <v>366.89103158719018</v>
      </c>
      <c r="E51">
        <v>328.95166384303832</v>
      </c>
      <c r="F51">
        <v>362.13978897543979</v>
      </c>
      <c r="G51">
        <v>421.19938732780008</v>
      </c>
      <c r="H51">
        <v>366.89103158719018</v>
      </c>
      <c r="I51">
        <v>328.95166384303832</v>
      </c>
      <c r="M51">
        <f>SMALL(SimData1!$B$9:$B$108,46)</f>
        <v>348.78997363656725</v>
      </c>
      <c r="N51">
        <f>1/(COUNT(SimData1!$B$9:$B$108)-1)+$N$50</f>
        <v>0.45454545454545481</v>
      </c>
      <c r="O51">
        <f>SMALL(SimData1!$C$9:$C$108,46)</f>
        <v>355.43644145527674</v>
      </c>
      <c r="P51">
        <f>1/(COUNT(SimData1!$C$9:$C$108)-1)+$P$50</f>
        <v>0.45454545454545481</v>
      </c>
      <c r="Q51">
        <f>SMALL(SimData1!$D$9:$D$108,46)</f>
        <v>357.14878121789627</v>
      </c>
      <c r="R51">
        <f>1/(COUNT(SimData1!$D$9:$D$108)-1)+$R$50</f>
        <v>0.45454545454545481</v>
      </c>
      <c r="S51">
        <f>SMALL(SimData1!$E$9:$E$108,46)</f>
        <v>326.39878004857621</v>
      </c>
      <c r="T51">
        <f>1/(COUNT(SimData1!$E$9:$E$108)-1)+$T$50</f>
        <v>0.45454545454545481</v>
      </c>
      <c r="U51">
        <f>SMALL(SimData1!$F$9:$F$108,46)</f>
        <v>348.78997363656725</v>
      </c>
      <c r="V51">
        <f>1/(COUNT(SimData1!$F$9:$F$108)-1)+$V$50</f>
        <v>0.45454545454545481</v>
      </c>
      <c r="W51">
        <f>SMALL(SimData1!$G$9:$G$108,46)</f>
        <v>355.43644145527674</v>
      </c>
      <c r="X51">
        <f>1/(COUNT(SimData1!$G$9:$G$108)-1)+$X$50</f>
        <v>0.45454545454545481</v>
      </c>
      <c r="Y51">
        <f>SMALL(SimData1!$H$9:$H$108,46)</f>
        <v>357.14878121789627</v>
      </c>
      <c r="Z51">
        <f>1/(COUNT(SimData1!$H$9:$H$108)-1)+$Z$50</f>
        <v>0.45454545454545481</v>
      </c>
      <c r="AA51">
        <f>SMALL(SimData1!$I$9:$I$108,46)</f>
        <v>326.39878004857621</v>
      </c>
      <c r="AB51">
        <f>1/(COUNT(SimData1!$I$9:$I$108)-1)+$AB$50</f>
        <v>0.45454545454545481</v>
      </c>
    </row>
    <row r="52" spans="1:28">
      <c r="A52">
        <v>44</v>
      </c>
      <c r="B52">
        <v>362.74667149611173</v>
      </c>
      <c r="C52">
        <v>362.74667149611173</v>
      </c>
      <c r="D52">
        <v>396.38865837867945</v>
      </c>
      <c r="E52">
        <v>338.34971629391828</v>
      </c>
      <c r="F52">
        <v>362.74667149611173</v>
      </c>
      <c r="G52">
        <v>362.74667149611173</v>
      </c>
      <c r="H52">
        <v>396.38865837867945</v>
      </c>
      <c r="I52">
        <v>338.34971629391828</v>
      </c>
      <c r="M52">
        <f>SMALL(SimData1!$B$9:$B$108,47)</f>
        <v>348.85955272681144</v>
      </c>
      <c r="N52">
        <f>1/(COUNT(SimData1!$B$9:$B$108)-1)+$N$51</f>
        <v>0.46464646464646492</v>
      </c>
      <c r="O52">
        <f>SMALL(SimData1!$C$9:$C$108,47)</f>
        <v>355.62567518497423</v>
      </c>
      <c r="P52">
        <f>1/(COUNT(SimData1!$C$9:$C$108)-1)+$P$51</f>
        <v>0.46464646464646492</v>
      </c>
      <c r="Q52">
        <f>SMALL(SimData1!$D$9:$D$108,47)</f>
        <v>357.20998472174483</v>
      </c>
      <c r="R52">
        <f>1/(COUNT(SimData1!$D$9:$D$108)-1)+$R$51</f>
        <v>0.46464646464646492</v>
      </c>
      <c r="S52">
        <f>SMALL(SimData1!$E$9:$E$108,47)</f>
        <v>327.12654707399577</v>
      </c>
      <c r="T52">
        <f>1/(COUNT(SimData1!$E$9:$E$108)-1)+$T$51</f>
        <v>0.46464646464646492</v>
      </c>
      <c r="U52">
        <f>SMALL(SimData1!$F$9:$F$108,47)</f>
        <v>348.85955272681144</v>
      </c>
      <c r="V52">
        <f>1/(COUNT(SimData1!$F$9:$F$108)-1)+$V$51</f>
        <v>0.46464646464646492</v>
      </c>
      <c r="W52">
        <f>SMALL(SimData1!$G$9:$G$108,47)</f>
        <v>355.62567518497423</v>
      </c>
      <c r="X52">
        <f>1/(COUNT(SimData1!$G$9:$G$108)-1)+$X$51</f>
        <v>0.46464646464646492</v>
      </c>
      <c r="Y52">
        <f>SMALL(SimData1!$H$9:$H$108,47)</f>
        <v>357.20998472174483</v>
      </c>
      <c r="Z52">
        <f>1/(COUNT(SimData1!$H$9:$H$108)-1)+$Z$51</f>
        <v>0.46464646464646492</v>
      </c>
      <c r="AA52">
        <f>SMALL(SimData1!$I$9:$I$108,47)</f>
        <v>327.12654707399577</v>
      </c>
      <c r="AB52">
        <f>1/(COUNT(SimData1!$I$9:$I$108)-1)+$AB$51</f>
        <v>0.46464646464646492</v>
      </c>
    </row>
    <row r="53" spans="1:28">
      <c r="A53">
        <v>45</v>
      </c>
      <c r="B53">
        <v>392.99391930269684</v>
      </c>
      <c r="C53">
        <v>334.089407253118</v>
      </c>
      <c r="D53">
        <v>350.96401911831106</v>
      </c>
      <c r="E53">
        <v>350.96401911831106</v>
      </c>
      <c r="F53">
        <v>392.99391930269684</v>
      </c>
      <c r="G53">
        <v>334.089407253118</v>
      </c>
      <c r="H53">
        <v>350.96401911831106</v>
      </c>
      <c r="I53">
        <v>350.96401911831106</v>
      </c>
      <c r="M53">
        <f>SMALL(SimData1!$B$9:$B$108,48)</f>
        <v>349.19377278618322</v>
      </c>
      <c r="N53">
        <f>1/(COUNT(SimData1!$B$9:$B$108)-1)+$N$52</f>
        <v>0.47474747474747503</v>
      </c>
      <c r="O53">
        <f>SMALL(SimData1!$C$9:$C$108,48)</f>
        <v>355.84710405715333</v>
      </c>
      <c r="P53">
        <f>1/(COUNT(SimData1!$C$9:$C$108)-1)+$P$52</f>
        <v>0.47474747474747503</v>
      </c>
      <c r="Q53">
        <f>SMALL(SimData1!$D$9:$D$108,48)</f>
        <v>358.27595226792948</v>
      </c>
      <c r="R53">
        <f>1/(COUNT(SimData1!$D$9:$D$108)-1)+$R$52</f>
        <v>0.47474747474747503</v>
      </c>
      <c r="S53">
        <f>SMALL(SimData1!$E$9:$E$108,48)</f>
        <v>327.49410326257566</v>
      </c>
      <c r="T53">
        <f>1/(COUNT(SimData1!$E$9:$E$108)-1)+$T$52</f>
        <v>0.47474747474747503</v>
      </c>
      <c r="U53">
        <f>SMALL(SimData1!$F$9:$F$108,48)</f>
        <v>349.19377278618322</v>
      </c>
      <c r="V53">
        <f>1/(COUNT(SimData1!$F$9:$F$108)-1)+$V$52</f>
        <v>0.47474747474747503</v>
      </c>
      <c r="W53">
        <f>SMALL(SimData1!$G$9:$G$108,48)</f>
        <v>355.84710405715333</v>
      </c>
      <c r="X53">
        <f>1/(COUNT(SimData1!$G$9:$G$108)-1)+$X$52</f>
        <v>0.47474747474747503</v>
      </c>
      <c r="Y53">
        <f>SMALL(SimData1!$H$9:$H$108,48)</f>
        <v>358.27595226792948</v>
      </c>
      <c r="Z53">
        <f>1/(COUNT(SimData1!$H$9:$H$108)-1)+$Z$52</f>
        <v>0.47474747474747503</v>
      </c>
      <c r="AA53">
        <f>SMALL(SimData1!$I$9:$I$108,48)</f>
        <v>327.49410326257566</v>
      </c>
      <c r="AB53">
        <f>1/(COUNT(SimData1!$I$9:$I$108)-1)+$AB$52</f>
        <v>0.47474747474747503</v>
      </c>
    </row>
    <row r="54" spans="1:28">
      <c r="A54">
        <v>46</v>
      </c>
      <c r="B54">
        <v>344.93533126814469</v>
      </c>
      <c r="C54">
        <v>344.93533126814469</v>
      </c>
      <c r="D54">
        <v>385.26544387803074</v>
      </c>
      <c r="E54">
        <v>385.26544387803074</v>
      </c>
      <c r="F54">
        <v>344.93533126814469</v>
      </c>
      <c r="G54">
        <v>344.93533126814469</v>
      </c>
      <c r="H54">
        <v>385.26544387803074</v>
      </c>
      <c r="I54">
        <v>385.26544387803074</v>
      </c>
      <c r="M54">
        <f>SMALL(SimData1!$B$9:$B$108,49)</f>
        <v>350.5090434053489</v>
      </c>
      <c r="N54">
        <f>1/(COUNT(SimData1!$B$9:$B$108)-1)+$N$53</f>
        <v>0.48484848484848514</v>
      </c>
      <c r="O54">
        <f>SMALL(SimData1!$C$9:$C$108,49)</f>
        <v>356.89091822685003</v>
      </c>
      <c r="P54">
        <f>1/(COUNT(SimData1!$C$9:$C$108)-1)+$P$53</f>
        <v>0.48484848484848514</v>
      </c>
      <c r="Q54">
        <f>SMALL(SimData1!$D$9:$D$108,49)</f>
        <v>358.74350964656412</v>
      </c>
      <c r="R54">
        <f>1/(COUNT(SimData1!$D$9:$D$108)-1)+$R$53</f>
        <v>0.48484848484848514</v>
      </c>
      <c r="S54">
        <f>SMALL(SimData1!$E$9:$E$108,49)</f>
        <v>327.94038672182165</v>
      </c>
      <c r="T54">
        <f>1/(COUNT(SimData1!$E$9:$E$108)-1)+$T$53</f>
        <v>0.48484848484848514</v>
      </c>
      <c r="U54">
        <f>SMALL(SimData1!$F$9:$F$108,49)</f>
        <v>350.5090434053489</v>
      </c>
      <c r="V54">
        <f>1/(COUNT(SimData1!$F$9:$F$108)-1)+$V$53</f>
        <v>0.48484848484848514</v>
      </c>
      <c r="W54">
        <f>SMALL(SimData1!$G$9:$G$108,49)</f>
        <v>356.89091822685003</v>
      </c>
      <c r="X54">
        <f>1/(COUNT(SimData1!$G$9:$G$108)-1)+$X$53</f>
        <v>0.48484848484848514</v>
      </c>
      <c r="Y54">
        <f>SMALL(SimData1!$H$9:$H$108,49)</f>
        <v>358.74350964656412</v>
      </c>
      <c r="Z54">
        <f>1/(COUNT(SimData1!$H$9:$H$108)-1)+$Z$53</f>
        <v>0.48484848484848514</v>
      </c>
      <c r="AA54">
        <f>SMALL(SimData1!$I$9:$I$108,49)</f>
        <v>327.94038672182165</v>
      </c>
      <c r="AB54">
        <f>1/(COUNT(SimData1!$I$9:$I$108)-1)+$AB$53</f>
        <v>0.48484848484848514</v>
      </c>
    </row>
    <row r="55" spans="1:28">
      <c r="A55">
        <v>47</v>
      </c>
      <c r="B55">
        <v>374.57637298960231</v>
      </c>
      <c r="C55">
        <v>446.73824216074047</v>
      </c>
      <c r="D55">
        <v>446.73824216074047</v>
      </c>
      <c r="E55">
        <v>351.5984187126694</v>
      </c>
      <c r="F55">
        <v>374.57637298960231</v>
      </c>
      <c r="G55">
        <v>446.73824216074047</v>
      </c>
      <c r="H55">
        <v>446.73824216074047</v>
      </c>
      <c r="I55">
        <v>351.5984187126694</v>
      </c>
      <c r="M55">
        <f>SMALL(SimData1!$B$9:$B$108,50)</f>
        <v>352.25101005169165</v>
      </c>
      <c r="N55">
        <f>1/(COUNT(SimData1!$B$9:$B$108)-1)+$N$54</f>
        <v>0.49494949494949525</v>
      </c>
      <c r="O55">
        <f>SMALL(SimData1!$C$9:$C$108,50)</f>
        <v>357.14878121789627</v>
      </c>
      <c r="P55">
        <f>1/(COUNT(SimData1!$C$9:$C$108)-1)+$P$54</f>
        <v>0.49494949494949525</v>
      </c>
      <c r="Q55">
        <f>SMALL(SimData1!$D$9:$D$108,50)</f>
        <v>359.93172061083339</v>
      </c>
      <c r="R55">
        <f>1/(COUNT(SimData1!$D$9:$D$108)-1)+$R$54</f>
        <v>0.49494949494949525</v>
      </c>
      <c r="S55">
        <f>SMALL(SimData1!$E$9:$E$108,50)</f>
        <v>328.95166384303832</v>
      </c>
      <c r="T55">
        <f>1/(COUNT(SimData1!$E$9:$E$108)-1)+$T$54</f>
        <v>0.49494949494949525</v>
      </c>
      <c r="U55">
        <f>SMALL(SimData1!$F$9:$F$108,50)</f>
        <v>352.25101005169165</v>
      </c>
      <c r="V55">
        <f>1/(COUNT(SimData1!$F$9:$F$108)-1)+$V$54</f>
        <v>0.49494949494949525</v>
      </c>
      <c r="W55">
        <f>SMALL(SimData1!$G$9:$G$108,50)</f>
        <v>357.14878121789627</v>
      </c>
      <c r="X55">
        <f>1/(COUNT(SimData1!$G$9:$G$108)-1)+$X$54</f>
        <v>0.49494949494949525</v>
      </c>
      <c r="Y55">
        <f>SMALL(SimData1!$H$9:$H$108,50)</f>
        <v>359.93172061083339</v>
      </c>
      <c r="Z55">
        <f>1/(COUNT(SimData1!$H$9:$H$108)-1)+$Z$54</f>
        <v>0.49494949494949525</v>
      </c>
      <c r="AA55">
        <f>SMALL(SimData1!$I$9:$I$108,50)</f>
        <v>328.95166384303832</v>
      </c>
      <c r="AB55">
        <f>1/(COUNT(SimData1!$I$9:$I$108)-1)+$AB$54</f>
        <v>0.49494949494949525</v>
      </c>
    </row>
    <row r="56" spans="1:28">
      <c r="A56">
        <v>48</v>
      </c>
      <c r="B56">
        <v>386.22117914756183</v>
      </c>
      <c r="C56">
        <v>421.56669171684717</v>
      </c>
      <c r="D56">
        <v>371.33545674899597</v>
      </c>
      <c r="E56">
        <v>371.33545674899597</v>
      </c>
      <c r="F56">
        <v>386.22117914756183</v>
      </c>
      <c r="G56">
        <v>421.56669171684717</v>
      </c>
      <c r="H56">
        <v>371.33545674899597</v>
      </c>
      <c r="I56">
        <v>371.33545674899597</v>
      </c>
      <c r="M56">
        <f>SMALL(SimData1!$B$9:$B$108,51)</f>
        <v>352.41267249646319</v>
      </c>
      <c r="N56">
        <f>1/(COUNT(SimData1!$B$9:$B$108)-1)+$N$55</f>
        <v>0.50505050505050531</v>
      </c>
      <c r="O56">
        <f>SMALL(SimData1!$C$9:$C$108,51)</f>
        <v>357.96134333968928</v>
      </c>
      <c r="P56">
        <f>1/(COUNT(SimData1!$C$9:$C$108)-1)+$P$55</f>
        <v>0.50505050505050531</v>
      </c>
      <c r="Q56">
        <f>SMALL(SimData1!$D$9:$D$108,51)</f>
        <v>360.85025647807811</v>
      </c>
      <c r="R56">
        <f>1/(COUNT(SimData1!$D$9:$D$108)-1)+$R$55</f>
        <v>0.50505050505050531</v>
      </c>
      <c r="S56">
        <f>SMALL(SimData1!$E$9:$E$108,51)</f>
        <v>329.12971059516741</v>
      </c>
      <c r="T56">
        <f>1/(COUNT(SimData1!$E$9:$E$108)-1)+$T$55</f>
        <v>0.50505050505050531</v>
      </c>
      <c r="U56">
        <f>SMALL(SimData1!$F$9:$F$108,51)</f>
        <v>352.41267249646319</v>
      </c>
      <c r="V56">
        <f>1/(COUNT(SimData1!$F$9:$F$108)-1)+$V$55</f>
        <v>0.50505050505050531</v>
      </c>
      <c r="W56">
        <f>SMALL(SimData1!$G$9:$G$108,51)</f>
        <v>357.96134333968928</v>
      </c>
      <c r="X56">
        <f>1/(COUNT(SimData1!$G$9:$G$108)-1)+$X$55</f>
        <v>0.50505050505050531</v>
      </c>
      <c r="Y56">
        <f>SMALL(SimData1!$H$9:$H$108,51)</f>
        <v>360.85025647807811</v>
      </c>
      <c r="Z56">
        <f>1/(COUNT(SimData1!$H$9:$H$108)-1)+$Z$55</f>
        <v>0.50505050505050531</v>
      </c>
      <c r="AA56">
        <f>SMALL(SimData1!$I$9:$I$108,51)</f>
        <v>329.12971059516741</v>
      </c>
      <c r="AB56">
        <f>1/(COUNT(SimData1!$I$9:$I$108)-1)+$AB$55</f>
        <v>0.50505050505050531</v>
      </c>
    </row>
    <row r="57" spans="1:28">
      <c r="A57">
        <v>49</v>
      </c>
      <c r="B57">
        <v>341.2739699796216</v>
      </c>
      <c r="C57">
        <v>341.2739699796216</v>
      </c>
      <c r="D57">
        <v>320.25481189477586</v>
      </c>
      <c r="E57">
        <v>272.05192698454374</v>
      </c>
      <c r="F57">
        <v>341.2739699796216</v>
      </c>
      <c r="G57">
        <v>341.2739699796216</v>
      </c>
      <c r="H57">
        <v>320.25481189477586</v>
      </c>
      <c r="I57">
        <v>272.05192698454374</v>
      </c>
      <c r="M57">
        <f>SMALL(SimData1!$B$9:$B$108,52)</f>
        <v>353.65059705102368</v>
      </c>
      <c r="N57">
        <f>1/(COUNT(SimData1!$B$9:$B$108)-1)+$N$56</f>
        <v>0.51515151515151536</v>
      </c>
      <c r="O57">
        <f>SMALL(SimData1!$C$9:$C$108,52)</f>
        <v>358.74350964656412</v>
      </c>
      <c r="P57">
        <f>1/(COUNT(SimData1!$C$9:$C$108)-1)+$P$56</f>
        <v>0.51515151515151536</v>
      </c>
      <c r="Q57">
        <f>SMALL(SimData1!$D$9:$D$108,52)</f>
        <v>361.10403185453026</v>
      </c>
      <c r="R57">
        <f>1/(COUNT(SimData1!$D$9:$D$108)-1)+$R$56</f>
        <v>0.51515151515151536</v>
      </c>
      <c r="S57">
        <f>SMALL(SimData1!$E$9:$E$108,52)</f>
        <v>329.47405381123224</v>
      </c>
      <c r="T57">
        <f>1/(COUNT(SimData1!$E$9:$E$108)-1)+$T$56</f>
        <v>0.51515151515151536</v>
      </c>
      <c r="U57">
        <f>SMALL(SimData1!$F$9:$F$108,52)</f>
        <v>353.65059705102368</v>
      </c>
      <c r="V57">
        <f>1/(COUNT(SimData1!$F$9:$F$108)-1)+$V$56</f>
        <v>0.51515151515151536</v>
      </c>
      <c r="W57">
        <f>SMALL(SimData1!$G$9:$G$108,52)</f>
        <v>358.74350964656412</v>
      </c>
      <c r="X57">
        <f>1/(COUNT(SimData1!$G$9:$G$108)-1)+$X$56</f>
        <v>0.51515151515151536</v>
      </c>
      <c r="Y57">
        <f>SMALL(SimData1!$H$9:$H$108,52)</f>
        <v>361.10403185453026</v>
      </c>
      <c r="Z57">
        <f>1/(COUNT(SimData1!$H$9:$H$108)-1)+$Z$56</f>
        <v>0.51515151515151536</v>
      </c>
      <c r="AA57">
        <f>SMALL(SimData1!$I$9:$I$108,52)</f>
        <v>329.47405381123224</v>
      </c>
      <c r="AB57">
        <f>1/(COUNT(SimData1!$I$9:$I$108)-1)+$AB$56</f>
        <v>0.51515151515151536</v>
      </c>
    </row>
    <row r="58" spans="1:28">
      <c r="A58">
        <v>50</v>
      </c>
      <c r="B58">
        <v>323.13899273982827</v>
      </c>
      <c r="C58">
        <v>323.13899273982827</v>
      </c>
      <c r="D58">
        <v>313.45556079653613</v>
      </c>
      <c r="E58">
        <v>313.45556079653613</v>
      </c>
      <c r="F58">
        <v>323.13899273982827</v>
      </c>
      <c r="G58">
        <v>323.13899273982827</v>
      </c>
      <c r="H58">
        <v>313.45556079653613</v>
      </c>
      <c r="I58">
        <v>313.45556079653613</v>
      </c>
      <c r="M58">
        <f>SMALL(SimData1!$B$9:$B$108,53)</f>
        <v>353.89058308797337</v>
      </c>
      <c r="N58">
        <f>1/(COUNT(SimData1!$B$9:$B$108)-1)+$N$57</f>
        <v>0.52525252525252542</v>
      </c>
      <c r="O58">
        <f>SMALL(SimData1!$C$9:$C$108,53)</f>
        <v>359.54505071773542</v>
      </c>
      <c r="P58">
        <f>1/(COUNT(SimData1!$C$9:$C$108)-1)+$P$57</f>
        <v>0.52525252525252542</v>
      </c>
      <c r="Q58">
        <f>SMALL(SimData1!$D$9:$D$108,53)</f>
        <v>361.27746338157783</v>
      </c>
      <c r="R58">
        <f>1/(COUNT(SimData1!$D$9:$D$108)-1)+$R$57</f>
        <v>0.52525252525252542</v>
      </c>
      <c r="S58">
        <f>SMALL(SimData1!$E$9:$E$108,53)</f>
        <v>331.22218223135013</v>
      </c>
      <c r="T58">
        <f>1/(COUNT(SimData1!$E$9:$E$108)-1)+$T$57</f>
        <v>0.52525252525252542</v>
      </c>
      <c r="U58">
        <f>SMALL(SimData1!$F$9:$F$108,53)</f>
        <v>353.89058308797337</v>
      </c>
      <c r="V58">
        <f>1/(COUNT(SimData1!$F$9:$F$108)-1)+$V$57</f>
        <v>0.52525252525252542</v>
      </c>
      <c r="W58">
        <f>SMALL(SimData1!$G$9:$G$108,53)</f>
        <v>359.54505071773542</v>
      </c>
      <c r="X58">
        <f>1/(COUNT(SimData1!$G$9:$G$108)-1)+$X$57</f>
        <v>0.52525252525252542</v>
      </c>
      <c r="Y58">
        <f>SMALL(SimData1!$H$9:$H$108,53)</f>
        <v>361.27746338157783</v>
      </c>
      <c r="Z58">
        <f>1/(COUNT(SimData1!$H$9:$H$108)-1)+$Z$57</f>
        <v>0.52525252525252542</v>
      </c>
      <c r="AA58">
        <f>SMALL(SimData1!$I$9:$I$108,53)</f>
        <v>331.22218223135013</v>
      </c>
      <c r="AB58">
        <f>1/(COUNT(SimData1!$I$9:$I$108)-1)+$AB$57</f>
        <v>0.52525252525252542</v>
      </c>
    </row>
    <row r="59" spans="1:28">
      <c r="A59">
        <v>51</v>
      </c>
      <c r="B59">
        <v>364.75977365043605</v>
      </c>
      <c r="C59">
        <v>426.78090691962024</v>
      </c>
      <c r="D59">
        <v>426.78090691962024</v>
      </c>
      <c r="E59">
        <v>337.73319057370793</v>
      </c>
      <c r="F59">
        <v>364.75977365043605</v>
      </c>
      <c r="G59">
        <v>426.78090691962024</v>
      </c>
      <c r="H59">
        <v>426.78090691962024</v>
      </c>
      <c r="I59">
        <v>337.73319057370793</v>
      </c>
      <c r="M59">
        <f>SMALL(SimData1!$B$9:$B$108,54)</f>
        <v>354.15777811820243</v>
      </c>
      <c r="N59">
        <f>1/(COUNT(SimData1!$B$9:$B$108)-1)+$N$58</f>
        <v>0.53535353535353547</v>
      </c>
      <c r="O59">
        <f>SMALL(SimData1!$C$9:$C$108,54)</f>
        <v>360.52339383233539</v>
      </c>
      <c r="P59">
        <f>1/(COUNT(SimData1!$C$9:$C$108)-1)+$P$58</f>
        <v>0.53535353535353547</v>
      </c>
      <c r="Q59">
        <f>SMALL(SimData1!$D$9:$D$108,54)</f>
        <v>361.41358938254803</v>
      </c>
      <c r="R59">
        <f>1/(COUNT(SimData1!$D$9:$D$108)-1)+$R$58</f>
        <v>0.53535353535353547</v>
      </c>
      <c r="S59">
        <f>SMALL(SimData1!$E$9:$E$108,54)</f>
        <v>333.08843903278881</v>
      </c>
      <c r="T59">
        <f>1/(COUNT(SimData1!$E$9:$E$108)-1)+$T$58</f>
        <v>0.53535353535353547</v>
      </c>
      <c r="U59">
        <f>SMALL(SimData1!$F$9:$F$108,54)</f>
        <v>354.15777811820243</v>
      </c>
      <c r="V59">
        <f>1/(COUNT(SimData1!$F$9:$F$108)-1)+$V$58</f>
        <v>0.53535353535353547</v>
      </c>
      <c r="W59">
        <f>SMALL(SimData1!$G$9:$G$108,54)</f>
        <v>360.52339383233539</v>
      </c>
      <c r="X59">
        <f>1/(COUNT(SimData1!$G$9:$G$108)-1)+$X$58</f>
        <v>0.53535353535353547</v>
      </c>
      <c r="Y59">
        <f>SMALL(SimData1!$H$9:$H$108,54)</f>
        <v>361.41358938254803</v>
      </c>
      <c r="Z59">
        <f>1/(COUNT(SimData1!$H$9:$H$108)-1)+$Z$58</f>
        <v>0.53535353535353547</v>
      </c>
      <c r="AA59">
        <f>SMALL(SimData1!$I$9:$I$108,54)</f>
        <v>333.08843903278881</v>
      </c>
      <c r="AB59">
        <f>1/(COUNT(SimData1!$I$9:$I$108)-1)+$AB$58</f>
        <v>0.53535353535353547</v>
      </c>
    </row>
    <row r="60" spans="1:28">
      <c r="A60">
        <v>52</v>
      </c>
      <c r="B60">
        <v>341.13003040661528</v>
      </c>
      <c r="C60">
        <v>406.8289713272826</v>
      </c>
      <c r="D60">
        <v>406.8289713272826</v>
      </c>
      <c r="E60">
        <v>343.92436029717953</v>
      </c>
      <c r="F60">
        <v>341.13003040661528</v>
      </c>
      <c r="G60">
        <v>406.8289713272826</v>
      </c>
      <c r="H60">
        <v>406.8289713272826</v>
      </c>
      <c r="I60">
        <v>343.92436029717953</v>
      </c>
      <c r="M60">
        <f>SMALL(SimData1!$B$9:$B$108,55)</f>
        <v>354.30276324800445</v>
      </c>
      <c r="N60">
        <f>1/(COUNT(SimData1!$B$9:$B$108)-1)+$N$59</f>
        <v>0.54545454545454553</v>
      </c>
      <c r="O60">
        <f>SMALL(SimData1!$C$9:$C$108,55)</f>
        <v>360.85025647807811</v>
      </c>
      <c r="P60">
        <f>1/(COUNT(SimData1!$C$9:$C$108)-1)+$P$59</f>
        <v>0.54545454545454553</v>
      </c>
      <c r="Q60">
        <f>SMALL(SimData1!$D$9:$D$108,55)</f>
        <v>361.45709263939597</v>
      </c>
      <c r="R60">
        <f>1/(COUNT(SimData1!$D$9:$D$108)-1)+$R$59</f>
        <v>0.54545454545454553</v>
      </c>
      <c r="S60">
        <f>SMALL(SimData1!$E$9:$E$108,55)</f>
        <v>333.32257093994201</v>
      </c>
      <c r="T60">
        <f>1/(COUNT(SimData1!$E$9:$E$108)-1)+$T$59</f>
        <v>0.54545454545454553</v>
      </c>
      <c r="U60">
        <f>SMALL(SimData1!$F$9:$F$108,55)</f>
        <v>354.30276324800445</v>
      </c>
      <c r="V60">
        <f>1/(COUNT(SimData1!$F$9:$F$108)-1)+$V$59</f>
        <v>0.54545454545454553</v>
      </c>
      <c r="W60">
        <f>SMALL(SimData1!$G$9:$G$108,55)</f>
        <v>360.85025647807811</v>
      </c>
      <c r="X60">
        <f>1/(COUNT(SimData1!$G$9:$G$108)-1)+$X$59</f>
        <v>0.54545454545454553</v>
      </c>
      <c r="Y60">
        <f>SMALL(SimData1!$H$9:$H$108,55)</f>
        <v>361.45709263939597</v>
      </c>
      <c r="Z60">
        <f>1/(COUNT(SimData1!$H$9:$H$108)-1)+$Z$59</f>
        <v>0.54545454545454553</v>
      </c>
      <c r="AA60">
        <f>SMALL(SimData1!$I$9:$I$108,55)</f>
        <v>333.32257093994201</v>
      </c>
      <c r="AB60">
        <f>1/(COUNT(SimData1!$I$9:$I$108)-1)+$AB$59</f>
        <v>0.54545454545454553</v>
      </c>
    </row>
    <row r="61" spans="1:28">
      <c r="A61">
        <v>53</v>
      </c>
      <c r="B61">
        <v>338.61680817748771</v>
      </c>
      <c r="C61">
        <v>412.79137095256544</v>
      </c>
      <c r="D61">
        <v>374.4654857726502</v>
      </c>
      <c r="E61">
        <v>374.4654857726502</v>
      </c>
      <c r="F61">
        <v>338.61680817748771</v>
      </c>
      <c r="G61">
        <v>412.79137095256544</v>
      </c>
      <c r="H61">
        <v>374.4654857726502</v>
      </c>
      <c r="I61">
        <v>374.4654857726502</v>
      </c>
      <c r="M61">
        <f>SMALL(SimData1!$B$9:$B$108,56)</f>
        <v>354.41907532719563</v>
      </c>
      <c r="N61">
        <f>1/(COUNT(SimData1!$B$9:$B$108)-1)+$N$60</f>
        <v>0.55555555555555558</v>
      </c>
      <c r="O61">
        <f>SMALL(SimData1!$C$9:$C$108,56)</f>
        <v>362.02316017090249</v>
      </c>
      <c r="P61">
        <f>1/(COUNT(SimData1!$C$9:$C$108)-1)+$P$60</f>
        <v>0.55555555555555558</v>
      </c>
      <c r="Q61">
        <f>SMALL(SimData1!$D$9:$D$108,56)</f>
        <v>361.48988694722084</v>
      </c>
      <c r="R61">
        <f>1/(COUNT(SimData1!$D$9:$D$108)-1)+$R$60</f>
        <v>0.55555555555555558</v>
      </c>
      <c r="S61">
        <f>SMALL(SimData1!$E$9:$E$108,56)</f>
        <v>333.62974711691282</v>
      </c>
      <c r="T61">
        <f>1/(COUNT(SimData1!$E$9:$E$108)-1)+$T$60</f>
        <v>0.55555555555555558</v>
      </c>
      <c r="U61">
        <f>SMALL(SimData1!$F$9:$F$108,56)</f>
        <v>354.41907532719563</v>
      </c>
      <c r="V61">
        <f>1/(COUNT(SimData1!$F$9:$F$108)-1)+$V$60</f>
        <v>0.55555555555555558</v>
      </c>
      <c r="W61">
        <f>SMALL(SimData1!$G$9:$G$108,56)</f>
        <v>362.02316017090249</v>
      </c>
      <c r="X61">
        <f>1/(COUNT(SimData1!$G$9:$G$108)-1)+$X$60</f>
        <v>0.55555555555555558</v>
      </c>
      <c r="Y61">
        <f>SMALL(SimData1!$H$9:$H$108,56)</f>
        <v>361.48988694722084</v>
      </c>
      <c r="Z61">
        <f>1/(COUNT(SimData1!$H$9:$H$108)-1)+$Z$60</f>
        <v>0.55555555555555558</v>
      </c>
      <c r="AA61">
        <f>SMALL(SimData1!$I$9:$I$108,56)</f>
        <v>333.62974711691282</v>
      </c>
      <c r="AB61">
        <f>1/(COUNT(SimData1!$I$9:$I$108)-1)+$AB$60</f>
        <v>0.55555555555555558</v>
      </c>
    </row>
    <row r="62" spans="1:28">
      <c r="A62">
        <v>54</v>
      </c>
      <c r="B62">
        <v>341.78466059610616</v>
      </c>
      <c r="C62">
        <v>375.39938897606095</v>
      </c>
      <c r="D62">
        <v>375.39938897606095</v>
      </c>
      <c r="E62">
        <v>321.8109316703185</v>
      </c>
      <c r="F62">
        <v>341.78466059610616</v>
      </c>
      <c r="G62">
        <v>375.39938897606095</v>
      </c>
      <c r="H62">
        <v>375.39938897606095</v>
      </c>
      <c r="I62">
        <v>321.8109316703185</v>
      </c>
      <c r="M62">
        <f>SMALL(SimData1!$B$9:$B$108,57)</f>
        <v>354.46970226545216</v>
      </c>
      <c r="N62">
        <f>1/(COUNT(SimData1!$B$9:$B$108)-1)+$N$61</f>
        <v>0.56565656565656564</v>
      </c>
      <c r="O62">
        <f>SMALL(SimData1!$C$9:$C$108,57)</f>
        <v>362.74667149611173</v>
      </c>
      <c r="P62">
        <f>1/(COUNT(SimData1!$C$9:$C$108)-1)+$P$61</f>
        <v>0.56565656565656564</v>
      </c>
      <c r="Q62">
        <f>SMALL(SimData1!$D$9:$D$108,57)</f>
        <v>362.7521701953134</v>
      </c>
      <c r="R62">
        <f>1/(COUNT(SimData1!$D$9:$D$108)-1)+$R$61</f>
        <v>0.56565656565656564</v>
      </c>
      <c r="S62">
        <f>SMALL(SimData1!$E$9:$E$108,57)</f>
        <v>337.72411492696403</v>
      </c>
      <c r="T62">
        <f>1/(COUNT(SimData1!$E$9:$E$108)-1)+$T$61</f>
        <v>0.56565656565656564</v>
      </c>
      <c r="U62">
        <f>SMALL(SimData1!$F$9:$F$108,57)</f>
        <v>354.46970226545216</v>
      </c>
      <c r="V62">
        <f>1/(COUNT(SimData1!$F$9:$F$108)-1)+$V$61</f>
        <v>0.56565656565656564</v>
      </c>
      <c r="W62">
        <f>SMALL(SimData1!$G$9:$G$108,57)</f>
        <v>362.74667149611173</v>
      </c>
      <c r="X62">
        <f>1/(COUNT(SimData1!$G$9:$G$108)-1)+$X$61</f>
        <v>0.56565656565656564</v>
      </c>
      <c r="Y62">
        <f>SMALL(SimData1!$H$9:$H$108,57)</f>
        <v>362.7521701953134</v>
      </c>
      <c r="Z62">
        <f>1/(COUNT(SimData1!$H$9:$H$108)-1)+$Z$61</f>
        <v>0.56565656565656564</v>
      </c>
      <c r="AA62">
        <f>SMALL(SimData1!$I$9:$I$108,57)</f>
        <v>337.72411492696403</v>
      </c>
      <c r="AB62">
        <f>1/(COUNT(SimData1!$I$9:$I$108)-1)+$AB$61</f>
        <v>0.56565656565656564</v>
      </c>
    </row>
    <row r="63" spans="1:28">
      <c r="A63">
        <v>55</v>
      </c>
      <c r="B63">
        <v>338.72977057487196</v>
      </c>
      <c r="C63">
        <v>350.1306824022713</v>
      </c>
      <c r="D63">
        <v>281.9424582448803</v>
      </c>
      <c r="E63">
        <v>281.9424582448803</v>
      </c>
      <c r="F63">
        <v>338.72977057487196</v>
      </c>
      <c r="G63">
        <v>350.1306824022713</v>
      </c>
      <c r="H63">
        <v>281.9424582448803</v>
      </c>
      <c r="I63">
        <v>281.9424582448803</v>
      </c>
      <c r="M63">
        <f>SMALL(SimData1!$B$9:$B$108,58)</f>
        <v>355.43644145527674</v>
      </c>
      <c r="N63">
        <f>1/(COUNT(SimData1!$B$9:$B$108)-1)+$N$62</f>
        <v>0.57575757575757569</v>
      </c>
      <c r="O63">
        <f>SMALL(SimData1!$C$9:$C$108,58)</f>
        <v>363.27214705849366</v>
      </c>
      <c r="P63">
        <f>1/(COUNT(SimData1!$C$9:$C$108)-1)+$P$62</f>
        <v>0.57575757575757569</v>
      </c>
      <c r="Q63">
        <f>SMALL(SimData1!$D$9:$D$108,58)</f>
        <v>364.38194959960668</v>
      </c>
      <c r="R63">
        <f>1/(COUNT(SimData1!$D$9:$D$108)-1)+$R$62</f>
        <v>0.57575757575757569</v>
      </c>
      <c r="S63">
        <f>SMALL(SimData1!$E$9:$E$108,58)</f>
        <v>337.73319057370793</v>
      </c>
      <c r="T63">
        <f>1/(COUNT(SimData1!$E$9:$E$108)-1)+$T$62</f>
        <v>0.57575757575757569</v>
      </c>
      <c r="U63">
        <f>SMALL(SimData1!$F$9:$F$108,58)</f>
        <v>355.43644145527674</v>
      </c>
      <c r="V63">
        <f>1/(COUNT(SimData1!$F$9:$F$108)-1)+$V$62</f>
        <v>0.57575757575757569</v>
      </c>
      <c r="W63">
        <f>SMALL(SimData1!$G$9:$G$108,58)</f>
        <v>363.27214705849366</v>
      </c>
      <c r="X63">
        <f>1/(COUNT(SimData1!$G$9:$G$108)-1)+$X$62</f>
        <v>0.57575757575757569</v>
      </c>
      <c r="Y63">
        <f>SMALL(SimData1!$H$9:$H$108,58)</f>
        <v>364.38194959960668</v>
      </c>
      <c r="Z63">
        <f>1/(COUNT(SimData1!$H$9:$H$108)-1)+$Z$62</f>
        <v>0.57575757575757569</v>
      </c>
      <c r="AA63">
        <f>SMALL(SimData1!$I$9:$I$108,58)</f>
        <v>337.73319057370793</v>
      </c>
      <c r="AB63">
        <f>1/(COUNT(SimData1!$I$9:$I$108)-1)+$AB$62</f>
        <v>0.57575757575757569</v>
      </c>
    </row>
    <row r="64" spans="1:28">
      <c r="A64">
        <v>56</v>
      </c>
      <c r="B64">
        <v>357.96134333968928</v>
      </c>
      <c r="C64">
        <v>357.96134333968928</v>
      </c>
      <c r="D64">
        <v>346.73756480080431</v>
      </c>
      <c r="E64">
        <v>271.09756882774445</v>
      </c>
      <c r="F64">
        <v>357.96134333968928</v>
      </c>
      <c r="G64">
        <v>357.96134333968928</v>
      </c>
      <c r="H64">
        <v>346.73756480080431</v>
      </c>
      <c r="I64">
        <v>271.09756882774445</v>
      </c>
      <c r="M64">
        <f>SMALL(SimData1!$B$9:$B$108,59)</f>
        <v>355.62567518497423</v>
      </c>
      <c r="N64">
        <f>1/(COUNT(SimData1!$B$9:$B$108)-1)+$N$63</f>
        <v>0.58585858585858575</v>
      </c>
      <c r="O64">
        <f>SMALL(SimData1!$C$9:$C$108,59)</f>
        <v>363.40856575271692</v>
      </c>
      <c r="P64">
        <f>1/(COUNT(SimData1!$C$9:$C$108)-1)+$P$63</f>
        <v>0.58585858585858575</v>
      </c>
      <c r="Q64">
        <f>SMALL(SimData1!$D$9:$D$108,59)</f>
        <v>365.68171197715435</v>
      </c>
      <c r="R64">
        <f>1/(COUNT(SimData1!$D$9:$D$108)-1)+$R$63</f>
        <v>0.58585858585858575</v>
      </c>
      <c r="S64">
        <f>SMALL(SimData1!$E$9:$E$108,59)</f>
        <v>337.89497514177606</v>
      </c>
      <c r="T64">
        <f>1/(COUNT(SimData1!$E$9:$E$108)-1)+$T$63</f>
        <v>0.58585858585858575</v>
      </c>
      <c r="U64">
        <f>SMALL(SimData1!$F$9:$F$108,59)</f>
        <v>355.62567518497423</v>
      </c>
      <c r="V64">
        <f>1/(COUNT(SimData1!$F$9:$F$108)-1)+$V$63</f>
        <v>0.58585858585858575</v>
      </c>
      <c r="W64">
        <f>SMALL(SimData1!$G$9:$G$108,59)</f>
        <v>363.40856575271692</v>
      </c>
      <c r="X64">
        <f>1/(COUNT(SimData1!$G$9:$G$108)-1)+$X$63</f>
        <v>0.58585858585858575</v>
      </c>
      <c r="Y64">
        <f>SMALL(SimData1!$H$9:$H$108,59)</f>
        <v>365.68171197715435</v>
      </c>
      <c r="Z64">
        <f>1/(COUNT(SimData1!$H$9:$H$108)-1)+$Z$63</f>
        <v>0.58585858585858575</v>
      </c>
      <c r="AA64">
        <f>SMALL(SimData1!$I$9:$I$108,59)</f>
        <v>337.89497514177606</v>
      </c>
      <c r="AB64">
        <f>1/(COUNT(SimData1!$I$9:$I$108)-1)+$AB$63</f>
        <v>0.58585858585858575</v>
      </c>
    </row>
    <row r="65" spans="1:28">
      <c r="A65">
        <v>57</v>
      </c>
      <c r="B65">
        <v>347.79766581002815</v>
      </c>
      <c r="C65">
        <v>347.37068347328665</v>
      </c>
      <c r="D65">
        <v>378.41617530270213</v>
      </c>
      <c r="E65">
        <v>310.02628656824754</v>
      </c>
      <c r="F65">
        <v>347.79766581002815</v>
      </c>
      <c r="G65">
        <v>347.37068347328665</v>
      </c>
      <c r="H65">
        <v>378.41617530270213</v>
      </c>
      <c r="I65">
        <v>310.02628656824754</v>
      </c>
      <c r="M65">
        <f>SMALL(SimData1!$B$9:$B$108,60)</f>
        <v>355.84710405715333</v>
      </c>
      <c r="N65">
        <f>1/(COUNT(SimData1!$B$9:$B$108)-1)+$N$64</f>
        <v>0.5959595959595958</v>
      </c>
      <c r="O65">
        <f>SMALL(SimData1!$C$9:$C$108,60)</f>
        <v>373.4978728117926</v>
      </c>
      <c r="P65">
        <f>1/(COUNT(SimData1!$C$9:$C$108)-1)+$P$64</f>
        <v>0.5959595959595958</v>
      </c>
      <c r="Q65">
        <f>SMALL(SimData1!$D$9:$D$108,60)</f>
        <v>366.89103158719018</v>
      </c>
      <c r="R65">
        <f>1/(COUNT(SimData1!$D$9:$D$108)-1)+$R$64</f>
        <v>0.5959595959595958</v>
      </c>
      <c r="S65">
        <f>SMALL(SimData1!$E$9:$E$108,60)</f>
        <v>338.34971629391828</v>
      </c>
      <c r="T65">
        <f>1/(COUNT(SimData1!$E$9:$E$108)-1)+$T$64</f>
        <v>0.5959595959595958</v>
      </c>
      <c r="U65">
        <f>SMALL(SimData1!$F$9:$F$108,60)</f>
        <v>355.84710405715333</v>
      </c>
      <c r="V65">
        <f>1/(COUNT(SimData1!$F$9:$F$108)-1)+$V$64</f>
        <v>0.5959595959595958</v>
      </c>
      <c r="W65">
        <f>SMALL(SimData1!$G$9:$G$108,60)</f>
        <v>373.4978728117926</v>
      </c>
      <c r="X65">
        <f>1/(COUNT(SimData1!$G$9:$G$108)-1)+$X$64</f>
        <v>0.5959595959595958</v>
      </c>
      <c r="Y65">
        <f>SMALL(SimData1!$H$9:$H$108,60)</f>
        <v>366.89103158719018</v>
      </c>
      <c r="Z65">
        <f>1/(COUNT(SimData1!$H$9:$H$108)-1)+$Z$64</f>
        <v>0.5959595959595958</v>
      </c>
      <c r="AA65">
        <f>SMALL(SimData1!$I$9:$I$108,60)</f>
        <v>338.34971629391828</v>
      </c>
      <c r="AB65">
        <f>1/(COUNT(SimData1!$I$9:$I$108)-1)+$AB$64</f>
        <v>0.5959595959595958</v>
      </c>
    </row>
    <row r="66" spans="1:28">
      <c r="A66">
        <v>58</v>
      </c>
      <c r="B66">
        <v>327.90205976338001</v>
      </c>
      <c r="C66">
        <v>391.19133140430051</v>
      </c>
      <c r="D66">
        <v>416.56657465120043</v>
      </c>
      <c r="E66">
        <v>347.87328223264205</v>
      </c>
      <c r="F66">
        <v>327.90205976338001</v>
      </c>
      <c r="G66">
        <v>391.19133140430051</v>
      </c>
      <c r="H66">
        <v>416.56657465120043</v>
      </c>
      <c r="I66">
        <v>347.87328223264205</v>
      </c>
      <c r="M66">
        <f>SMALL(SimData1!$B$9:$B$108,61)</f>
        <v>357.96134333968928</v>
      </c>
      <c r="N66">
        <f>1/(COUNT(SimData1!$B$9:$B$108)-1)+$N$65</f>
        <v>0.60606060606060586</v>
      </c>
      <c r="O66">
        <f>SMALL(SimData1!$C$9:$C$108,61)</f>
        <v>375.08259859782657</v>
      </c>
      <c r="P66">
        <f>1/(COUNT(SimData1!$C$9:$C$108)-1)+$P$65</f>
        <v>0.60606060606060586</v>
      </c>
      <c r="Q66">
        <f>SMALL(SimData1!$D$9:$D$108,61)</f>
        <v>367.44385906691519</v>
      </c>
      <c r="R66">
        <f>1/(COUNT(SimData1!$D$9:$D$108)-1)+$R$65</f>
        <v>0.60606060606060586</v>
      </c>
      <c r="S66">
        <f>SMALL(SimData1!$E$9:$E$108,61)</f>
        <v>338.94995826214989</v>
      </c>
      <c r="T66">
        <f>1/(COUNT(SimData1!$E$9:$E$108)-1)+$T$65</f>
        <v>0.60606060606060586</v>
      </c>
      <c r="U66">
        <f>SMALL(SimData1!$F$9:$F$108,61)</f>
        <v>357.96134333968928</v>
      </c>
      <c r="V66">
        <f>1/(COUNT(SimData1!$F$9:$F$108)-1)+$V$65</f>
        <v>0.60606060606060586</v>
      </c>
      <c r="W66">
        <f>SMALL(SimData1!$G$9:$G$108,61)</f>
        <v>375.08259859782657</v>
      </c>
      <c r="X66">
        <f>1/(COUNT(SimData1!$G$9:$G$108)-1)+$X$65</f>
        <v>0.60606060606060586</v>
      </c>
      <c r="Y66">
        <f>SMALL(SimData1!$H$9:$H$108,61)</f>
        <v>367.44385906691519</v>
      </c>
      <c r="Z66">
        <f>1/(COUNT(SimData1!$H$9:$H$108)-1)+$Z$65</f>
        <v>0.60606060606060586</v>
      </c>
      <c r="AA66">
        <f>SMALL(SimData1!$I$9:$I$108,61)</f>
        <v>338.94995826214989</v>
      </c>
      <c r="AB66">
        <f>1/(COUNT(SimData1!$I$9:$I$108)-1)+$AB$65</f>
        <v>0.60606060606060586</v>
      </c>
    </row>
    <row r="67" spans="1:28">
      <c r="A67">
        <v>59</v>
      </c>
      <c r="B67">
        <v>349.19377278618322</v>
      </c>
      <c r="C67">
        <v>349.19377278618322</v>
      </c>
      <c r="D67">
        <v>352.98317573930558</v>
      </c>
      <c r="E67">
        <v>352.98317573930558</v>
      </c>
      <c r="F67">
        <v>349.19377278618322</v>
      </c>
      <c r="G67">
        <v>349.19377278618322</v>
      </c>
      <c r="H67">
        <v>352.98317573930558</v>
      </c>
      <c r="I67">
        <v>352.98317573930558</v>
      </c>
      <c r="M67">
        <f>SMALL(SimData1!$B$9:$B$108,62)</f>
        <v>359.19728367261541</v>
      </c>
      <c r="N67">
        <f>1/(COUNT(SimData1!$B$9:$B$108)-1)+$N$66</f>
        <v>0.61616161616161591</v>
      </c>
      <c r="O67">
        <f>SMALL(SimData1!$C$9:$C$108,62)</f>
        <v>375.39938897606095</v>
      </c>
      <c r="P67">
        <f>1/(COUNT(SimData1!$C$9:$C$108)-1)+$P$66</f>
        <v>0.61616161616161591</v>
      </c>
      <c r="Q67">
        <f>SMALL(SimData1!$D$9:$D$108,62)</f>
        <v>367.80624154238535</v>
      </c>
      <c r="R67">
        <f>1/(COUNT(SimData1!$D$9:$D$108)-1)+$R$66</f>
        <v>0.61616161616161591</v>
      </c>
      <c r="S67">
        <f>SMALL(SimData1!$E$9:$E$108,62)</f>
        <v>339.13424096410716</v>
      </c>
      <c r="T67">
        <f>1/(COUNT(SimData1!$E$9:$E$108)-1)+$T$66</f>
        <v>0.61616161616161591</v>
      </c>
      <c r="U67">
        <f>SMALL(SimData1!$F$9:$F$108,62)</f>
        <v>359.19728367261541</v>
      </c>
      <c r="V67">
        <f>1/(COUNT(SimData1!$F$9:$F$108)-1)+$V$66</f>
        <v>0.61616161616161591</v>
      </c>
      <c r="W67">
        <f>SMALL(SimData1!$G$9:$G$108,62)</f>
        <v>375.39938897606095</v>
      </c>
      <c r="X67">
        <f>1/(COUNT(SimData1!$G$9:$G$108)-1)+$X$66</f>
        <v>0.61616161616161591</v>
      </c>
      <c r="Y67">
        <f>SMALL(SimData1!$H$9:$H$108,62)</f>
        <v>367.80624154238535</v>
      </c>
      <c r="Z67">
        <f>1/(COUNT(SimData1!$H$9:$H$108)-1)+$Z$66</f>
        <v>0.61616161616161591</v>
      </c>
      <c r="AA67">
        <f>SMALL(SimData1!$I$9:$I$108,62)</f>
        <v>339.13424096410716</v>
      </c>
      <c r="AB67">
        <f>1/(COUNT(SimData1!$I$9:$I$108)-1)+$AB$66</f>
        <v>0.61616161616161591</v>
      </c>
    </row>
    <row r="68" spans="1:28">
      <c r="A68">
        <v>60</v>
      </c>
      <c r="B68">
        <v>388.89101387191215</v>
      </c>
      <c r="C68">
        <v>435.85280647014332</v>
      </c>
      <c r="D68">
        <v>357.20998472174483</v>
      </c>
      <c r="E68">
        <v>357.20998472174483</v>
      </c>
      <c r="F68">
        <v>388.89101387191215</v>
      </c>
      <c r="G68">
        <v>435.85280647014332</v>
      </c>
      <c r="H68">
        <v>357.20998472174483</v>
      </c>
      <c r="I68">
        <v>357.20998472174483</v>
      </c>
      <c r="M68">
        <f>SMALL(SimData1!$B$9:$B$108,63)</f>
        <v>359.45807438318269</v>
      </c>
      <c r="N68">
        <f>1/(COUNT(SimData1!$B$9:$B$108)-1)+$N$67</f>
        <v>0.62626262626262597</v>
      </c>
      <c r="O68">
        <f>SMALL(SimData1!$C$9:$C$108,63)</f>
        <v>375.89968813023586</v>
      </c>
      <c r="P68">
        <f>1/(COUNT(SimData1!$C$9:$C$108)-1)+$P$67</f>
        <v>0.62626262626262597</v>
      </c>
      <c r="Q68">
        <f>SMALL(SimData1!$D$9:$D$108,63)</f>
        <v>368.92571736356456</v>
      </c>
      <c r="R68">
        <f>1/(COUNT(SimData1!$D$9:$D$108)-1)+$R$67</f>
        <v>0.62626262626262597</v>
      </c>
      <c r="S68">
        <f>SMALL(SimData1!$E$9:$E$108,63)</f>
        <v>339.71030331459144</v>
      </c>
      <c r="T68">
        <f>1/(COUNT(SimData1!$E$9:$E$108)-1)+$T$67</f>
        <v>0.62626262626262597</v>
      </c>
      <c r="U68">
        <f>SMALL(SimData1!$F$9:$F$108,63)</f>
        <v>359.45807438318269</v>
      </c>
      <c r="V68">
        <f>1/(COUNT(SimData1!$F$9:$F$108)-1)+$V$67</f>
        <v>0.62626262626262597</v>
      </c>
      <c r="W68">
        <f>SMALL(SimData1!$G$9:$G$108,63)</f>
        <v>375.89968813023586</v>
      </c>
      <c r="X68">
        <f>1/(COUNT(SimData1!$G$9:$G$108)-1)+$X$67</f>
        <v>0.62626262626262597</v>
      </c>
      <c r="Y68">
        <f>SMALL(SimData1!$H$9:$H$108,63)</f>
        <v>368.92571736356456</v>
      </c>
      <c r="Z68">
        <f>1/(COUNT(SimData1!$H$9:$H$108)-1)+$Z$67</f>
        <v>0.62626262626262597</v>
      </c>
      <c r="AA68">
        <f>SMALL(SimData1!$I$9:$I$108,63)</f>
        <v>339.71030331459144</v>
      </c>
      <c r="AB68">
        <f>1/(COUNT(SimData1!$I$9:$I$108)-1)+$AB$67</f>
        <v>0.62626262626262597</v>
      </c>
    </row>
    <row r="69" spans="1:28">
      <c r="A69">
        <v>61</v>
      </c>
      <c r="B69">
        <v>328.41564325801892</v>
      </c>
      <c r="C69">
        <v>353.67155397804333</v>
      </c>
      <c r="D69">
        <v>353.67155397804333</v>
      </c>
      <c r="E69">
        <v>257.7028704157425</v>
      </c>
      <c r="F69">
        <v>328.41564325801892</v>
      </c>
      <c r="G69">
        <v>353.67155397804333</v>
      </c>
      <c r="H69">
        <v>353.67155397804333</v>
      </c>
      <c r="I69">
        <v>257.7028704157425</v>
      </c>
      <c r="M69">
        <f>SMALL(SimData1!$B$9:$B$108,64)</f>
        <v>359.54505071773542</v>
      </c>
      <c r="N69">
        <f>1/(COUNT(SimData1!$B$9:$B$108)-1)+$N$68</f>
        <v>0.63636363636363602</v>
      </c>
      <c r="O69">
        <f>SMALL(SimData1!$C$9:$C$108,64)</f>
        <v>377.15204098903735</v>
      </c>
      <c r="P69">
        <f>1/(COUNT(SimData1!$C$9:$C$108)-1)+$P$68</f>
        <v>0.63636363636363602</v>
      </c>
      <c r="Q69">
        <f>SMALL(SimData1!$D$9:$D$108,64)</f>
        <v>371.33545674899597</v>
      </c>
      <c r="R69">
        <f>1/(COUNT(SimData1!$D$9:$D$108)-1)+$R$68</f>
        <v>0.63636363636363602</v>
      </c>
      <c r="S69">
        <f>SMALL(SimData1!$E$9:$E$108,64)</f>
        <v>340.04641653586765</v>
      </c>
      <c r="T69">
        <f>1/(COUNT(SimData1!$E$9:$E$108)-1)+$T$68</f>
        <v>0.63636363636363602</v>
      </c>
      <c r="U69">
        <f>SMALL(SimData1!$F$9:$F$108,64)</f>
        <v>359.54505071773542</v>
      </c>
      <c r="V69">
        <f>1/(COUNT(SimData1!$F$9:$F$108)-1)+$V$68</f>
        <v>0.63636363636363602</v>
      </c>
      <c r="W69">
        <f>SMALL(SimData1!$G$9:$G$108,64)</f>
        <v>377.15204098903735</v>
      </c>
      <c r="X69">
        <f>1/(COUNT(SimData1!$G$9:$G$108)-1)+$X$68</f>
        <v>0.63636363636363602</v>
      </c>
      <c r="Y69">
        <f>SMALL(SimData1!$H$9:$H$108,64)</f>
        <v>371.33545674899597</v>
      </c>
      <c r="Z69">
        <f>1/(COUNT(SimData1!$H$9:$H$108)-1)+$Z$68</f>
        <v>0.63636363636363602</v>
      </c>
      <c r="AA69">
        <f>SMALL(SimData1!$I$9:$I$108,64)</f>
        <v>340.04641653586765</v>
      </c>
      <c r="AB69">
        <f>1/(COUNT(SimData1!$I$9:$I$108)-1)+$AB$68</f>
        <v>0.63636363636363602</v>
      </c>
    </row>
    <row r="70" spans="1:28">
      <c r="A70">
        <v>62</v>
      </c>
      <c r="B70">
        <v>339.31947860219771</v>
      </c>
      <c r="C70">
        <v>339.31947860219771</v>
      </c>
      <c r="D70">
        <v>356.30482369739627</v>
      </c>
      <c r="E70">
        <v>333.32257093994201</v>
      </c>
      <c r="F70">
        <v>339.31947860219771</v>
      </c>
      <c r="G70">
        <v>339.31947860219771</v>
      </c>
      <c r="H70">
        <v>356.30482369739627</v>
      </c>
      <c r="I70">
        <v>333.32257093994201</v>
      </c>
      <c r="M70">
        <f>SMALL(SimData1!$B$9:$B$108,65)</f>
        <v>360.36696560426259</v>
      </c>
      <c r="N70">
        <f>1/(COUNT(SimData1!$B$9:$B$108)-1)+$N$69</f>
        <v>0.64646464646464608</v>
      </c>
      <c r="O70">
        <f>SMALL(SimData1!$C$9:$C$108,65)</f>
        <v>377.1866173207315</v>
      </c>
      <c r="P70">
        <f>1/(COUNT(SimData1!$C$9:$C$108)-1)+$P$69</f>
        <v>0.64646464646464608</v>
      </c>
      <c r="Q70">
        <f>SMALL(SimData1!$D$9:$D$108,65)</f>
        <v>372.81710879383024</v>
      </c>
      <c r="R70">
        <f>1/(COUNT(SimData1!$D$9:$D$108)-1)+$R$69</f>
        <v>0.64646464646464608</v>
      </c>
      <c r="S70">
        <f>SMALL(SimData1!$E$9:$E$108,65)</f>
        <v>342.91271938376968</v>
      </c>
      <c r="T70">
        <f>1/(COUNT(SimData1!$E$9:$E$108)-1)+$T$69</f>
        <v>0.64646464646464608</v>
      </c>
      <c r="U70">
        <f>SMALL(SimData1!$F$9:$F$108,65)</f>
        <v>360.36696560426259</v>
      </c>
      <c r="V70">
        <f>1/(COUNT(SimData1!$F$9:$F$108)-1)+$V$69</f>
        <v>0.64646464646464608</v>
      </c>
      <c r="W70">
        <f>SMALL(SimData1!$G$9:$G$108,65)</f>
        <v>377.1866173207315</v>
      </c>
      <c r="X70">
        <f>1/(COUNT(SimData1!$G$9:$G$108)-1)+$X$69</f>
        <v>0.64646464646464608</v>
      </c>
      <c r="Y70">
        <f>SMALL(SimData1!$H$9:$H$108,65)</f>
        <v>372.81710879383024</v>
      </c>
      <c r="Z70">
        <f>1/(COUNT(SimData1!$H$9:$H$108)-1)+$Z$69</f>
        <v>0.64646464646464608</v>
      </c>
      <c r="AA70">
        <f>SMALL(SimData1!$I$9:$I$108,65)</f>
        <v>342.91271938376968</v>
      </c>
      <c r="AB70">
        <f>1/(COUNT(SimData1!$I$9:$I$108)-1)+$AB$69</f>
        <v>0.64646464646464608</v>
      </c>
    </row>
    <row r="71" spans="1:28">
      <c r="A71">
        <v>63</v>
      </c>
      <c r="B71">
        <v>361.15001777006881</v>
      </c>
      <c r="C71">
        <v>420.82506024900277</v>
      </c>
      <c r="D71">
        <v>420.82506024900277</v>
      </c>
      <c r="E71">
        <v>396.05092323109045</v>
      </c>
      <c r="F71">
        <v>361.15001777006881</v>
      </c>
      <c r="G71">
        <v>420.82506024900277</v>
      </c>
      <c r="H71">
        <v>420.82506024900277</v>
      </c>
      <c r="I71">
        <v>396.05092323109045</v>
      </c>
      <c r="M71">
        <f>SMALL(SimData1!$B$9:$B$108,66)</f>
        <v>360.52339383233539</v>
      </c>
      <c r="N71">
        <f>1/(COUNT(SimData1!$B$9:$B$108)-1)+$N$70</f>
        <v>0.65656565656565613</v>
      </c>
      <c r="O71">
        <f>SMALL(SimData1!$C$9:$C$108,66)</f>
        <v>379.02209422995526</v>
      </c>
      <c r="P71">
        <f>1/(COUNT(SimData1!$C$9:$C$108)-1)+$P$70</f>
        <v>0.65656565656565613</v>
      </c>
      <c r="Q71">
        <f>SMALL(SimData1!$D$9:$D$108,66)</f>
        <v>373.09889352121957</v>
      </c>
      <c r="R71">
        <f>1/(COUNT(SimData1!$D$9:$D$108)-1)+$R$70</f>
        <v>0.65656565656565613</v>
      </c>
      <c r="S71">
        <f>SMALL(SimData1!$E$9:$E$108,66)</f>
        <v>343.92436029717953</v>
      </c>
      <c r="T71">
        <f>1/(COUNT(SimData1!$E$9:$E$108)-1)+$T$70</f>
        <v>0.65656565656565613</v>
      </c>
      <c r="U71">
        <f>SMALL(SimData1!$F$9:$F$108,66)</f>
        <v>360.52339383233539</v>
      </c>
      <c r="V71">
        <f>1/(COUNT(SimData1!$F$9:$F$108)-1)+$V$70</f>
        <v>0.65656565656565613</v>
      </c>
      <c r="W71">
        <f>SMALL(SimData1!$G$9:$G$108,66)</f>
        <v>379.02209422995526</v>
      </c>
      <c r="X71">
        <f>1/(COUNT(SimData1!$G$9:$G$108)-1)+$X$70</f>
        <v>0.65656565656565613</v>
      </c>
      <c r="Y71">
        <f>SMALL(SimData1!$H$9:$H$108,66)</f>
        <v>373.09889352121957</v>
      </c>
      <c r="Z71">
        <f>1/(COUNT(SimData1!$H$9:$H$108)-1)+$Z$70</f>
        <v>0.65656565656565613</v>
      </c>
      <c r="AA71">
        <f>SMALL(SimData1!$I$9:$I$108,66)</f>
        <v>343.92436029717953</v>
      </c>
      <c r="AB71">
        <f>1/(COUNT(SimData1!$I$9:$I$108)-1)+$AB$70</f>
        <v>0.65656565656565613</v>
      </c>
    </row>
    <row r="72" spans="1:28">
      <c r="A72">
        <v>64</v>
      </c>
      <c r="B72">
        <v>336.79514153736625</v>
      </c>
      <c r="C72">
        <v>336.79514153736625</v>
      </c>
      <c r="D72">
        <v>340.04641653586765</v>
      </c>
      <c r="E72">
        <v>340.04641653586765</v>
      </c>
      <c r="F72">
        <v>336.79514153736625</v>
      </c>
      <c r="G72">
        <v>336.79514153736625</v>
      </c>
      <c r="H72">
        <v>340.04641653586765</v>
      </c>
      <c r="I72">
        <v>340.04641653586765</v>
      </c>
      <c r="M72">
        <f>SMALL(SimData1!$B$9:$B$108,67)</f>
        <v>361.15001777006881</v>
      </c>
      <c r="N72">
        <f>1/(COUNT(SimData1!$B$9:$B$108)-1)+$N$71</f>
        <v>0.66666666666666619</v>
      </c>
      <c r="O72">
        <f>SMALL(SimData1!$C$9:$C$108,67)</f>
        <v>379.15957078632306</v>
      </c>
      <c r="P72">
        <f>1/(COUNT(SimData1!$C$9:$C$108)-1)+$P$71</f>
        <v>0.66666666666666619</v>
      </c>
      <c r="Q72">
        <f>SMALL(SimData1!$D$9:$D$108,67)</f>
        <v>373.20680725928003</v>
      </c>
      <c r="R72">
        <f>1/(COUNT(SimData1!$D$9:$D$108)-1)+$R$71</f>
        <v>0.66666666666666619</v>
      </c>
      <c r="S72">
        <f>SMALL(SimData1!$E$9:$E$108,67)</f>
        <v>344.036616180664</v>
      </c>
      <c r="T72">
        <f>1/(COUNT(SimData1!$E$9:$E$108)-1)+$T$71</f>
        <v>0.66666666666666619</v>
      </c>
      <c r="U72">
        <f>SMALL(SimData1!$F$9:$F$108,67)</f>
        <v>361.15001777006881</v>
      </c>
      <c r="V72">
        <f>1/(COUNT(SimData1!$F$9:$F$108)-1)+$V$71</f>
        <v>0.66666666666666619</v>
      </c>
      <c r="W72">
        <f>SMALL(SimData1!$G$9:$G$108,67)</f>
        <v>379.15957078632306</v>
      </c>
      <c r="X72">
        <f>1/(COUNT(SimData1!$G$9:$G$108)-1)+$X$71</f>
        <v>0.66666666666666619</v>
      </c>
      <c r="Y72">
        <f>SMALL(SimData1!$H$9:$H$108,67)</f>
        <v>373.20680725928003</v>
      </c>
      <c r="Z72">
        <f>1/(COUNT(SimData1!$H$9:$H$108)-1)+$Z$71</f>
        <v>0.66666666666666619</v>
      </c>
      <c r="AA72">
        <f>SMALL(SimData1!$I$9:$I$108,67)</f>
        <v>344.036616180664</v>
      </c>
      <c r="AB72">
        <f>1/(COUNT(SimData1!$I$9:$I$108)-1)+$AB$71</f>
        <v>0.66666666666666619</v>
      </c>
    </row>
    <row r="73" spans="1:28">
      <c r="A73">
        <v>65</v>
      </c>
      <c r="B73">
        <v>371.25282600978016</v>
      </c>
      <c r="C73">
        <v>313.89249472061243</v>
      </c>
      <c r="D73">
        <v>317.37664600148253</v>
      </c>
      <c r="E73">
        <v>317.37664600148253</v>
      </c>
      <c r="F73">
        <v>371.25282600978016</v>
      </c>
      <c r="G73">
        <v>313.89249472061243</v>
      </c>
      <c r="H73">
        <v>317.37664600148253</v>
      </c>
      <c r="I73">
        <v>317.37664600148253</v>
      </c>
      <c r="M73">
        <f>SMALL(SimData1!$B$9:$B$108,68)</f>
        <v>362.02316017090249</v>
      </c>
      <c r="N73">
        <f>1/(COUNT(SimData1!$B$9:$B$108)-1)+$N$72</f>
        <v>0.67676767676767624</v>
      </c>
      <c r="O73">
        <f>SMALL(SimData1!$C$9:$C$108,68)</f>
        <v>382.32751499310496</v>
      </c>
      <c r="P73">
        <f>1/(COUNT(SimData1!$C$9:$C$108)-1)+$P$72</f>
        <v>0.67676767676767624</v>
      </c>
      <c r="Q73">
        <f>SMALL(SimData1!$D$9:$D$108,68)</f>
        <v>374.45604493888658</v>
      </c>
      <c r="R73">
        <f>1/(COUNT(SimData1!$D$9:$D$108)-1)+$R$72</f>
        <v>0.67676767676767624</v>
      </c>
      <c r="S73">
        <f>SMALL(SimData1!$E$9:$E$108,68)</f>
        <v>345.74171871790088</v>
      </c>
      <c r="T73">
        <f>1/(COUNT(SimData1!$E$9:$E$108)-1)+$T$72</f>
        <v>0.67676767676767624</v>
      </c>
      <c r="U73">
        <f>SMALL(SimData1!$F$9:$F$108,68)</f>
        <v>362.02316017090249</v>
      </c>
      <c r="V73">
        <f>1/(COUNT(SimData1!$F$9:$F$108)-1)+$V$72</f>
        <v>0.67676767676767624</v>
      </c>
      <c r="W73">
        <f>SMALL(SimData1!$G$9:$G$108,68)</f>
        <v>382.32751499310496</v>
      </c>
      <c r="X73">
        <f>1/(COUNT(SimData1!$G$9:$G$108)-1)+$X$72</f>
        <v>0.67676767676767624</v>
      </c>
      <c r="Y73">
        <f>SMALL(SimData1!$H$9:$H$108,68)</f>
        <v>374.45604493888658</v>
      </c>
      <c r="Z73">
        <f>1/(COUNT(SimData1!$H$9:$H$108)-1)+$Z$72</f>
        <v>0.67676767676767624</v>
      </c>
      <c r="AA73">
        <f>SMALL(SimData1!$I$9:$I$108,68)</f>
        <v>345.74171871790088</v>
      </c>
      <c r="AB73">
        <f>1/(COUNT(SimData1!$I$9:$I$108)-1)+$AB$72</f>
        <v>0.67676767676767624</v>
      </c>
    </row>
    <row r="74" spans="1:28">
      <c r="A74">
        <v>66</v>
      </c>
      <c r="B74">
        <v>340.07626019153889</v>
      </c>
      <c r="C74">
        <v>340.07626019153889</v>
      </c>
      <c r="D74">
        <v>353.85392949588243</v>
      </c>
      <c r="E74">
        <v>303.96283637328304</v>
      </c>
      <c r="F74">
        <v>340.07626019153889</v>
      </c>
      <c r="G74">
        <v>340.07626019153889</v>
      </c>
      <c r="H74">
        <v>353.85392949588243</v>
      </c>
      <c r="I74">
        <v>303.96283637328304</v>
      </c>
      <c r="M74">
        <f>SMALL(SimData1!$B$9:$B$108,69)</f>
        <v>362.13978897543979</v>
      </c>
      <c r="N74">
        <f>1/(COUNT(SimData1!$B$9:$B$108)-1)+$N$73</f>
        <v>0.6868686868686863</v>
      </c>
      <c r="O74">
        <f>SMALL(SimData1!$C$9:$C$108,69)</f>
        <v>383.29545574681822</v>
      </c>
      <c r="P74">
        <f>1/(COUNT(SimData1!$C$9:$C$108)-1)+$P$73</f>
        <v>0.6868686868686863</v>
      </c>
      <c r="Q74">
        <f>SMALL(SimData1!$D$9:$D$108,69)</f>
        <v>374.4654857726502</v>
      </c>
      <c r="R74">
        <f>1/(COUNT(SimData1!$D$9:$D$108)-1)+$R$73</f>
        <v>0.6868686868686863</v>
      </c>
      <c r="S74">
        <f>SMALL(SimData1!$E$9:$E$108,69)</f>
        <v>346.82329431007804</v>
      </c>
      <c r="T74">
        <f>1/(COUNT(SimData1!$E$9:$E$108)-1)+$T$73</f>
        <v>0.6868686868686863</v>
      </c>
      <c r="U74">
        <f>SMALL(SimData1!$F$9:$F$108,69)</f>
        <v>362.13978897543979</v>
      </c>
      <c r="V74">
        <f>1/(COUNT(SimData1!$F$9:$F$108)-1)+$V$73</f>
        <v>0.6868686868686863</v>
      </c>
      <c r="W74">
        <f>SMALL(SimData1!$G$9:$G$108,69)</f>
        <v>383.29545574681822</v>
      </c>
      <c r="X74">
        <f>1/(COUNT(SimData1!$G$9:$G$108)-1)+$X$73</f>
        <v>0.6868686868686863</v>
      </c>
      <c r="Y74">
        <f>SMALL(SimData1!$H$9:$H$108,69)</f>
        <v>374.4654857726502</v>
      </c>
      <c r="Z74">
        <f>1/(COUNT(SimData1!$H$9:$H$108)-1)+$Z$73</f>
        <v>0.6868686868686863</v>
      </c>
      <c r="AA74">
        <f>SMALL(SimData1!$I$9:$I$108,69)</f>
        <v>346.82329431007804</v>
      </c>
      <c r="AB74">
        <f>1/(COUNT(SimData1!$I$9:$I$108)-1)+$AB$73</f>
        <v>0.6868686868686863</v>
      </c>
    </row>
    <row r="75" spans="1:28">
      <c r="A75">
        <v>67</v>
      </c>
      <c r="B75">
        <v>420.62394376008888</v>
      </c>
      <c r="C75">
        <v>420.62394376008888</v>
      </c>
      <c r="D75">
        <v>420.62394376008888</v>
      </c>
      <c r="E75">
        <v>408.37453768072669</v>
      </c>
      <c r="F75">
        <v>420.62394376008888</v>
      </c>
      <c r="G75">
        <v>420.62394376008888</v>
      </c>
      <c r="H75">
        <v>420.62394376008888</v>
      </c>
      <c r="I75">
        <v>408.37453768072669</v>
      </c>
      <c r="M75">
        <f>SMALL(SimData1!$B$9:$B$108,70)</f>
        <v>362.61168054219297</v>
      </c>
      <c r="N75">
        <f>1/(COUNT(SimData1!$B$9:$B$108)-1)+$N$74</f>
        <v>0.69696969696969635</v>
      </c>
      <c r="O75">
        <f>SMALL(SimData1!$C$9:$C$108,70)</f>
        <v>385.03797245420066</v>
      </c>
      <c r="P75">
        <f>1/(COUNT(SimData1!$C$9:$C$108)-1)+$P$74</f>
        <v>0.69696969696969635</v>
      </c>
      <c r="Q75">
        <f>SMALL(SimData1!$D$9:$D$108,70)</f>
        <v>375.39938897606095</v>
      </c>
      <c r="R75">
        <f>1/(COUNT(SimData1!$D$9:$D$108)-1)+$R$74</f>
        <v>0.69696969696969635</v>
      </c>
      <c r="S75">
        <f>SMALL(SimData1!$E$9:$E$108,70)</f>
        <v>347.87328223264205</v>
      </c>
      <c r="T75">
        <f>1/(COUNT(SimData1!$E$9:$E$108)-1)+$T$74</f>
        <v>0.69696969696969635</v>
      </c>
      <c r="U75">
        <f>SMALL(SimData1!$F$9:$F$108,70)</f>
        <v>362.61168054219297</v>
      </c>
      <c r="V75">
        <f>1/(COUNT(SimData1!$F$9:$F$108)-1)+$V$74</f>
        <v>0.69696969696969635</v>
      </c>
      <c r="W75">
        <f>SMALL(SimData1!$G$9:$G$108,70)</f>
        <v>385.03797245420066</v>
      </c>
      <c r="X75">
        <f>1/(COUNT(SimData1!$G$9:$G$108)-1)+$X$74</f>
        <v>0.69696969696969635</v>
      </c>
      <c r="Y75">
        <f>SMALL(SimData1!$H$9:$H$108,70)</f>
        <v>375.39938897606095</v>
      </c>
      <c r="Z75">
        <f>1/(COUNT(SimData1!$H$9:$H$108)-1)+$Z$74</f>
        <v>0.69696969696969635</v>
      </c>
      <c r="AA75">
        <f>SMALL(SimData1!$I$9:$I$108,70)</f>
        <v>347.87328223264205</v>
      </c>
      <c r="AB75">
        <f>1/(COUNT(SimData1!$I$9:$I$108)-1)+$AB$74</f>
        <v>0.69696969696969635</v>
      </c>
    </row>
    <row r="76" spans="1:28">
      <c r="A76">
        <v>68</v>
      </c>
      <c r="B76">
        <v>328.05031743883308</v>
      </c>
      <c r="C76">
        <v>328.05031743883308</v>
      </c>
      <c r="D76">
        <v>263.79941861118607</v>
      </c>
      <c r="E76">
        <v>263.79941861118607</v>
      </c>
      <c r="F76">
        <v>328.05031743883308</v>
      </c>
      <c r="G76">
        <v>328.05031743883308</v>
      </c>
      <c r="H76">
        <v>263.79941861118607</v>
      </c>
      <c r="I76">
        <v>263.79941861118607</v>
      </c>
      <c r="M76">
        <f>SMALL(SimData1!$B$9:$B$108,71)</f>
        <v>362.74667149611173</v>
      </c>
      <c r="N76">
        <f>1/(COUNT(SimData1!$B$9:$B$108)-1)+$N$75</f>
        <v>0.70707070707070641</v>
      </c>
      <c r="O76">
        <f>SMALL(SimData1!$C$9:$C$108,71)</f>
        <v>391.19133140430051</v>
      </c>
      <c r="P76">
        <f>1/(COUNT(SimData1!$C$9:$C$108)-1)+$P$75</f>
        <v>0.70707070707070641</v>
      </c>
      <c r="Q76">
        <f>SMALL(SimData1!$D$9:$D$108,71)</f>
        <v>375.89968813023586</v>
      </c>
      <c r="R76">
        <f>1/(COUNT(SimData1!$D$9:$D$108)-1)+$R$75</f>
        <v>0.70707070707070641</v>
      </c>
      <c r="S76">
        <f>SMALL(SimData1!$E$9:$E$108,71)</f>
        <v>348.13554181257962</v>
      </c>
      <c r="T76">
        <f>1/(COUNT(SimData1!$E$9:$E$108)-1)+$T$75</f>
        <v>0.70707070707070641</v>
      </c>
      <c r="U76">
        <f>SMALL(SimData1!$F$9:$F$108,71)</f>
        <v>362.74667149611173</v>
      </c>
      <c r="V76">
        <f>1/(COUNT(SimData1!$F$9:$F$108)-1)+$V$75</f>
        <v>0.70707070707070641</v>
      </c>
      <c r="W76">
        <f>SMALL(SimData1!$G$9:$G$108,71)</f>
        <v>391.19133140430051</v>
      </c>
      <c r="X76">
        <f>1/(COUNT(SimData1!$G$9:$G$108)-1)+$X$75</f>
        <v>0.70707070707070641</v>
      </c>
      <c r="Y76">
        <f>SMALL(SimData1!$H$9:$H$108,71)</f>
        <v>375.89968813023586</v>
      </c>
      <c r="Z76">
        <f>1/(COUNT(SimData1!$H$9:$H$108)-1)+$Z$75</f>
        <v>0.70707070707070641</v>
      </c>
      <c r="AA76">
        <f>SMALL(SimData1!$I$9:$I$108,71)</f>
        <v>348.13554181257962</v>
      </c>
      <c r="AB76">
        <f>1/(COUNT(SimData1!$I$9:$I$108)-1)+$AB$75</f>
        <v>0.70707070707070641</v>
      </c>
    </row>
    <row r="77" spans="1:28">
      <c r="A77">
        <v>69</v>
      </c>
      <c r="B77">
        <v>379.62981164002059</v>
      </c>
      <c r="C77">
        <v>343.17932183626982</v>
      </c>
      <c r="D77">
        <v>342.91271938376968</v>
      </c>
      <c r="E77">
        <v>342.91271938376968</v>
      </c>
      <c r="F77">
        <v>379.62981164002059</v>
      </c>
      <c r="G77">
        <v>343.17932183626982</v>
      </c>
      <c r="H77">
        <v>342.91271938376968</v>
      </c>
      <c r="I77">
        <v>342.91271938376968</v>
      </c>
      <c r="M77">
        <f>SMALL(SimData1!$B$9:$B$108,72)</f>
        <v>363.16698557488422</v>
      </c>
      <c r="N77">
        <f>1/(COUNT(SimData1!$B$9:$B$108)-1)+$N$76</f>
        <v>0.71717171717171646</v>
      </c>
      <c r="O77">
        <f>SMALL(SimData1!$C$9:$C$108,72)</f>
        <v>395.55505213663076</v>
      </c>
      <c r="P77">
        <f>1/(COUNT(SimData1!$C$9:$C$108)-1)+$P$76</f>
        <v>0.71717171717171646</v>
      </c>
      <c r="Q77">
        <f>SMALL(SimData1!$D$9:$D$108,72)</f>
        <v>377.1866173207315</v>
      </c>
      <c r="R77">
        <f>1/(COUNT(SimData1!$D$9:$D$108)-1)+$R$76</f>
        <v>0.71717171717171646</v>
      </c>
      <c r="S77">
        <f>SMALL(SimData1!$E$9:$E$108,72)</f>
        <v>350.96401911831106</v>
      </c>
      <c r="T77">
        <f>1/(COUNT(SimData1!$E$9:$E$108)-1)+$T$76</f>
        <v>0.71717171717171646</v>
      </c>
      <c r="U77">
        <f>SMALL(SimData1!$F$9:$F$108,72)</f>
        <v>363.16698557488422</v>
      </c>
      <c r="V77">
        <f>1/(COUNT(SimData1!$F$9:$F$108)-1)+$V$76</f>
        <v>0.71717171717171646</v>
      </c>
      <c r="W77">
        <f>SMALL(SimData1!$G$9:$G$108,72)</f>
        <v>395.55505213663076</v>
      </c>
      <c r="X77">
        <f>1/(COUNT(SimData1!$G$9:$G$108)-1)+$X$76</f>
        <v>0.71717171717171646</v>
      </c>
      <c r="Y77">
        <f>SMALL(SimData1!$H$9:$H$108,72)</f>
        <v>377.1866173207315</v>
      </c>
      <c r="Z77">
        <f>1/(COUNT(SimData1!$H$9:$H$108)-1)+$Z$76</f>
        <v>0.71717171717171646</v>
      </c>
      <c r="AA77">
        <f>SMALL(SimData1!$I$9:$I$108,72)</f>
        <v>350.96401911831106</v>
      </c>
      <c r="AB77">
        <f>1/(COUNT(SimData1!$I$9:$I$108)-1)+$AB$76</f>
        <v>0.71717171717171646</v>
      </c>
    </row>
    <row r="78" spans="1:28">
      <c r="A78">
        <v>70</v>
      </c>
      <c r="B78">
        <v>360.36696560426259</v>
      </c>
      <c r="C78">
        <v>302.89078601913076</v>
      </c>
      <c r="D78">
        <v>315.13427200066639</v>
      </c>
      <c r="E78">
        <v>315.13427200066639</v>
      </c>
      <c r="F78">
        <v>360.36696560426259</v>
      </c>
      <c r="G78">
        <v>302.89078601913076</v>
      </c>
      <c r="H78">
        <v>315.13427200066639</v>
      </c>
      <c r="I78">
        <v>315.13427200066639</v>
      </c>
      <c r="M78">
        <f>SMALL(SimData1!$B$9:$B$108,73)</f>
        <v>363.27214705849366</v>
      </c>
      <c r="N78">
        <f>1/(COUNT(SimData1!$B$9:$B$108)-1)+$N$77</f>
        <v>0.72727272727272652</v>
      </c>
      <c r="O78">
        <f>SMALL(SimData1!$C$9:$C$108,73)</f>
        <v>400.19426231845398</v>
      </c>
      <c r="P78">
        <f>1/(COUNT(SimData1!$C$9:$C$108)-1)+$P$77</f>
        <v>0.72727272727272652</v>
      </c>
      <c r="Q78">
        <f>SMALL(SimData1!$D$9:$D$108,73)</f>
        <v>378.03705309048667</v>
      </c>
      <c r="R78">
        <f>1/(COUNT(SimData1!$D$9:$D$108)-1)+$R$77</f>
        <v>0.72727272727272652</v>
      </c>
      <c r="S78">
        <f>SMALL(SimData1!$E$9:$E$108,73)</f>
        <v>351.40057481639792</v>
      </c>
      <c r="T78">
        <f>1/(COUNT(SimData1!$E$9:$E$108)-1)+$T$77</f>
        <v>0.72727272727272652</v>
      </c>
      <c r="U78">
        <f>SMALL(SimData1!$F$9:$F$108,73)</f>
        <v>363.27214705849366</v>
      </c>
      <c r="V78">
        <f>1/(COUNT(SimData1!$F$9:$F$108)-1)+$V$77</f>
        <v>0.72727272727272652</v>
      </c>
      <c r="W78">
        <f>SMALL(SimData1!$G$9:$G$108,73)</f>
        <v>400.19426231845398</v>
      </c>
      <c r="X78">
        <f>1/(COUNT(SimData1!$G$9:$G$108)-1)+$X$77</f>
        <v>0.72727272727272652</v>
      </c>
      <c r="Y78">
        <f>SMALL(SimData1!$H$9:$H$108,73)</f>
        <v>378.03705309048667</v>
      </c>
      <c r="Z78">
        <f>1/(COUNT(SimData1!$H$9:$H$108)-1)+$Z$77</f>
        <v>0.72727272727272652</v>
      </c>
      <c r="AA78">
        <f>SMALL(SimData1!$I$9:$I$108,73)</f>
        <v>351.40057481639792</v>
      </c>
      <c r="AB78">
        <f>1/(COUNT(SimData1!$I$9:$I$108)-1)+$AB$77</f>
        <v>0.72727272727272652</v>
      </c>
    </row>
    <row r="79" spans="1:28">
      <c r="A79">
        <v>71</v>
      </c>
      <c r="B79">
        <v>378.56139723621999</v>
      </c>
      <c r="C79">
        <v>441.16834138265642</v>
      </c>
      <c r="D79">
        <v>385.56090467476321</v>
      </c>
      <c r="E79">
        <v>385.56090467476321</v>
      </c>
      <c r="F79">
        <v>378.56139723621999</v>
      </c>
      <c r="G79">
        <v>441.16834138265642</v>
      </c>
      <c r="H79">
        <v>385.56090467476321</v>
      </c>
      <c r="I79">
        <v>385.56090467476321</v>
      </c>
      <c r="M79">
        <f>SMALL(SimData1!$B$9:$B$108,74)</f>
        <v>363.40856575271692</v>
      </c>
      <c r="N79">
        <f>1/(COUNT(SimData1!$B$9:$B$108)-1)+$N$78</f>
        <v>0.73737373737373657</v>
      </c>
      <c r="O79">
        <f>SMALL(SimData1!$C$9:$C$108,74)</f>
        <v>402.07452056848376</v>
      </c>
      <c r="P79">
        <f>1/(COUNT(SimData1!$C$9:$C$108)-1)+$P$78</f>
        <v>0.73737373737373657</v>
      </c>
      <c r="Q79">
        <f>SMALL(SimData1!$D$9:$D$108,74)</f>
        <v>378.41617530270213</v>
      </c>
      <c r="R79">
        <f>1/(COUNT(SimData1!$D$9:$D$108)-1)+$R$78</f>
        <v>0.73737373737373657</v>
      </c>
      <c r="S79">
        <f>SMALL(SimData1!$E$9:$E$108,74)</f>
        <v>351.5984187126694</v>
      </c>
      <c r="T79">
        <f>1/(COUNT(SimData1!$E$9:$E$108)-1)+$T$78</f>
        <v>0.73737373737373657</v>
      </c>
      <c r="U79">
        <f>SMALL(SimData1!$F$9:$F$108,74)</f>
        <v>363.40856575271692</v>
      </c>
      <c r="V79">
        <f>1/(COUNT(SimData1!$F$9:$F$108)-1)+$V$78</f>
        <v>0.73737373737373657</v>
      </c>
      <c r="W79">
        <f>SMALL(SimData1!$G$9:$G$108,74)</f>
        <v>402.07452056848376</v>
      </c>
      <c r="X79">
        <f>1/(COUNT(SimData1!$G$9:$G$108)-1)+$X$78</f>
        <v>0.73737373737373657</v>
      </c>
      <c r="Y79">
        <f>SMALL(SimData1!$H$9:$H$108,74)</f>
        <v>378.41617530270213</v>
      </c>
      <c r="Z79">
        <f>1/(COUNT(SimData1!$H$9:$H$108)-1)+$Z$78</f>
        <v>0.73737373737373657</v>
      </c>
      <c r="AA79">
        <f>SMALL(SimData1!$I$9:$I$108,74)</f>
        <v>351.5984187126694</v>
      </c>
      <c r="AB79">
        <f>1/(COUNT(SimData1!$I$9:$I$108)-1)+$AB$78</f>
        <v>0.73737373737373657</v>
      </c>
    </row>
    <row r="80" spans="1:28">
      <c r="A80">
        <v>72</v>
      </c>
      <c r="B80">
        <v>338.43103516043618</v>
      </c>
      <c r="C80">
        <v>338.43103516043618</v>
      </c>
      <c r="D80">
        <v>340.25037895234505</v>
      </c>
      <c r="E80">
        <v>254.96722703581037</v>
      </c>
      <c r="F80">
        <v>338.43103516043618</v>
      </c>
      <c r="G80">
        <v>338.43103516043618</v>
      </c>
      <c r="H80">
        <v>340.25037895234505</v>
      </c>
      <c r="I80">
        <v>254.96722703581037</v>
      </c>
      <c r="M80">
        <f>SMALL(SimData1!$B$9:$B$108,75)</f>
        <v>364.75977365043605</v>
      </c>
      <c r="N80">
        <f>1/(COUNT(SimData1!$B$9:$B$108)-1)+$N$79</f>
        <v>0.74747474747474663</v>
      </c>
      <c r="O80">
        <f>SMALL(SimData1!$C$9:$C$108,75)</f>
        <v>402.70797406733175</v>
      </c>
      <c r="P80">
        <f>1/(COUNT(SimData1!$C$9:$C$108)-1)+$P$79</f>
        <v>0.74747474747474663</v>
      </c>
      <c r="Q80">
        <f>SMALL(SimData1!$D$9:$D$108,75)</f>
        <v>379.73653069138498</v>
      </c>
      <c r="R80">
        <f>1/(COUNT(SimData1!$D$9:$D$108)-1)+$R$79</f>
        <v>0.74747474747474663</v>
      </c>
      <c r="S80">
        <f>SMALL(SimData1!$E$9:$E$108,75)</f>
        <v>352.98317573930558</v>
      </c>
      <c r="T80">
        <f>1/(COUNT(SimData1!$E$9:$E$108)-1)+$T$79</f>
        <v>0.74747474747474663</v>
      </c>
      <c r="U80">
        <f>SMALL(SimData1!$F$9:$F$108,75)</f>
        <v>364.75977365043605</v>
      </c>
      <c r="V80">
        <f>1/(COUNT(SimData1!$F$9:$F$108)-1)+$V$79</f>
        <v>0.74747474747474663</v>
      </c>
      <c r="W80">
        <f>SMALL(SimData1!$G$9:$G$108,75)</f>
        <v>402.70797406733175</v>
      </c>
      <c r="X80">
        <f>1/(COUNT(SimData1!$G$9:$G$108)-1)+$X$79</f>
        <v>0.74747474747474663</v>
      </c>
      <c r="Y80">
        <f>SMALL(SimData1!$H$9:$H$108,75)</f>
        <v>379.73653069138498</v>
      </c>
      <c r="Z80">
        <f>1/(COUNT(SimData1!$H$9:$H$108)-1)+$Z$79</f>
        <v>0.74747474747474663</v>
      </c>
      <c r="AA80">
        <f>SMALL(SimData1!$I$9:$I$108,75)</f>
        <v>352.98317573930558</v>
      </c>
      <c r="AB80">
        <f>1/(COUNT(SimData1!$I$9:$I$108)-1)+$AB$79</f>
        <v>0.74747474747474663</v>
      </c>
    </row>
    <row r="81" spans="1:28">
      <c r="A81">
        <v>73</v>
      </c>
      <c r="B81">
        <v>373.4978728117926</v>
      </c>
      <c r="C81">
        <v>373.4978728117926</v>
      </c>
      <c r="D81">
        <v>391.66855164215485</v>
      </c>
      <c r="E81">
        <v>314.07300563499041</v>
      </c>
      <c r="F81">
        <v>373.4978728117926</v>
      </c>
      <c r="G81">
        <v>373.4978728117926</v>
      </c>
      <c r="H81">
        <v>391.66855164215485</v>
      </c>
      <c r="I81">
        <v>314.07300563499041</v>
      </c>
      <c r="M81">
        <f>SMALL(SimData1!$B$9:$B$108,76)</f>
        <v>368.24051557225903</v>
      </c>
      <c r="N81">
        <f>1/(COUNT(SimData1!$B$9:$B$108)-1)+$N$80</f>
        <v>0.75757575757575668</v>
      </c>
      <c r="O81">
        <f>SMALL(SimData1!$C$9:$C$108,76)</f>
        <v>403.9238616024694</v>
      </c>
      <c r="P81">
        <f>1/(COUNT(SimData1!$C$9:$C$108)-1)+$P$80</f>
        <v>0.75757575757575668</v>
      </c>
      <c r="Q81">
        <f>SMALL(SimData1!$D$9:$D$108,76)</f>
        <v>381.80320126653726</v>
      </c>
      <c r="R81">
        <f>1/(COUNT(SimData1!$D$9:$D$108)-1)+$R$80</f>
        <v>0.75757575757575668</v>
      </c>
      <c r="S81">
        <f>SMALL(SimData1!$E$9:$E$108,76)</f>
        <v>354.48878250826527</v>
      </c>
      <c r="T81">
        <f>1/(COUNT(SimData1!$E$9:$E$108)-1)+$T$80</f>
        <v>0.75757575757575668</v>
      </c>
      <c r="U81">
        <f>SMALL(SimData1!$F$9:$F$108,76)</f>
        <v>368.24051557225903</v>
      </c>
      <c r="V81">
        <f>1/(COUNT(SimData1!$F$9:$F$108)-1)+$V$80</f>
        <v>0.75757575757575668</v>
      </c>
      <c r="W81">
        <f>SMALL(SimData1!$G$9:$G$108,76)</f>
        <v>403.9238616024694</v>
      </c>
      <c r="X81">
        <f>1/(COUNT(SimData1!$G$9:$G$108)-1)+$X$80</f>
        <v>0.75757575757575668</v>
      </c>
      <c r="Y81">
        <f>SMALL(SimData1!$H$9:$H$108,76)</f>
        <v>381.80320126653726</v>
      </c>
      <c r="Z81">
        <f>1/(COUNT(SimData1!$H$9:$H$108)-1)+$Z$80</f>
        <v>0.75757575757575668</v>
      </c>
      <c r="AA81">
        <f>SMALL(SimData1!$I$9:$I$108,76)</f>
        <v>354.48878250826527</v>
      </c>
      <c r="AB81">
        <f>1/(COUNT(SimData1!$I$9:$I$108)-1)+$AB$80</f>
        <v>0.75757575757575668</v>
      </c>
    </row>
    <row r="82" spans="1:28">
      <c r="A82">
        <v>74</v>
      </c>
      <c r="B82">
        <v>326.86161834435831</v>
      </c>
      <c r="C82">
        <v>326.86161834435831</v>
      </c>
      <c r="D82">
        <v>362.7521701953134</v>
      </c>
      <c r="E82">
        <v>357.23786355071496</v>
      </c>
      <c r="F82">
        <v>326.86161834435831</v>
      </c>
      <c r="G82">
        <v>326.86161834435831</v>
      </c>
      <c r="H82">
        <v>362.7521701953134</v>
      </c>
      <c r="I82">
        <v>357.23786355071496</v>
      </c>
      <c r="M82">
        <f>SMALL(SimData1!$B$9:$B$108,77)</f>
        <v>368.7413939752488</v>
      </c>
      <c r="N82">
        <f>1/(COUNT(SimData1!$B$9:$B$108)-1)+$N$81</f>
        <v>0.76767676767676674</v>
      </c>
      <c r="O82">
        <f>SMALL(SimData1!$C$9:$C$108,77)</f>
        <v>406.8289713272826</v>
      </c>
      <c r="P82">
        <f>1/(COUNT(SimData1!$C$9:$C$108)-1)+$P$81</f>
        <v>0.76767676767676674</v>
      </c>
      <c r="Q82">
        <f>SMALL(SimData1!$D$9:$D$108,77)</f>
        <v>382.32751499310496</v>
      </c>
      <c r="R82">
        <f>1/(COUNT(SimData1!$D$9:$D$108)-1)+$R$81</f>
        <v>0.76767676767676674</v>
      </c>
      <c r="S82">
        <f>SMALL(SimData1!$E$9:$E$108,77)</f>
        <v>357.20998472174483</v>
      </c>
      <c r="T82">
        <f>1/(COUNT(SimData1!$E$9:$E$108)-1)+$T$81</f>
        <v>0.76767676767676674</v>
      </c>
      <c r="U82">
        <f>SMALL(SimData1!$F$9:$F$108,77)</f>
        <v>368.7413939752488</v>
      </c>
      <c r="V82">
        <f>1/(COUNT(SimData1!$F$9:$F$108)-1)+$V$81</f>
        <v>0.76767676767676674</v>
      </c>
      <c r="W82">
        <f>SMALL(SimData1!$G$9:$G$108,77)</f>
        <v>406.8289713272826</v>
      </c>
      <c r="X82">
        <f>1/(COUNT(SimData1!$G$9:$G$108)-1)+$X$81</f>
        <v>0.76767676767676674</v>
      </c>
      <c r="Y82">
        <f>SMALL(SimData1!$H$9:$H$108,77)</f>
        <v>382.32751499310496</v>
      </c>
      <c r="Z82">
        <f>1/(COUNT(SimData1!$H$9:$H$108)-1)+$Z$81</f>
        <v>0.76767676767676674</v>
      </c>
      <c r="AA82">
        <f>SMALL(SimData1!$I$9:$I$108,77)</f>
        <v>357.20998472174483</v>
      </c>
      <c r="AB82">
        <f>1/(COUNT(SimData1!$I$9:$I$108)-1)+$AB$81</f>
        <v>0.76767676767676674</v>
      </c>
    </row>
    <row r="83" spans="1:28">
      <c r="A83">
        <v>75</v>
      </c>
      <c r="B83">
        <v>341.68070313644233</v>
      </c>
      <c r="C83">
        <v>341.68070313644233</v>
      </c>
      <c r="D83">
        <v>367.80624154238535</v>
      </c>
      <c r="E83">
        <v>337.72411492696403</v>
      </c>
      <c r="F83">
        <v>341.68070313644233</v>
      </c>
      <c r="G83">
        <v>341.68070313644233</v>
      </c>
      <c r="H83">
        <v>367.80624154238535</v>
      </c>
      <c r="I83">
        <v>337.72411492696403</v>
      </c>
      <c r="M83">
        <f>SMALL(SimData1!$B$9:$B$108,78)</f>
        <v>368.7595618210575</v>
      </c>
      <c r="N83">
        <f>1/(COUNT(SimData1!$B$9:$B$108)-1)+$N$82</f>
        <v>0.77777777777777679</v>
      </c>
      <c r="O83">
        <f>SMALL(SimData1!$C$9:$C$108,78)</f>
        <v>408.68260089650539</v>
      </c>
      <c r="P83">
        <f>1/(COUNT(SimData1!$C$9:$C$108)-1)+$P$82</f>
        <v>0.77777777777777679</v>
      </c>
      <c r="Q83">
        <f>SMALL(SimData1!$D$9:$D$108,78)</f>
        <v>383.30117558217978</v>
      </c>
      <c r="R83">
        <f>1/(COUNT(SimData1!$D$9:$D$108)-1)+$R$82</f>
        <v>0.77777777777777679</v>
      </c>
      <c r="S83">
        <f>SMALL(SimData1!$E$9:$E$108,78)</f>
        <v>357.23786355071496</v>
      </c>
      <c r="T83">
        <f>1/(COUNT(SimData1!$E$9:$E$108)-1)+$T$82</f>
        <v>0.77777777777777679</v>
      </c>
      <c r="U83">
        <f>SMALL(SimData1!$F$9:$F$108,78)</f>
        <v>368.7595618210575</v>
      </c>
      <c r="V83">
        <f>1/(COUNT(SimData1!$F$9:$F$108)-1)+$V$82</f>
        <v>0.77777777777777679</v>
      </c>
      <c r="W83">
        <f>SMALL(SimData1!$G$9:$G$108,78)</f>
        <v>408.68260089650539</v>
      </c>
      <c r="X83">
        <f>1/(COUNT(SimData1!$G$9:$G$108)-1)+$X$82</f>
        <v>0.77777777777777679</v>
      </c>
      <c r="Y83">
        <f>SMALL(SimData1!$H$9:$H$108,78)</f>
        <v>383.30117558217978</v>
      </c>
      <c r="Z83">
        <f>1/(COUNT(SimData1!$H$9:$H$108)-1)+$Z$82</f>
        <v>0.77777777777777679</v>
      </c>
      <c r="AA83">
        <f>SMALL(SimData1!$I$9:$I$108,78)</f>
        <v>357.23786355071496</v>
      </c>
      <c r="AB83">
        <f>1/(COUNT(SimData1!$I$9:$I$108)-1)+$AB$82</f>
        <v>0.77777777777777679</v>
      </c>
    </row>
    <row r="84" spans="1:28">
      <c r="A84">
        <v>76</v>
      </c>
      <c r="B84">
        <v>337.59196850300583</v>
      </c>
      <c r="C84">
        <v>375.89968813023586</v>
      </c>
      <c r="D84">
        <v>375.89968813023586</v>
      </c>
      <c r="E84">
        <v>337.89497514177606</v>
      </c>
      <c r="F84">
        <v>337.59196850300583</v>
      </c>
      <c r="G84">
        <v>375.89968813023586</v>
      </c>
      <c r="H84">
        <v>375.89968813023586</v>
      </c>
      <c r="I84">
        <v>337.89497514177606</v>
      </c>
      <c r="M84">
        <f>SMALL(SimData1!$B$9:$B$108,79)</f>
        <v>370.0534735395342</v>
      </c>
      <c r="N84">
        <f>1/(COUNT(SimData1!$B$9:$B$108)-1)+$N$83</f>
        <v>0.78787878787878685</v>
      </c>
      <c r="O84">
        <f>SMALL(SimData1!$C$9:$C$108,79)</f>
        <v>411.02848973329935</v>
      </c>
      <c r="P84">
        <f>1/(COUNT(SimData1!$C$9:$C$108)-1)+$P$83</f>
        <v>0.78787878787878685</v>
      </c>
      <c r="Q84">
        <f>SMALL(SimData1!$D$9:$D$108,79)</f>
        <v>385.26544387803074</v>
      </c>
      <c r="R84">
        <f>1/(COUNT(SimData1!$D$9:$D$108)-1)+$R$83</f>
        <v>0.78787878787878685</v>
      </c>
      <c r="S84">
        <f>SMALL(SimData1!$E$9:$E$108,79)</f>
        <v>358.74350964656412</v>
      </c>
      <c r="T84">
        <f>1/(COUNT(SimData1!$E$9:$E$108)-1)+$T$83</f>
        <v>0.78787878787878685</v>
      </c>
      <c r="U84">
        <f>SMALL(SimData1!$F$9:$F$108,79)</f>
        <v>370.0534735395342</v>
      </c>
      <c r="V84">
        <f>1/(COUNT(SimData1!$F$9:$F$108)-1)+$V$83</f>
        <v>0.78787878787878685</v>
      </c>
      <c r="W84">
        <f>SMALL(SimData1!$G$9:$G$108,79)</f>
        <v>411.02848973329935</v>
      </c>
      <c r="X84">
        <f>1/(COUNT(SimData1!$G$9:$G$108)-1)+$X$83</f>
        <v>0.78787878787878685</v>
      </c>
      <c r="Y84">
        <f>SMALL(SimData1!$H$9:$H$108,79)</f>
        <v>385.26544387803074</v>
      </c>
      <c r="Z84">
        <f>1/(COUNT(SimData1!$H$9:$H$108)-1)+$Z$83</f>
        <v>0.78787878787878685</v>
      </c>
      <c r="AA84">
        <f>SMALL(SimData1!$I$9:$I$108,79)</f>
        <v>358.74350964656412</v>
      </c>
      <c r="AB84">
        <f>1/(COUNT(SimData1!$I$9:$I$108)-1)+$AB$83</f>
        <v>0.78787878787878685</v>
      </c>
    </row>
    <row r="85" spans="1:28">
      <c r="A85">
        <v>77</v>
      </c>
      <c r="B85">
        <v>362.61168054219297</v>
      </c>
      <c r="C85">
        <v>414.55028141692617</v>
      </c>
      <c r="D85">
        <v>404.8864367325711</v>
      </c>
      <c r="E85">
        <v>354.48878250826527</v>
      </c>
      <c r="F85">
        <v>362.61168054219297</v>
      </c>
      <c r="G85">
        <v>414.55028141692617</v>
      </c>
      <c r="H85">
        <v>404.8864367325711</v>
      </c>
      <c r="I85">
        <v>354.48878250826527</v>
      </c>
      <c r="M85">
        <f>SMALL(SimData1!$B$9:$B$108,80)</f>
        <v>370.94222554858038</v>
      </c>
      <c r="N85">
        <f>1/(COUNT(SimData1!$B$9:$B$108)-1)+$N$84</f>
        <v>0.7979797979797969</v>
      </c>
      <c r="O85">
        <f>SMALL(SimData1!$C$9:$C$108,80)</f>
        <v>412.79137095256544</v>
      </c>
      <c r="P85">
        <f>1/(COUNT(SimData1!$C$9:$C$108)-1)+$P$84</f>
        <v>0.7979797979797969</v>
      </c>
      <c r="Q85">
        <f>SMALL(SimData1!$D$9:$D$108,80)</f>
        <v>385.56090467476321</v>
      </c>
      <c r="R85">
        <f>1/(COUNT(SimData1!$D$9:$D$108)-1)+$R$84</f>
        <v>0.7979797979797969</v>
      </c>
      <c r="S85">
        <f>SMALL(SimData1!$E$9:$E$108,80)</f>
        <v>360.85025647807811</v>
      </c>
      <c r="T85">
        <f>1/(COUNT(SimData1!$E$9:$E$108)-1)+$T$84</f>
        <v>0.7979797979797969</v>
      </c>
      <c r="U85">
        <f>SMALL(SimData1!$F$9:$F$108,80)</f>
        <v>370.94222554858038</v>
      </c>
      <c r="V85">
        <f>1/(COUNT(SimData1!$F$9:$F$108)-1)+$V$84</f>
        <v>0.7979797979797969</v>
      </c>
      <c r="W85">
        <f>SMALL(SimData1!$G$9:$G$108,80)</f>
        <v>412.79137095256544</v>
      </c>
      <c r="X85">
        <f>1/(COUNT(SimData1!$G$9:$G$108)-1)+$X$84</f>
        <v>0.7979797979797969</v>
      </c>
      <c r="Y85">
        <f>SMALL(SimData1!$H$9:$H$108,80)</f>
        <v>385.56090467476321</v>
      </c>
      <c r="Z85">
        <f>1/(COUNT(SimData1!$H$9:$H$108)-1)+$Z$84</f>
        <v>0.7979797979797969</v>
      </c>
      <c r="AA85">
        <f>SMALL(SimData1!$I$9:$I$108,80)</f>
        <v>360.85025647807811</v>
      </c>
      <c r="AB85">
        <f>1/(COUNT(SimData1!$I$9:$I$108)-1)+$AB$84</f>
        <v>0.7979797979797969</v>
      </c>
    </row>
    <row r="86" spans="1:28">
      <c r="A86">
        <v>78</v>
      </c>
      <c r="B86">
        <v>340.89834910938742</v>
      </c>
      <c r="C86">
        <v>340.89834910938742</v>
      </c>
      <c r="D86">
        <v>337.60175999280739</v>
      </c>
      <c r="E86">
        <v>294.2909922486769</v>
      </c>
      <c r="F86">
        <v>340.89834910938742</v>
      </c>
      <c r="G86">
        <v>340.89834910938742</v>
      </c>
      <c r="H86">
        <v>337.60175999280739</v>
      </c>
      <c r="I86">
        <v>294.2909922486769</v>
      </c>
      <c r="M86">
        <f>SMALL(SimData1!$B$9:$B$108,81)</f>
        <v>371.25282600978016</v>
      </c>
      <c r="N86">
        <f>1/(COUNT(SimData1!$B$9:$B$108)-1)+$N$85</f>
        <v>0.80808080808080696</v>
      </c>
      <c r="O86">
        <f>SMALL(SimData1!$C$9:$C$108,81)</f>
        <v>414.55028141692617</v>
      </c>
      <c r="P86">
        <f>1/(COUNT(SimData1!$C$9:$C$108)-1)+$P$85</f>
        <v>0.80808080808080696</v>
      </c>
      <c r="Q86">
        <f>SMALL(SimData1!$D$9:$D$108,81)</f>
        <v>385.7039764908219</v>
      </c>
      <c r="R86">
        <f>1/(COUNT(SimData1!$D$9:$D$108)-1)+$R$85</f>
        <v>0.80808080808080696</v>
      </c>
      <c r="S86">
        <f>SMALL(SimData1!$E$9:$E$108,81)</f>
        <v>361.10403185453026</v>
      </c>
      <c r="T86">
        <f>1/(COUNT(SimData1!$E$9:$E$108)-1)+$T$85</f>
        <v>0.80808080808080696</v>
      </c>
      <c r="U86">
        <f>SMALL(SimData1!$F$9:$F$108,81)</f>
        <v>371.25282600978016</v>
      </c>
      <c r="V86">
        <f>1/(COUNT(SimData1!$F$9:$F$108)-1)+$V$85</f>
        <v>0.80808080808080696</v>
      </c>
      <c r="W86">
        <f>SMALL(SimData1!$G$9:$G$108,81)</f>
        <v>414.55028141692617</v>
      </c>
      <c r="X86">
        <f>1/(COUNT(SimData1!$G$9:$G$108)-1)+$X$85</f>
        <v>0.80808080808080696</v>
      </c>
      <c r="Y86">
        <f>SMALL(SimData1!$H$9:$H$108,81)</f>
        <v>385.7039764908219</v>
      </c>
      <c r="Z86">
        <f>1/(COUNT(SimData1!$H$9:$H$108)-1)+$Z$85</f>
        <v>0.80808080808080696</v>
      </c>
      <c r="AA86">
        <f>SMALL(SimData1!$I$9:$I$108,81)</f>
        <v>361.10403185453026</v>
      </c>
      <c r="AB86">
        <f>1/(COUNT(SimData1!$I$9:$I$108)-1)+$AB$85</f>
        <v>0.80808080808080696</v>
      </c>
    </row>
    <row r="87" spans="1:28">
      <c r="A87">
        <v>79</v>
      </c>
      <c r="B87">
        <v>370.94222554858038</v>
      </c>
      <c r="C87">
        <v>379.02209422995526</v>
      </c>
      <c r="D87">
        <v>367.44385906691519</v>
      </c>
      <c r="E87">
        <v>333.08843903278881</v>
      </c>
      <c r="F87">
        <v>370.94222554858038</v>
      </c>
      <c r="G87">
        <v>379.02209422995526</v>
      </c>
      <c r="H87">
        <v>367.44385906691519</v>
      </c>
      <c r="I87">
        <v>333.08843903278881</v>
      </c>
      <c r="M87">
        <f>SMALL(SimData1!$B$9:$B$108,82)</f>
        <v>371.34867379491601</v>
      </c>
      <c r="N87">
        <f>1/(COUNT(SimData1!$B$9:$B$108)-1)+$N$86</f>
        <v>0.81818181818181701</v>
      </c>
      <c r="O87">
        <f>SMALL(SimData1!$C$9:$C$108,82)</f>
        <v>415.27832126124213</v>
      </c>
      <c r="P87">
        <f>1/(COUNT(SimData1!$C$9:$C$108)-1)+$P$86</f>
        <v>0.81818181818181701</v>
      </c>
      <c r="Q87">
        <f>SMALL(SimData1!$D$9:$D$108,82)</f>
        <v>391.66855164215485</v>
      </c>
      <c r="R87">
        <f>1/(COUNT(SimData1!$D$9:$D$108)-1)+$R$86</f>
        <v>0.81818181818181701</v>
      </c>
      <c r="S87">
        <f>SMALL(SimData1!$E$9:$E$108,82)</f>
        <v>361.27746338157783</v>
      </c>
      <c r="T87">
        <f>1/(COUNT(SimData1!$E$9:$E$108)-1)+$T$86</f>
        <v>0.81818181818181701</v>
      </c>
      <c r="U87">
        <f>SMALL(SimData1!$F$9:$F$108,82)</f>
        <v>371.34867379491601</v>
      </c>
      <c r="V87">
        <f>1/(COUNT(SimData1!$F$9:$F$108)-1)+$V$86</f>
        <v>0.81818181818181701</v>
      </c>
      <c r="W87">
        <f>SMALL(SimData1!$G$9:$G$108,82)</f>
        <v>415.27832126124213</v>
      </c>
      <c r="X87">
        <f>1/(COUNT(SimData1!$G$9:$G$108)-1)+$X$86</f>
        <v>0.81818181818181701</v>
      </c>
      <c r="Y87">
        <f>SMALL(SimData1!$H$9:$H$108,82)</f>
        <v>391.66855164215485</v>
      </c>
      <c r="Z87">
        <f>1/(COUNT(SimData1!$H$9:$H$108)-1)+$Z$86</f>
        <v>0.81818181818181701</v>
      </c>
      <c r="AA87">
        <f>SMALL(SimData1!$I$9:$I$108,82)</f>
        <v>361.27746338157783</v>
      </c>
      <c r="AB87">
        <f>1/(COUNT(SimData1!$I$9:$I$108)-1)+$AB$86</f>
        <v>0.81818181818181701</v>
      </c>
    </row>
    <row r="88" spans="1:28">
      <c r="A88">
        <v>80</v>
      </c>
      <c r="B88">
        <v>334.38525907281127</v>
      </c>
      <c r="C88">
        <v>334.38525907281127</v>
      </c>
      <c r="D88">
        <v>298.41153815245417</v>
      </c>
      <c r="E88">
        <v>292.86299785303834</v>
      </c>
      <c r="F88">
        <v>334.38525907281127</v>
      </c>
      <c r="G88">
        <v>334.38525907281127</v>
      </c>
      <c r="H88">
        <v>298.41153815245417</v>
      </c>
      <c r="I88">
        <v>292.86299785303834</v>
      </c>
      <c r="M88">
        <f>SMALL(SimData1!$B$9:$B$108,83)</f>
        <v>371.64362798778916</v>
      </c>
      <c r="N88">
        <f>1/(COUNT(SimData1!$B$9:$B$108)-1)+$N$87</f>
        <v>0.82828282828282707</v>
      </c>
      <c r="O88">
        <f>SMALL(SimData1!$C$9:$C$108,83)</f>
        <v>420.62394376008888</v>
      </c>
      <c r="P88">
        <f>1/(COUNT(SimData1!$C$9:$C$108)-1)+$P$87</f>
        <v>0.82828282828282707</v>
      </c>
      <c r="Q88">
        <f>SMALL(SimData1!$D$9:$D$108,83)</f>
        <v>395.38532861138145</v>
      </c>
      <c r="R88">
        <f>1/(COUNT(SimData1!$D$9:$D$108)-1)+$R$87</f>
        <v>0.82828282828282707</v>
      </c>
      <c r="S88">
        <f>SMALL(SimData1!$E$9:$E$108,83)</f>
        <v>361.45709263939597</v>
      </c>
      <c r="T88">
        <f>1/(COUNT(SimData1!$E$9:$E$108)-1)+$T$87</f>
        <v>0.82828282828282707</v>
      </c>
      <c r="U88">
        <f>SMALL(SimData1!$F$9:$F$108,83)</f>
        <v>371.64362798778916</v>
      </c>
      <c r="V88">
        <f>1/(COUNT(SimData1!$F$9:$F$108)-1)+$V$87</f>
        <v>0.82828282828282707</v>
      </c>
      <c r="W88">
        <f>SMALL(SimData1!$G$9:$G$108,83)</f>
        <v>420.62394376008888</v>
      </c>
      <c r="X88">
        <f>1/(COUNT(SimData1!$G$9:$G$108)-1)+$X$87</f>
        <v>0.82828282828282707</v>
      </c>
      <c r="Y88">
        <f>SMALL(SimData1!$H$9:$H$108,83)</f>
        <v>395.38532861138145</v>
      </c>
      <c r="Z88">
        <f>1/(COUNT(SimData1!$H$9:$H$108)-1)+$Z$87</f>
        <v>0.82828282828282707</v>
      </c>
      <c r="AA88">
        <f>SMALL(SimData1!$I$9:$I$108,83)</f>
        <v>361.45709263939597</v>
      </c>
      <c r="AB88">
        <f>1/(COUNT(SimData1!$I$9:$I$108)-1)+$AB$87</f>
        <v>0.82828282828282707</v>
      </c>
    </row>
    <row r="89" spans="1:28">
      <c r="A89">
        <v>81</v>
      </c>
      <c r="B89">
        <v>341.22891024883398</v>
      </c>
      <c r="C89">
        <v>341.22891024883398</v>
      </c>
      <c r="D89">
        <v>364.38194959960668</v>
      </c>
      <c r="E89">
        <v>327.49410326257566</v>
      </c>
      <c r="F89">
        <v>341.22891024883398</v>
      </c>
      <c r="G89">
        <v>341.22891024883398</v>
      </c>
      <c r="H89">
        <v>364.38194959960668</v>
      </c>
      <c r="I89">
        <v>327.49410326257566</v>
      </c>
      <c r="M89">
        <f>SMALL(SimData1!$B$9:$B$108,84)</f>
        <v>373.4978728117926</v>
      </c>
      <c r="N89">
        <f>1/(COUNT(SimData1!$B$9:$B$108)-1)+$N$88</f>
        <v>0.83838383838383712</v>
      </c>
      <c r="O89">
        <f>SMALL(SimData1!$C$9:$C$108,84)</f>
        <v>420.82506024900277</v>
      </c>
      <c r="P89">
        <f>1/(COUNT(SimData1!$C$9:$C$108)-1)+$P$88</f>
        <v>0.83838383838383712</v>
      </c>
      <c r="Q89">
        <f>SMALL(SimData1!$D$9:$D$108,84)</f>
        <v>396.38865837867945</v>
      </c>
      <c r="R89">
        <f>1/(COUNT(SimData1!$D$9:$D$108)-1)+$R$88</f>
        <v>0.83838383838383712</v>
      </c>
      <c r="S89">
        <f>SMALL(SimData1!$E$9:$E$108,84)</f>
        <v>361.48988694722084</v>
      </c>
      <c r="T89">
        <f>1/(COUNT(SimData1!$E$9:$E$108)-1)+$T$88</f>
        <v>0.83838383838383712</v>
      </c>
      <c r="U89">
        <f>SMALL(SimData1!$F$9:$F$108,84)</f>
        <v>373.4978728117926</v>
      </c>
      <c r="V89">
        <f>1/(COUNT(SimData1!$F$9:$F$108)-1)+$V$88</f>
        <v>0.83838383838383712</v>
      </c>
      <c r="W89">
        <f>SMALL(SimData1!$G$9:$G$108,84)</f>
        <v>420.82506024900277</v>
      </c>
      <c r="X89">
        <f>1/(COUNT(SimData1!$G$9:$G$108)-1)+$X$88</f>
        <v>0.83838383838383712</v>
      </c>
      <c r="Y89">
        <f>SMALL(SimData1!$H$9:$H$108,84)</f>
        <v>396.38865837867945</v>
      </c>
      <c r="Z89">
        <f>1/(COUNT(SimData1!$H$9:$H$108)-1)+$Z$88</f>
        <v>0.83838383838383712</v>
      </c>
      <c r="AA89">
        <f>SMALL(SimData1!$I$9:$I$108,84)</f>
        <v>361.48988694722084</v>
      </c>
      <c r="AB89">
        <f>1/(COUNT(SimData1!$I$9:$I$108)-1)+$AB$88</f>
        <v>0.83838383838383712</v>
      </c>
    </row>
    <row r="90" spans="1:28">
      <c r="A90">
        <v>82</v>
      </c>
      <c r="B90">
        <v>352.25101005169165</v>
      </c>
      <c r="C90">
        <v>352.25101005169165</v>
      </c>
      <c r="D90">
        <v>385.7039764908219</v>
      </c>
      <c r="E90">
        <v>312.94133249383509</v>
      </c>
      <c r="F90">
        <v>352.25101005169165</v>
      </c>
      <c r="G90">
        <v>352.25101005169165</v>
      </c>
      <c r="H90">
        <v>385.7039764908219</v>
      </c>
      <c r="I90">
        <v>312.94133249383509</v>
      </c>
      <c r="M90">
        <f>SMALL(SimData1!$B$9:$B$108,85)</f>
        <v>374.57637298960231</v>
      </c>
      <c r="N90">
        <f>1/(COUNT(SimData1!$B$9:$B$108)-1)+$N$89</f>
        <v>0.84848484848484718</v>
      </c>
      <c r="O90">
        <f>SMALL(SimData1!$C$9:$C$108,85)</f>
        <v>421.19938732780008</v>
      </c>
      <c r="P90">
        <f>1/(COUNT(SimData1!$C$9:$C$108)-1)+$P$89</f>
        <v>0.84848484848484718</v>
      </c>
      <c r="Q90">
        <f>SMALL(SimData1!$D$9:$D$108,85)</f>
        <v>399.59967918716336</v>
      </c>
      <c r="R90">
        <f>1/(COUNT(SimData1!$D$9:$D$108)-1)+$R$89</f>
        <v>0.84848484848484718</v>
      </c>
      <c r="S90">
        <f>SMALL(SimData1!$E$9:$E$108,85)</f>
        <v>363.8276293146946</v>
      </c>
      <c r="T90">
        <f>1/(COUNT(SimData1!$E$9:$E$108)-1)+$T$89</f>
        <v>0.84848484848484718</v>
      </c>
      <c r="U90">
        <f>SMALL(SimData1!$F$9:$F$108,85)</f>
        <v>374.57637298960231</v>
      </c>
      <c r="V90">
        <f>1/(COUNT(SimData1!$F$9:$F$108)-1)+$V$89</f>
        <v>0.84848484848484718</v>
      </c>
      <c r="W90">
        <f>SMALL(SimData1!$G$9:$G$108,85)</f>
        <v>421.19938732780008</v>
      </c>
      <c r="X90">
        <f>1/(COUNT(SimData1!$G$9:$G$108)-1)+$X$89</f>
        <v>0.84848484848484718</v>
      </c>
      <c r="Y90">
        <f>SMALL(SimData1!$H$9:$H$108,85)</f>
        <v>399.59967918716336</v>
      </c>
      <c r="Z90">
        <f>1/(COUNT(SimData1!$H$9:$H$108)-1)+$Z$89</f>
        <v>0.84848484848484718</v>
      </c>
      <c r="AA90">
        <f>SMALL(SimData1!$I$9:$I$108,85)</f>
        <v>363.8276293146946</v>
      </c>
      <c r="AB90">
        <f>1/(COUNT(SimData1!$I$9:$I$108)-1)+$AB$89</f>
        <v>0.84848484848484718</v>
      </c>
    </row>
    <row r="91" spans="1:28">
      <c r="A91">
        <v>83</v>
      </c>
      <c r="B91">
        <v>359.19728367261541</v>
      </c>
      <c r="C91">
        <v>402.07452056848376</v>
      </c>
      <c r="D91">
        <v>402.07452056848376</v>
      </c>
      <c r="E91">
        <v>363.8276293146946</v>
      </c>
      <c r="F91">
        <v>359.19728367261541</v>
      </c>
      <c r="G91">
        <v>402.07452056848376</v>
      </c>
      <c r="H91">
        <v>402.07452056848376</v>
      </c>
      <c r="I91">
        <v>363.8276293146946</v>
      </c>
      <c r="M91">
        <f>SMALL(SimData1!$B$9:$B$108,86)</f>
        <v>374.62763292916037</v>
      </c>
      <c r="N91">
        <f>1/(COUNT(SimData1!$B$9:$B$108)-1)+$N$90</f>
        <v>0.85858585858585723</v>
      </c>
      <c r="O91">
        <f>SMALL(SimData1!$C$9:$C$108,86)</f>
        <v>421.56669171684717</v>
      </c>
      <c r="P91">
        <f>1/(COUNT(SimData1!$C$9:$C$108)-1)+$P$90</f>
        <v>0.85858585858585723</v>
      </c>
      <c r="Q91">
        <f>SMALL(SimData1!$D$9:$D$108,86)</f>
        <v>402.07452056848376</v>
      </c>
      <c r="R91">
        <f>1/(COUNT(SimData1!$D$9:$D$108)-1)+$R$90</f>
        <v>0.85858585858585723</v>
      </c>
      <c r="S91">
        <f>SMALL(SimData1!$E$9:$E$108,86)</f>
        <v>365.68171197715435</v>
      </c>
      <c r="T91">
        <f>1/(COUNT(SimData1!$E$9:$E$108)-1)+$T$90</f>
        <v>0.85858585858585723</v>
      </c>
      <c r="U91">
        <f>SMALL(SimData1!$F$9:$F$108,86)</f>
        <v>374.62763292916037</v>
      </c>
      <c r="V91">
        <f>1/(COUNT(SimData1!$F$9:$F$108)-1)+$V$90</f>
        <v>0.85858585858585723</v>
      </c>
      <c r="W91">
        <f>SMALL(SimData1!$G$9:$G$108,86)</f>
        <v>421.56669171684717</v>
      </c>
      <c r="X91">
        <f>1/(COUNT(SimData1!$G$9:$G$108)-1)+$X$90</f>
        <v>0.85858585858585723</v>
      </c>
      <c r="Y91">
        <f>SMALL(SimData1!$H$9:$H$108,86)</f>
        <v>402.07452056848376</v>
      </c>
      <c r="Z91">
        <f>1/(COUNT(SimData1!$H$9:$H$108)-1)+$Z$90</f>
        <v>0.85858585858585723</v>
      </c>
      <c r="AA91">
        <f>SMALL(SimData1!$I$9:$I$108,86)</f>
        <v>365.68171197715435</v>
      </c>
      <c r="AB91">
        <f>1/(COUNT(SimData1!$I$9:$I$108)-1)+$AB$90</f>
        <v>0.85858585858585723</v>
      </c>
    </row>
    <row r="92" spans="1:28">
      <c r="A92">
        <v>84</v>
      </c>
      <c r="B92">
        <v>371.34867379491601</v>
      </c>
      <c r="C92">
        <v>375.08259859782657</v>
      </c>
      <c r="D92">
        <v>408.55781194363425</v>
      </c>
      <c r="E92">
        <v>344.036616180664</v>
      </c>
      <c r="F92">
        <v>371.34867379491601</v>
      </c>
      <c r="G92">
        <v>375.08259859782657</v>
      </c>
      <c r="H92">
        <v>408.55781194363425</v>
      </c>
      <c r="I92">
        <v>344.036616180664</v>
      </c>
      <c r="M92">
        <f>SMALL(SimData1!$B$9:$B$108,87)</f>
        <v>374.92094130565584</v>
      </c>
      <c r="N92">
        <f>1/(COUNT(SimData1!$B$9:$B$108)-1)+$N$91</f>
        <v>0.86868686868686729</v>
      </c>
      <c r="O92">
        <f>SMALL(SimData1!$C$9:$C$108,87)</f>
        <v>426.08982255748896</v>
      </c>
      <c r="P92">
        <f>1/(COUNT(SimData1!$C$9:$C$108)-1)+$P$91</f>
        <v>0.86868686868686729</v>
      </c>
      <c r="Q92">
        <f>SMALL(SimData1!$D$9:$D$108,87)</f>
        <v>402.31466353132589</v>
      </c>
      <c r="R92">
        <f>1/(COUNT(SimData1!$D$9:$D$108)-1)+$R$91</f>
        <v>0.86868686868686729</v>
      </c>
      <c r="S92">
        <f>SMALL(SimData1!$E$9:$E$108,87)</f>
        <v>366.14781437996965</v>
      </c>
      <c r="T92">
        <f>1/(COUNT(SimData1!$E$9:$E$108)-1)+$T$91</f>
        <v>0.86868686868686729</v>
      </c>
      <c r="U92">
        <f>SMALL(SimData1!$F$9:$F$108,87)</f>
        <v>374.92094130565584</v>
      </c>
      <c r="V92">
        <f>1/(COUNT(SimData1!$F$9:$F$108)-1)+$V$91</f>
        <v>0.86868686868686729</v>
      </c>
      <c r="W92">
        <f>SMALL(SimData1!$G$9:$G$108,87)</f>
        <v>426.08982255748896</v>
      </c>
      <c r="X92">
        <f>1/(COUNT(SimData1!$G$9:$G$108)-1)+$X$91</f>
        <v>0.86868686868686729</v>
      </c>
      <c r="Y92">
        <f>SMALL(SimData1!$H$9:$H$108,87)</f>
        <v>402.31466353132589</v>
      </c>
      <c r="Z92">
        <f>1/(COUNT(SimData1!$H$9:$H$108)-1)+$Z$91</f>
        <v>0.86868686868686729</v>
      </c>
      <c r="AA92">
        <f>SMALL(SimData1!$I$9:$I$108,87)</f>
        <v>366.14781437996965</v>
      </c>
      <c r="AB92">
        <f>1/(COUNT(SimData1!$I$9:$I$108)-1)+$AB$91</f>
        <v>0.86868686868686729</v>
      </c>
    </row>
    <row r="93" spans="1:28">
      <c r="A93">
        <v>85</v>
      </c>
      <c r="B93">
        <v>363.40856575271692</v>
      </c>
      <c r="C93">
        <v>363.40856575271692</v>
      </c>
      <c r="D93">
        <v>410.10856987967162</v>
      </c>
      <c r="E93">
        <v>309.08629833342542</v>
      </c>
      <c r="F93">
        <v>363.40856575271692</v>
      </c>
      <c r="G93">
        <v>363.40856575271692</v>
      </c>
      <c r="H93">
        <v>410.10856987967162</v>
      </c>
      <c r="I93">
        <v>309.08629833342542</v>
      </c>
      <c r="M93">
        <f>SMALL(SimData1!$B$9:$B$108,88)</f>
        <v>377.66506935874042</v>
      </c>
      <c r="N93">
        <f>1/(COUNT(SimData1!$B$9:$B$108)-1)+$N$92</f>
        <v>0.87878787878787734</v>
      </c>
      <c r="O93">
        <f>SMALL(SimData1!$C$9:$C$108,88)</f>
        <v>426.27780085152961</v>
      </c>
      <c r="P93">
        <f>1/(COUNT(SimData1!$C$9:$C$108)-1)+$P$92</f>
        <v>0.87878787878787734</v>
      </c>
      <c r="Q93">
        <f>SMALL(SimData1!$D$9:$D$108,88)</f>
        <v>402.94734766100254</v>
      </c>
      <c r="R93">
        <f>1/(COUNT(SimData1!$D$9:$D$108)-1)+$R$92</f>
        <v>0.87878787878787734</v>
      </c>
      <c r="S93">
        <f>SMALL(SimData1!$E$9:$E$108,88)</f>
        <v>368.92571736356456</v>
      </c>
      <c r="T93">
        <f>1/(COUNT(SimData1!$E$9:$E$108)-1)+$T$92</f>
        <v>0.87878787878787734</v>
      </c>
      <c r="U93">
        <f>SMALL(SimData1!$F$9:$F$108,88)</f>
        <v>377.66506935874042</v>
      </c>
      <c r="V93">
        <f>1/(COUNT(SimData1!$F$9:$F$108)-1)+$V$92</f>
        <v>0.87878787878787734</v>
      </c>
      <c r="W93">
        <f>SMALL(SimData1!$G$9:$G$108,88)</f>
        <v>426.27780085152961</v>
      </c>
      <c r="X93">
        <f>1/(COUNT(SimData1!$G$9:$G$108)-1)+$X$92</f>
        <v>0.87878787878787734</v>
      </c>
      <c r="Y93">
        <f>SMALL(SimData1!$H$9:$H$108,88)</f>
        <v>402.94734766100254</v>
      </c>
      <c r="Z93">
        <f>1/(COUNT(SimData1!$H$9:$H$108)-1)+$Z$92</f>
        <v>0.87878787878787734</v>
      </c>
      <c r="AA93">
        <f>SMALL(SimData1!$I$9:$I$108,88)</f>
        <v>368.92571736356456</v>
      </c>
      <c r="AB93">
        <f>1/(COUNT(SimData1!$I$9:$I$108)-1)+$AB$92</f>
        <v>0.87878787878787734</v>
      </c>
    </row>
    <row r="94" spans="1:28">
      <c r="A94">
        <v>86</v>
      </c>
      <c r="B94">
        <v>345.15862568892214</v>
      </c>
      <c r="C94">
        <v>439.54535012351454</v>
      </c>
      <c r="D94">
        <v>372.81710879383024</v>
      </c>
      <c r="E94">
        <v>372.81710879383024</v>
      </c>
      <c r="F94">
        <v>345.15862568892214</v>
      </c>
      <c r="G94">
        <v>439.54535012351454</v>
      </c>
      <c r="H94">
        <v>372.81710879383024</v>
      </c>
      <c r="I94">
        <v>372.81710879383024</v>
      </c>
      <c r="M94">
        <f>SMALL(SimData1!$B$9:$B$108,89)</f>
        <v>378.56139723621999</v>
      </c>
      <c r="N94">
        <f>1/(COUNT(SimData1!$B$9:$B$108)-1)+$N$93</f>
        <v>0.8888888888888874</v>
      </c>
      <c r="O94">
        <f>SMALL(SimData1!$C$9:$C$108,89)</f>
        <v>426.78090691962024</v>
      </c>
      <c r="P94">
        <f>1/(COUNT(SimData1!$C$9:$C$108)-1)+$P$93</f>
        <v>0.8888888888888874</v>
      </c>
      <c r="Q94">
        <f>SMALL(SimData1!$D$9:$D$108,89)</f>
        <v>404.8864367325711</v>
      </c>
      <c r="R94">
        <f>1/(COUNT(SimData1!$D$9:$D$108)-1)+$R$93</f>
        <v>0.8888888888888874</v>
      </c>
      <c r="S94">
        <f>SMALL(SimData1!$E$9:$E$108,89)</f>
        <v>371.33545674899597</v>
      </c>
      <c r="T94">
        <f>1/(COUNT(SimData1!$E$9:$E$108)-1)+$T$93</f>
        <v>0.8888888888888874</v>
      </c>
      <c r="U94">
        <f>SMALL(SimData1!$F$9:$F$108,89)</f>
        <v>378.56139723621999</v>
      </c>
      <c r="V94">
        <f>1/(COUNT(SimData1!$F$9:$F$108)-1)+$V$93</f>
        <v>0.8888888888888874</v>
      </c>
      <c r="W94">
        <f>SMALL(SimData1!$G$9:$G$108,89)</f>
        <v>426.78090691962024</v>
      </c>
      <c r="X94">
        <f>1/(COUNT(SimData1!$G$9:$G$108)-1)+$X$93</f>
        <v>0.8888888888888874</v>
      </c>
      <c r="Y94">
        <f>SMALL(SimData1!$H$9:$H$108,89)</f>
        <v>404.8864367325711</v>
      </c>
      <c r="Z94">
        <f>1/(COUNT(SimData1!$H$9:$H$108)-1)+$Z$93</f>
        <v>0.8888888888888874</v>
      </c>
      <c r="AA94">
        <f>SMALL(SimData1!$I$9:$I$108,89)</f>
        <v>371.33545674899597</v>
      </c>
      <c r="AB94">
        <f>1/(COUNT(SimData1!$I$9:$I$108)-1)+$AB$93</f>
        <v>0.8888888888888874</v>
      </c>
    </row>
    <row r="95" spans="1:28">
      <c r="A95">
        <v>87</v>
      </c>
      <c r="B95">
        <v>344.88974198483174</v>
      </c>
      <c r="C95">
        <v>435.90955056450122</v>
      </c>
      <c r="D95">
        <v>361.45709263939597</v>
      </c>
      <c r="E95">
        <v>361.45709263939597</v>
      </c>
      <c r="F95">
        <v>344.88974198483174</v>
      </c>
      <c r="G95">
        <v>435.90955056450122</v>
      </c>
      <c r="H95">
        <v>361.45709263939597</v>
      </c>
      <c r="I95">
        <v>361.45709263939597</v>
      </c>
      <c r="M95">
        <f>SMALL(SimData1!$B$9:$B$108,90)</f>
        <v>379.17238996586377</v>
      </c>
      <c r="N95">
        <f>1/(COUNT(SimData1!$B$9:$B$108)-1)+$N$94</f>
        <v>0.89898989898989745</v>
      </c>
      <c r="O95">
        <f>SMALL(SimData1!$C$9:$C$108,90)</f>
        <v>429.45206628749537</v>
      </c>
      <c r="P95">
        <f>1/(COUNT(SimData1!$C$9:$C$108)-1)+$P$94</f>
        <v>0.89898989898989745</v>
      </c>
      <c r="Q95">
        <f>SMALL(SimData1!$D$9:$D$108,90)</f>
        <v>406.8289713272826</v>
      </c>
      <c r="R95">
        <f>1/(COUNT(SimData1!$D$9:$D$108)-1)+$R$94</f>
        <v>0.89898989898989745</v>
      </c>
      <c r="S95">
        <f>SMALL(SimData1!$E$9:$E$108,90)</f>
        <v>372.81710879383024</v>
      </c>
      <c r="T95">
        <f>1/(COUNT(SimData1!$E$9:$E$108)-1)+$T$94</f>
        <v>0.89898989898989745</v>
      </c>
      <c r="U95">
        <f>SMALL(SimData1!$F$9:$F$108,90)</f>
        <v>379.17238996586377</v>
      </c>
      <c r="V95">
        <f>1/(COUNT(SimData1!$F$9:$F$108)-1)+$V$94</f>
        <v>0.89898989898989745</v>
      </c>
      <c r="W95">
        <f>SMALL(SimData1!$G$9:$G$108,90)</f>
        <v>429.45206628749537</v>
      </c>
      <c r="X95">
        <f>1/(COUNT(SimData1!$G$9:$G$108)-1)+$X$94</f>
        <v>0.89898989898989745</v>
      </c>
      <c r="Y95">
        <f>SMALL(SimData1!$H$9:$H$108,90)</f>
        <v>406.8289713272826</v>
      </c>
      <c r="Z95">
        <f>1/(COUNT(SimData1!$H$9:$H$108)-1)+$Z$94</f>
        <v>0.89898989898989745</v>
      </c>
      <c r="AA95">
        <f>SMALL(SimData1!$I$9:$I$108,90)</f>
        <v>372.81710879383024</v>
      </c>
      <c r="AB95">
        <f>1/(COUNT(SimData1!$I$9:$I$108)-1)+$AB$94</f>
        <v>0.89898989898989745</v>
      </c>
    </row>
    <row r="96" spans="1:28">
      <c r="A96">
        <v>88</v>
      </c>
      <c r="B96">
        <v>359.45807438318269</v>
      </c>
      <c r="C96">
        <v>347.09338083350468</v>
      </c>
      <c r="D96">
        <v>324.36284945016433</v>
      </c>
      <c r="E96">
        <v>324.36284945016433</v>
      </c>
      <c r="F96">
        <v>359.45807438318269</v>
      </c>
      <c r="G96">
        <v>347.09338083350468</v>
      </c>
      <c r="H96">
        <v>324.36284945016433</v>
      </c>
      <c r="I96">
        <v>324.36284945016433</v>
      </c>
      <c r="M96">
        <f>SMALL(SimData1!$B$9:$B$108,91)</f>
        <v>379.62981164002059</v>
      </c>
      <c r="N96">
        <f>1/(COUNT(SimData1!$B$9:$B$108)-1)+$N$95</f>
        <v>0.90909090909090751</v>
      </c>
      <c r="O96">
        <f>SMALL(SimData1!$C$9:$C$108,91)</f>
        <v>433.64784302560957</v>
      </c>
      <c r="P96">
        <f>1/(COUNT(SimData1!$C$9:$C$108)-1)+$P$95</f>
        <v>0.90909090909090751</v>
      </c>
      <c r="Q96">
        <f>SMALL(SimData1!$D$9:$D$108,91)</f>
        <v>407.26735473279069</v>
      </c>
      <c r="R96">
        <f>1/(COUNT(SimData1!$D$9:$D$108)-1)+$R$95</f>
        <v>0.90909090909090751</v>
      </c>
      <c r="S96">
        <f>SMALL(SimData1!$E$9:$E$108,91)</f>
        <v>373.20680725928003</v>
      </c>
      <c r="T96">
        <f>1/(COUNT(SimData1!$E$9:$E$108)-1)+$T$95</f>
        <v>0.90909090909090751</v>
      </c>
      <c r="U96">
        <f>SMALL(SimData1!$F$9:$F$108,91)</f>
        <v>379.62981164002059</v>
      </c>
      <c r="V96">
        <f>1/(COUNT(SimData1!$F$9:$F$108)-1)+$V$95</f>
        <v>0.90909090909090751</v>
      </c>
      <c r="W96">
        <f>SMALL(SimData1!$G$9:$G$108,91)</f>
        <v>433.64784302560957</v>
      </c>
      <c r="X96">
        <f>1/(COUNT(SimData1!$G$9:$G$108)-1)+$X$95</f>
        <v>0.90909090909090751</v>
      </c>
      <c r="Y96">
        <f>SMALL(SimData1!$H$9:$H$108,91)</f>
        <v>407.26735473279069</v>
      </c>
      <c r="Z96">
        <f>1/(COUNT(SimData1!$H$9:$H$108)-1)+$Z$95</f>
        <v>0.90909090909090751</v>
      </c>
      <c r="AA96">
        <f>SMALL(SimData1!$I$9:$I$108,91)</f>
        <v>373.20680725928003</v>
      </c>
      <c r="AB96">
        <f>1/(COUNT(SimData1!$I$9:$I$108)-1)+$AB$95</f>
        <v>0.90909090909090751</v>
      </c>
    </row>
    <row r="97" spans="1:28">
      <c r="A97">
        <v>89</v>
      </c>
      <c r="B97">
        <v>346.14348015177063</v>
      </c>
      <c r="C97">
        <v>383.29545574681822</v>
      </c>
      <c r="D97">
        <v>361.27746338157783</v>
      </c>
      <c r="E97">
        <v>361.27746338157783</v>
      </c>
      <c r="F97">
        <v>346.14348015177063</v>
      </c>
      <c r="G97">
        <v>383.29545574681822</v>
      </c>
      <c r="H97">
        <v>361.27746338157783</v>
      </c>
      <c r="I97">
        <v>361.27746338157783</v>
      </c>
      <c r="M97">
        <f>SMALL(SimData1!$B$9:$B$108,92)</f>
        <v>382.24964679967673</v>
      </c>
      <c r="N97">
        <f>1/(COUNT(SimData1!$B$9:$B$108)-1)+$N$96</f>
        <v>0.91919191919191756</v>
      </c>
      <c r="O97">
        <f>SMALL(SimData1!$C$9:$C$108,92)</f>
        <v>435.85280647014332</v>
      </c>
      <c r="P97">
        <f>1/(COUNT(SimData1!$C$9:$C$108)-1)+$P$96</f>
        <v>0.91919191919191756</v>
      </c>
      <c r="Q97">
        <f>SMALL(SimData1!$D$9:$D$108,92)</f>
        <v>408.55781194363425</v>
      </c>
      <c r="R97">
        <f>1/(COUNT(SimData1!$D$9:$D$108)-1)+$R$96</f>
        <v>0.91919191919191756</v>
      </c>
      <c r="S97">
        <f>SMALL(SimData1!$E$9:$E$108,92)</f>
        <v>374.4654857726502</v>
      </c>
      <c r="T97">
        <f>1/(COUNT(SimData1!$E$9:$E$108)-1)+$T$96</f>
        <v>0.91919191919191756</v>
      </c>
      <c r="U97">
        <f>SMALL(SimData1!$F$9:$F$108,92)</f>
        <v>382.24964679967673</v>
      </c>
      <c r="V97">
        <f>1/(COUNT(SimData1!$F$9:$F$108)-1)+$V$96</f>
        <v>0.91919191919191756</v>
      </c>
      <c r="W97">
        <f>SMALL(SimData1!$G$9:$G$108,92)</f>
        <v>435.85280647014332</v>
      </c>
      <c r="X97">
        <f>1/(COUNT(SimData1!$G$9:$G$108)-1)+$X$96</f>
        <v>0.91919191919191756</v>
      </c>
      <c r="Y97">
        <f>SMALL(SimData1!$H$9:$H$108,92)</f>
        <v>408.55781194363425</v>
      </c>
      <c r="Z97">
        <f>1/(COUNT(SimData1!$H$9:$H$108)-1)+$Z$96</f>
        <v>0.91919191919191756</v>
      </c>
      <c r="AA97">
        <f>SMALL(SimData1!$I$9:$I$108,92)</f>
        <v>374.4654857726502</v>
      </c>
      <c r="AB97">
        <f>1/(COUNT(SimData1!$I$9:$I$108)-1)+$AB$96</f>
        <v>0.91919191919191756</v>
      </c>
    </row>
    <row r="98" spans="1:28">
      <c r="A98">
        <v>90</v>
      </c>
      <c r="B98">
        <v>363.16698557488422</v>
      </c>
      <c r="C98">
        <v>403.9238616024694</v>
      </c>
      <c r="D98">
        <v>348.13554181257962</v>
      </c>
      <c r="E98">
        <v>348.13554181257962</v>
      </c>
      <c r="F98">
        <v>363.16698557488422</v>
      </c>
      <c r="G98">
        <v>403.9238616024694</v>
      </c>
      <c r="H98">
        <v>348.13554181257962</v>
      </c>
      <c r="I98">
        <v>348.13554181257962</v>
      </c>
      <c r="M98">
        <f>SMALL(SimData1!$B$9:$B$108,93)</f>
        <v>386.22117914756183</v>
      </c>
      <c r="N98">
        <f>1/(COUNT(SimData1!$B$9:$B$108)-1)+$N$97</f>
        <v>0.92929292929292762</v>
      </c>
      <c r="O98">
        <f>SMALL(SimData1!$C$9:$C$108,93)</f>
        <v>435.90955056450122</v>
      </c>
      <c r="P98">
        <f>1/(COUNT(SimData1!$C$9:$C$108)-1)+$P$97</f>
        <v>0.92929292929292762</v>
      </c>
      <c r="Q98">
        <f>SMALL(SimData1!$D$9:$D$108,93)</f>
        <v>408.68260089650539</v>
      </c>
      <c r="R98">
        <f>1/(COUNT(SimData1!$D$9:$D$108)-1)+$R$97</f>
        <v>0.92929292929292762</v>
      </c>
      <c r="S98">
        <f>SMALL(SimData1!$E$9:$E$108,93)</f>
        <v>379.73653069138498</v>
      </c>
      <c r="T98">
        <f>1/(COUNT(SimData1!$E$9:$E$108)-1)+$T$97</f>
        <v>0.92929292929292762</v>
      </c>
      <c r="U98">
        <f>SMALL(SimData1!$F$9:$F$108,93)</f>
        <v>386.22117914756183</v>
      </c>
      <c r="V98">
        <f>1/(COUNT(SimData1!$F$9:$F$108)-1)+$V$97</f>
        <v>0.92929292929292762</v>
      </c>
      <c r="W98">
        <f>SMALL(SimData1!$G$9:$G$108,93)</f>
        <v>435.90955056450122</v>
      </c>
      <c r="X98">
        <f>1/(COUNT(SimData1!$G$9:$G$108)-1)+$X$97</f>
        <v>0.92929292929292762</v>
      </c>
      <c r="Y98">
        <f>SMALL(SimData1!$H$9:$H$108,93)</f>
        <v>408.68260089650539</v>
      </c>
      <c r="Z98">
        <f>1/(COUNT(SimData1!$H$9:$H$108)-1)+$Z$97</f>
        <v>0.92929292929292762</v>
      </c>
      <c r="AA98">
        <f>SMALL(SimData1!$I$9:$I$108,93)</f>
        <v>379.73653069138498</v>
      </c>
      <c r="AB98">
        <f>1/(COUNT(SimData1!$I$9:$I$108)-1)+$AB$97</f>
        <v>0.92929292929292762</v>
      </c>
    </row>
    <row r="99" spans="1:28">
      <c r="A99">
        <v>91</v>
      </c>
      <c r="B99">
        <v>449.42580660997282</v>
      </c>
      <c r="C99">
        <v>449.42580660997282</v>
      </c>
      <c r="D99">
        <v>379.73653069138498</v>
      </c>
      <c r="E99">
        <v>379.73653069138498</v>
      </c>
      <c r="F99">
        <v>449.42580660997282</v>
      </c>
      <c r="G99">
        <v>449.42580660997282</v>
      </c>
      <c r="H99">
        <v>379.73653069138498</v>
      </c>
      <c r="I99">
        <v>379.73653069138498</v>
      </c>
      <c r="M99">
        <f>SMALL(SimData1!$B$9:$B$108,94)</f>
        <v>388.89101387191215</v>
      </c>
      <c r="N99">
        <f>1/(COUNT(SimData1!$B$9:$B$108)-1)+$N$98</f>
        <v>0.93939393939393767</v>
      </c>
      <c r="O99">
        <f>SMALL(SimData1!$C$9:$C$108,94)</f>
        <v>436.59196829269041</v>
      </c>
      <c r="P99">
        <f>1/(COUNT(SimData1!$C$9:$C$108)-1)+$P$98</f>
        <v>0.93939393939393767</v>
      </c>
      <c r="Q99">
        <f>SMALL(SimData1!$D$9:$D$108,94)</f>
        <v>410.10856987967162</v>
      </c>
      <c r="R99">
        <f>1/(COUNT(SimData1!$D$9:$D$108)-1)+$R$98</f>
        <v>0.93939393939393767</v>
      </c>
      <c r="S99">
        <f>SMALL(SimData1!$E$9:$E$108,94)</f>
        <v>381.80320126653726</v>
      </c>
      <c r="T99">
        <f>1/(COUNT(SimData1!$E$9:$E$108)-1)+$T$98</f>
        <v>0.93939393939393767</v>
      </c>
      <c r="U99">
        <f>SMALL(SimData1!$F$9:$F$108,94)</f>
        <v>388.89101387191215</v>
      </c>
      <c r="V99">
        <f>1/(COUNT(SimData1!$F$9:$F$108)-1)+$V$98</f>
        <v>0.93939393939393767</v>
      </c>
      <c r="W99">
        <f>SMALL(SimData1!$G$9:$G$108,94)</f>
        <v>436.59196829269041</v>
      </c>
      <c r="X99">
        <f>1/(COUNT(SimData1!$G$9:$G$108)-1)+$X$98</f>
        <v>0.93939393939393767</v>
      </c>
      <c r="Y99">
        <f>SMALL(SimData1!$H$9:$H$108,94)</f>
        <v>410.10856987967162</v>
      </c>
      <c r="Z99">
        <f>1/(COUNT(SimData1!$H$9:$H$108)-1)+$Z$98</f>
        <v>0.93939393939393767</v>
      </c>
      <c r="AA99">
        <f>SMALL(SimData1!$I$9:$I$108,94)</f>
        <v>381.80320126653726</v>
      </c>
      <c r="AB99">
        <f>1/(COUNT(SimData1!$I$9:$I$108)-1)+$AB$98</f>
        <v>0.93939393939393767</v>
      </c>
    </row>
    <row r="100" spans="1:28">
      <c r="A100">
        <v>92</v>
      </c>
      <c r="B100">
        <v>355.84710405715333</v>
      </c>
      <c r="C100">
        <v>355.84710405715333</v>
      </c>
      <c r="D100">
        <v>319.24102980217469</v>
      </c>
      <c r="E100">
        <v>310.47681453654815</v>
      </c>
      <c r="F100">
        <v>355.84710405715333</v>
      </c>
      <c r="G100">
        <v>355.84710405715333</v>
      </c>
      <c r="H100">
        <v>319.24102980217469</v>
      </c>
      <c r="I100">
        <v>310.47681453654815</v>
      </c>
      <c r="M100">
        <f>SMALL(SimData1!$B$9:$B$108,95)</f>
        <v>392.99391930269684</v>
      </c>
      <c r="N100">
        <f>1/(COUNT(SimData1!$B$9:$B$108)-1)+$N$99</f>
        <v>0.94949494949494773</v>
      </c>
      <c r="O100">
        <f>SMALL(SimData1!$C$9:$C$108,95)</f>
        <v>438.61178352250465</v>
      </c>
      <c r="P100">
        <f>1/(COUNT(SimData1!$C$9:$C$108)-1)+$P$99</f>
        <v>0.94949494949494773</v>
      </c>
      <c r="Q100">
        <f>SMALL(SimData1!$D$9:$D$108,95)</f>
        <v>416.56657465120043</v>
      </c>
      <c r="R100">
        <f>1/(COUNT(SimData1!$D$9:$D$108)-1)+$R$99</f>
        <v>0.94949494949494773</v>
      </c>
      <c r="S100">
        <f>SMALL(SimData1!$E$9:$E$108,95)</f>
        <v>383.30117558217978</v>
      </c>
      <c r="T100">
        <f>1/(COUNT(SimData1!$E$9:$E$108)-1)+$T$99</f>
        <v>0.94949494949494773</v>
      </c>
      <c r="U100">
        <f>SMALL(SimData1!$F$9:$F$108,95)</f>
        <v>392.99391930269684</v>
      </c>
      <c r="V100">
        <f>1/(COUNT(SimData1!$F$9:$F$108)-1)+$V$99</f>
        <v>0.94949494949494773</v>
      </c>
      <c r="W100">
        <f>SMALL(SimData1!$G$9:$G$108,95)</f>
        <v>438.61178352250465</v>
      </c>
      <c r="X100">
        <f>1/(COUNT(SimData1!$G$9:$G$108)-1)+$X$99</f>
        <v>0.94949494949494773</v>
      </c>
      <c r="Y100">
        <f>SMALL(SimData1!$H$9:$H$108,95)</f>
        <v>416.56657465120043</v>
      </c>
      <c r="Z100">
        <f>1/(COUNT(SimData1!$H$9:$H$108)-1)+$Z$99</f>
        <v>0.94949494949494773</v>
      </c>
      <c r="AA100">
        <f>SMALL(SimData1!$I$9:$I$108,95)</f>
        <v>383.30117558217978</v>
      </c>
      <c r="AB100">
        <f>1/(COUNT(SimData1!$I$9:$I$108)-1)+$AB$99</f>
        <v>0.94949494949494773</v>
      </c>
    </row>
    <row r="101" spans="1:28">
      <c r="A101">
        <v>93</v>
      </c>
      <c r="B101">
        <v>318.0656937675036</v>
      </c>
      <c r="C101">
        <v>318.0656937675036</v>
      </c>
      <c r="D101">
        <v>361.10403185453026</v>
      </c>
      <c r="E101">
        <v>361.10403185453026</v>
      </c>
      <c r="F101">
        <v>318.0656937675036</v>
      </c>
      <c r="G101">
        <v>318.0656937675036</v>
      </c>
      <c r="H101">
        <v>361.10403185453026</v>
      </c>
      <c r="I101">
        <v>361.10403185453026</v>
      </c>
      <c r="M101">
        <f>SMALL(SimData1!$B$9:$B$108,96)</f>
        <v>415.27832126124213</v>
      </c>
      <c r="N101">
        <f>1/(COUNT(SimData1!$B$9:$B$108)-1)+$N$100</f>
        <v>0.95959595959595778</v>
      </c>
      <c r="O101">
        <f>SMALL(SimData1!$C$9:$C$108,96)</f>
        <v>439.54535012351454</v>
      </c>
      <c r="P101">
        <f>1/(COUNT(SimData1!$C$9:$C$108)-1)+$P$100</f>
        <v>0.95959595959595778</v>
      </c>
      <c r="Q101">
        <f>SMALL(SimData1!$D$9:$D$108,96)</f>
        <v>420.62394376008888</v>
      </c>
      <c r="R101">
        <f>1/(COUNT(SimData1!$D$9:$D$108)-1)+$R$100</f>
        <v>0.95959595959595778</v>
      </c>
      <c r="S101">
        <f>SMALL(SimData1!$E$9:$E$108,96)</f>
        <v>385.26544387803074</v>
      </c>
      <c r="T101">
        <f>1/(COUNT(SimData1!$E$9:$E$108)-1)+$T$100</f>
        <v>0.95959595959595778</v>
      </c>
      <c r="U101">
        <f>SMALL(SimData1!$F$9:$F$108,96)</f>
        <v>415.27832126124213</v>
      </c>
      <c r="V101">
        <f>1/(COUNT(SimData1!$F$9:$F$108)-1)+$V$100</f>
        <v>0.95959595959595778</v>
      </c>
      <c r="W101">
        <f>SMALL(SimData1!$G$9:$G$108,96)</f>
        <v>439.54535012351454</v>
      </c>
      <c r="X101">
        <f>1/(COUNT(SimData1!$G$9:$G$108)-1)+$X$100</f>
        <v>0.95959595959595778</v>
      </c>
      <c r="Y101">
        <f>SMALL(SimData1!$H$9:$H$108,96)</f>
        <v>420.62394376008888</v>
      </c>
      <c r="Z101">
        <f>1/(COUNT(SimData1!$H$9:$H$108)-1)+$Z$100</f>
        <v>0.95959595959595778</v>
      </c>
      <c r="AA101">
        <f>SMALL(SimData1!$I$9:$I$108,96)</f>
        <v>385.26544387803074</v>
      </c>
      <c r="AB101">
        <f>1/(COUNT(SimData1!$I$9:$I$108)-1)+$AB$100</f>
        <v>0.95959595959595778</v>
      </c>
    </row>
    <row r="102" spans="1:28">
      <c r="A102">
        <v>94</v>
      </c>
      <c r="B102">
        <v>335.32493749016447</v>
      </c>
      <c r="C102">
        <v>346.08451306120708</v>
      </c>
      <c r="D102">
        <v>352.18792747859555</v>
      </c>
      <c r="E102">
        <v>305.9863461695856</v>
      </c>
      <c r="F102">
        <v>335.32493749016447</v>
      </c>
      <c r="G102">
        <v>346.08451306120708</v>
      </c>
      <c r="H102">
        <v>352.18792747859555</v>
      </c>
      <c r="I102">
        <v>305.9863461695856</v>
      </c>
      <c r="M102">
        <f>SMALL(SimData1!$B$9:$B$108,97)</f>
        <v>416.18282632003292</v>
      </c>
      <c r="N102">
        <f>1/(COUNT(SimData1!$B$9:$B$108)-1)+$N$101</f>
        <v>0.96969696969696784</v>
      </c>
      <c r="O102">
        <f>SMALL(SimData1!$C$9:$C$108,97)</f>
        <v>441.16834138265642</v>
      </c>
      <c r="P102">
        <f>1/(COUNT(SimData1!$C$9:$C$108)-1)+$P$101</f>
        <v>0.96969696969696784</v>
      </c>
      <c r="Q102">
        <f>SMALL(SimData1!$D$9:$D$108,97)</f>
        <v>420.82506024900277</v>
      </c>
      <c r="R102">
        <f>1/(COUNT(SimData1!$D$9:$D$108)-1)+$R$101</f>
        <v>0.96969696969696784</v>
      </c>
      <c r="S102">
        <f>SMALL(SimData1!$E$9:$E$108,97)</f>
        <v>385.56090467476321</v>
      </c>
      <c r="T102">
        <f>1/(COUNT(SimData1!$E$9:$E$108)-1)+$T$101</f>
        <v>0.96969696969696784</v>
      </c>
      <c r="U102">
        <f>SMALL(SimData1!$F$9:$F$108,97)</f>
        <v>416.18282632003292</v>
      </c>
      <c r="V102">
        <f>1/(COUNT(SimData1!$F$9:$F$108)-1)+$V$101</f>
        <v>0.96969696969696784</v>
      </c>
      <c r="W102">
        <f>SMALL(SimData1!$G$9:$G$108,97)</f>
        <v>441.16834138265642</v>
      </c>
      <c r="X102">
        <f>1/(COUNT(SimData1!$G$9:$G$108)-1)+$X$101</f>
        <v>0.96969696969696784</v>
      </c>
      <c r="Y102">
        <f>SMALL(SimData1!$H$9:$H$108,97)</f>
        <v>420.82506024900277</v>
      </c>
      <c r="Z102">
        <f>1/(COUNT(SimData1!$H$9:$H$108)-1)+$Z$101</f>
        <v>0.96969696969696784</v>
      </c>
      <c r="AA102">
        <f>SMALL(SimData1!$I$9:$I$108,97)</f>
        <v>385.56090467476321</v>
      </c>
      <c r="AB102">
        <f>1/(COUNT(SimData1!$I$9:$I$108)-1)+$AB$101</f>
        <v>0.96969696969696784</v>
      </c>
    </row>
    <row r="103" spans="1:28">
      <c r="A103">
        <v>95</v>
      </c>
      <c r="B103">
        <v>344.23356139135967</v>
      </c>
      <c r="C103">
        <v>344.23356139135967</v>
      </c>
      <c r="D103">
        <v>303.94209145709368</v>
      </c>
      <c r="E103">
        <v>303.94209145709368</v>
      </c>
      <c r="F103">
        <v>344.23356139135967</v>
      </c>
      <c r="G103">
        <v>344.23356139135967</v>
      </c>
      <c r="H103">
        <v>303.94209145709368</v>
      </c>
      <c r="I103">
        <v>303.94209145709368</v>
      </c>
      <c r="M103">
        <f>SMALL(SimData1!$B$9:$B$108,98)</f>
        <v>420.62394376008888</v>
      </c>
      <c r="N103">
        <f>1/(COUNT(SimData1!$B$9:$B$108)-1)+$N$102</f>
        <v>0.97979797979797789</v>
      </c>
      <c r="O103">
        <f>SMALL(SimData1!$C$9:$C$108,98)</f>
        <v>445.87054028492867</v>
      </c>
      <c r="P103">
        <f>1/(COUNT(SimData1!$C$9:$C$108)-1)+$P$102</f>
        <v>0.97979797979797789</v>
      </c>
      <c r="Q103">
        <f>SMALL(SimData1!$D$9:$D$108,98)</f>
        <v>426.78090691962024</v>
      </c>
      <c r="R103">
        <f>1/(COUNT(SimData1!$D$9:$D$108)-1)+$R$102</f>
        <v>0.97979797979797789</v>
      </c>
      <c r="S103">
        <f>SMALL(SimData1!$E$9:$E$108,98)</f>
        <v>396.05092323109045</v>
      </c>
      <c r="T103">
        <f>1/(COUNT(SimData1!$E$9:$E$108)-1)+$T$102</f>
        <v>0.97979797979797789</v>
      </c>
      <c r="U103">
        <f>SMALL(SimData1!$F$9:$F$108,98)</f>
        <v>420.62394376008888</v>
      </c>
      <c r="V103">
        <f>1/(COUNT(SimData1!$F$9:$F$108)-1)+$V$102</f>
        <v>0.97979797979797789</v>
      </c>
      <c r="W103">
        <f>SMALL(SimData1!$G$9:$G$108,98)</f>
        <v>445.87054028492867</v>
      </c>
      <c r="X103">
        <f>1/(COUNT(SimData1!$G$9:$G$108)-1)+$X$102</f>
        <v>0.97979797979797789</v>
      </c>
      <c r="Y103">
        <f>SMALL(SimData1!$H$9:$H$108,98)</f>
        <v>426.78090691962024</v>
      </c>
      <c r="Z103">
        <f>1/(COUNT(SimData1!$H$9:$H$108)-1)+$Z$102</f>
        <v>0.97979797979797789</v>
      </c>
      <c r="AA103">
        <f>SMALL(SimData1!$I$9:$I$108,98)</f>
        <v>396.05092323109045</v>
      </c>
      <c r="AB103">
        <f>1/(COUNT(SimData1!$I$9:$I$108)-1)+$AB$102</f>
        <v>0.97979797979797789</v>
      </c>
    </row>
    <row r="104" spans="1:28">
      <c r="A104">
        <v>96</v>
      </c>
      <c r="B104">
        <v>354.41907532719563</v>
      </c>
      <c r="C104">
        <v>354.41907532719563</v>
      </c>
      <c r="D104">
        <v>368.92571736356456</v>
      </c>
      <c r="E104">
        <v>368.92571736356456</v>
      </c>
      <c r="F104">
        <v>354.41907532719563</v>
      </c>
      <c r="G104">
        <v>354.41907532719563</v>
      </c>
      <c r="H104">
        <v>368.92571736356456</v>
      </c>
      <c r="I104">
        <v>368.92571736356456</v>
      </c>
      <c r="M104">
        <f>SMALL(SimData1!$B$9:$B$108,99)</f>
        <v>433.64784302560957</v>
      </c>
      <c r="N104">
        <f>1/(COUNT(SimData1!$B$9:$B$108)-1)+$N$103</f>
        <v>0.98989898989898795</v>
      </c>
      <c r="O104">
        <f>SMALL(SimData1!$C$9:$C$108,99)</f>
        <v>446.73824216074047</v>
      </c>
      <c r="P104">
        <f>1/(COUNT(SimData1!$C$9:$C$108)-1)+$P$103</f>
        <v>0.98989898989898795</v>
      </c>
      <c r="Q104">
        <f>SMALL(SimData1!$D$9:$D$108,99)</f>
        <v>433.64784302560957</v>
      </c>
      <c r="R104">
        <f>1/(COUNT(SimData1!$D$9:$D$108)-1)+$R$103</f>
        <v>0.98989898989898795</v>
      </c>
      <c r="S104">
        <f>SMALL(SimData1!$E$9:$E$108,99)</f>
        <v>399.59967918716336</v>
      </c>
      <c r="T104">
        <f>1/(COUNT(SimData1!$E$9:$E$108)-1)+$T$103</f>
        <v>0.98989898989898795</v>
      </c>
      <c r="U104">
        <f>SMALL(SimData1!$F$9:$F$108,99)</f>
        <v>433.64784302560957</v>
      </c>
      <c r="V104">
        <f>1/(COUNT(SimData1!$F$9:$F$108)-1)+$V$103</f>
        <v>0.98989898989898795</v>
      </c>
      <c r="W104">
        <f>SMALL(SimData1!$G$9:$G$108,99)</f>
        <v>446.73824216074047</v>
      </c>
      <c r="X104">
        <f>1/(COUNT(SimData1!$G$9:$G$108)-1)+$X$103</f>
        <v>0.98989898989898795</v>
      </c>
      <c r="Y104">
        <f>SMALL(SimData1!$H$9:$H$108,99)</f>
        <v>433.64784302560957</v>
      </c>
      <c r="Z104">
        <f>1/(COUNT(SimData1!$H$9:$H$108)-1)+$Z$103</f>
        <v>0.98989898989898795</v>
      </c>
      <c r="AA104">
        <f>SMALL(SimData1!$I$9:$I$108,99)</f>
        <v>399.59967918716336</v>
      </c>
      <c r="AB104">
        <f>1/(COUNT(SimData1!$I$9:$I$108)-1)+$AB$103</f>
        <v>0.98989898989898795</v>
      </c>
    </row>
    <row r="105" spans="1:28">
      <c r="A105">
        <v>97</v>
      </c>
      <c r="B105">
        <v>371.64362798778916</v>
      </c>
      <c r="C105">
        <v>357.14878121789627</v>
      </c>
      <c r="D105">
        <v>357.14878121789627</v>
      </c>
      <c r="E105">
        <v>308.85747849079428</v>
      </c>
      <c r="F105">
        <v>371.64362798778916</v>
      </c>
      <c r="G105">
        <v>357.14878121789627</v>
      </c>
      <c r="H105">
        <v>357.14878121789627</v>
      </c>
      <c r="I105">
        <v>308.85747849079428</v>
      </c>
      <c r="M105">
        <f>SMALL(SimData1!$B$9:$B$108,100)</f>
        <v>449.42580660997282</v>
      </c>
      <c r="N105">
        <f>1/(COUNT(SimData1!$B$9:$B$108)-1)+$N$104</f>
        <v>0.999999999999998</v>
      </c>
      <c r="O105">
        <f>SMALL(SimData1!$C$9:$C$108,100)</f>
        <v>449.42580660997282</v>
      </c>
      <c r="P105">
        <f>1/(COUNT(SimData1!$C$9:$C$108)-1)+$P$104</f>
        <v>0.999999999999998</v>
      </c>
      <c r="Q105">
        <f>SMALL(SimData1!$D$9:$D$108,100)</f>
        <v>446.73824216074047</v>
      </c>
      <c r="R105">
        <f>1/(COUNT(SimData1!$D$9:$D$108)-1)+$R$104</f>
        <v>0.999999999999998</v>
      </c>
      <c r="S105">
        <f>SMALL(SimData1!$E$9:$E$108,100)</f>
        <v>408.37453768072669</v>
      </c>
      <c r="T105">
        <f>1/(COUNT(SimData1!$E$9:$E$108)-1)+$T$104</f>
        <v>0.999999999999998</v>
      </c>
      <c r="U105">
        <f>SMALL(SimData1!$F$9:$F$108,100)</f>
        <v>449.42580660997282</v>
      </c>
      <c r="V105">
        <f>1/(COUNT(SimData1!$F$9:$F$108)-1)+$V$104</f>
        <v>0.999999999999998</v>
      </c>
      <c r="W105">
        <f>SMALL(SimData1!$G$9:$G$108,100)</f>
        <v>449.42580660997282</v>
      </c>
      <c r="X105">
        <f>1/(COUNT(SimData1!$G$9:$G$108)-1)+$X$104</f>
        <v>0.999999999999998</v>
      </c>
      <c r="Y105">
        <f>SMALL(SimData1!$H$9:$H$108,100)</f>
        <v>446.73824216074047</v>
      </c>
      <c r="Z105">
        <f>1/(COUNT(SimData1!$H$9:$H$108)-1)+$Z$104</f>
        <v>0.999999999999998</v>
      </c>
      <c r="AA105">
        <f>SMALL(SimData1!$I$9:$I$108,100)</f>
        <v>408.37453768072669</v>
      </c>
      <c r="AB105">
        <f>1/(COUNT(SimData1!$I$9:$I$108)-1)+$AB$104</f>
        <v>0.999999999999998</v>
      </c>
    </row>
    <row r="106" spans="1:28">
      <c r="A106">
        <v>98</v>
      </c>
      <c r="B106">
        <v>322.96441732800793</v>
      </c>
      <c r="C106">
        <v>327.69669670491515</v>
      </c>
      <c r="D106">
        <v>327.69669670491515</v>
      </c>
      <c r="E106">
        <v>278.08001512941604</v>
      </c>
      <c r="F106">
        <v>322.96441732800793</v>
      </c>
      <c r="G106">
        <v>327.69669670491515</v>
      </c>
      <c r="H106">
        <v>327.69669670491515</v>
      </c>
      <c r="I106">
        <v>278.08001512941604</v>
      </c>
    </row>
    <row r="107" spans="1:28">
      <c r="A107">
        <v>99</v>
      </c>
      <c r="B107">
        <v>348.85955272681144</v>
      </c>
      <c r="C107">
        <v>348.85955272681144</v>
      </c>
      <c r="D107">
        <v>348.85955272681144</v>
      </c>
      <c r="E107">
        <v>351.40057481639792</v>
      </c>
      <c r="F107">
        <v>348.85955272681144</v>
      </c>
      <c r="G107">
        <v>348.85955272681144</v>
      </c>
      <c r="H107">
        <v>348.85955272681144</v>
      </c>
      <c r="I107">
        <v>351.40057481639792</v>
      </c>
    </row>
    <row r="108" spans="1:28">
      <c r="A108">
        <v>100</v>
      </c>
      <c r="B108">
        <v>348.78997363656725</v>
      </c>
      <c r="C108">
        <v>291.11481607230087</v>
      </c>
      <c r="D108">
        <v>339.13424096410716</v>
      </c>
      <c r="E108">
        <v>339.13424096410716</v>
      </c>
      <c r="F108">
        <v>348.78997363656725</v>
      </c>
      <c r="G108">
        <v>291.11481607230087</v>
      </c>
      <c r="H108">
        <v>339.13424096410716</v>
      </c>
      <c r="I108">
        <v>339.13424096410716</v>
      </c>
    </row>
    <row r="110" spans="1:28">
      <c r="A110" t="s">
        <v>25</v>
      </c>
    </row>
    <row r="111" spans="1:28">
      <c r="A111" t="s">
        <v>26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  <c r="I111" t="str">
        <f>IF(ISBLANK($I110)=TRUE,"",_xll.EDF(I9:I108,$I110))</f>
        <v/>
      </c>
    </row>
    <row r="112" spans="1:28">
      <c r="A112" t="s">
        <v>27</v>
      </c>
    </row>
    <row r="113" spans="1:9">
      <c r="A113" t="s">
        <v>28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  <c r="I113" t="str">
        <f>IF(ISBLANK($I112)=TRUE,"",_xll.EDF(I9:I108,$I112))</f>
        <v/>
      </c>
    </row>
    <row r="114" spans="1:9">
      <c r="A114" t="s">
        <v>29</v>
      </c>
    </row>
    <row r="115" spans="1:9">
      <c r="A115" t="s">
        <v>30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  <c r="I115" t="str">
        <f>IF(ISBLANK($I114)=TRUE,"",_xll.EDF(I9:I108,$I114))</f>
        <v/>
      </c>
    </row>
    <row r="116" spans="1:9">
      <c r="A116" t="s">
        <v>31</v>
      </c>
    </row>
    <row r="117" spans="1:9">
      <c r="A117" t="s">
        <v>32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  <c r="I117" t="str">
        <f>IF(ISBLANK($I116)=TRUE,"",_xll.EDF(I9:I108,$I116))</f>
        <v/>
      </c>
    </row>
    <row r="118" spans="1:9">
      <c r="A118" t="s">
        <v>33</v>
      </c>
    </row>
    <row r="119" spans="1:9">
      <c r="A119" t="s">
        <v>34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  <c r="I119" t="str">
        <f>IF(ISBLANK($I118)=TRUE,"",_xll.EDF(I9:I108,$I118))</f>
        <v/>
      </c>
    </row>
  </sheetData>
  <sheetCalcPr fullCalcOnLoad="1"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showGridLines="0" workbookViewId="0">
      <selection activeCell="B4" sqref="B4"/>
    </sheetView>
  </sheetViews>
  <sheetFormatPr defaultRowHeight="12.75"/>
  <sheetData>
    <row r="1" spans="1:12">
      <c r="A1" t="str">
        <f>"Stochastic Efficiency with Respect to A Function (SERF) Under a"&amp;IF($D$4=1," Neg. Exponential",IF($D$4=2," Power",IF($D$4=3,"n Expo-Power",IF($D$4=4," Quadratic",IF($D$4=5," Log",IF($D$4=6,"n Exponent",IF($D$4=7," HARA","")))))))&amp;" Utility Function"</f>
        <v>Stochastic Efficiency with Respect to A Function (SERF) Under a Neg. Exponential Utility Function</v>
      </c>
      <c r="H1" t="str">
        <f>IF($D$4=1,"Neg. Exponential",IF($D$4=2,"Power",IF($D$4=3,"Expo-Power",IF($D$4=4,"Quadratic",IF($D$4=5,"Log",IF($D$4=6,"Exponent",IF($D$4=7,"HARA","")))))))&amp;" Utility Weighted Risk Premiums Relative to "&amp;$H$3</f>
        <v>Neg. Exponential Utility Weighted Risk Premiums Relative to Average Profit: 1</v>
      </c>
    </row>
    <row r="2" spans="1:12">
      <c r="A2" t="s">
        <v>65</v>
      </c>
      <c r="H2" t="s">
        <v>39</v>
      </c>
    </row>
    <row r="3" spans="1:12">
      <c r="A3" t="s">
        <v>37</v>
      </c>
      <c r="B3" s="27">
        <v>0</v>
      </c>
      <c r="D3" t="str">
        <f>$D$4&amp;" = "&amp;IF($D$4=1,"Neg. Exponential",IF($D$4=2,"Power",IF($D$4=3,"Expo-Power",IF($D$4=4,"Quadratic",IF($D$4=5,"Log",IF($D$4=6,"Exponent",IF($D$4=7,"HARA",""))))))&amp;" Utility Function")</f>
        <v>1 = Neg. Exponential</v>
      </c>
      <c r="H3" s="1" t="str">
        <f>$C$11</f>
        <v>Average Profit: 1</v>
      </c>
      <c r="I3" t="s">
        <v>75</v>
      </c>
    </row>
    <row r="4" spans="1:12">
      <c r="A4" t="s">
        <v>38</v>
      </c>
      <c r="B4" s="27">
        <f>4/350</f>
        <v>1.1428571428571429E-2</v>
      </c>
      <c r="D4" s="1">
        <v>1</v>
      </c>
    </row>
    <row r="5" spans="1:12">
      <c r="A5" t="s">
        <v>66</v>
      </c>
      <c r="B5" s="27" t="b">
        <v>1</v>
      </c>
      <c r="D5" t="str">
        <f>"U(x) = "&amp;IF($D$4=1,"-exp(-ARAC*x)",IF($D$4=2,"(1/(1-RRAC))*x^(1-RRAC)",IF($D$4=3,"-exp(-b*x^a)",IF($D$4=4,"a*x-b/2*x^2, a&gt;0",IF($D$4=5,"ln(x+a)",IF($D$4=6,"(x+a)^b",IF($D$4=7,"c/(1-c)*(a+b/c*x)^(1-c)","")))))))</f>
        <v>U(x) = -exp(-ARAC*x)</v>
      </c>
    </row>
    <row r="6" spans="1:12">
      <c r="A6" t="s">
        <v>67</v>
      </c>
      <c r="B6" s="27">
        <v>0</v>
      </c>
    </row>
    <row r="7" spans="1:12">
      <c r="A7" t="s">
        <v>68</v>
      </c>
      <c r="B7" s="27" t="s">
        <v>71</v>
      </c>
      <c r="D7" t="s">
        <v>72</v>
      </c>
    </row>
    <row r="8" spans="1:12">
      <c r="A8" t="s">
        <v>69</v>
      </c>
      <c r="B8" s="27" t="s">
        <v>71</v>
      </c>
      <c r="D8" t="s">
        <v>73</v>
      </c>
      <c r="E8">
        <f>AVERAGE(SimData1!$B$9:$B$108,SimData1!$C$9:$C$108,SimData1!$D$9:$D$108,SimData1!$E$9:$E$108,)</f>
        <v>352.36871862984401</v>
      </c>
    </row>
    <row r="9" spans="1:12">
      <c r="A9" t="s">
        <v>70</v>
      </c>
      <c r="B9" s="27" t="s">
        <v>71</v>
      </c>
      <c r="D9" t="s">
        <v>74</v>
      </c>
      <c r="E9">
        <f>STDEV(SimData1!$B$9:$B$108,SimData1!$C$9:$C$108,SimData1!$D$9:$D$108,SimData1!$E$9:$E$108,)</f>
        <v>41.095656563410579</v>
      </c>
    </row>
    <row r="11" spans="1:12">
      <c r="B11" t="str">
        <f>IF(AND($B$5),"A","R")&amp;"RAC"</f>
        <v>ARAC</v>
      </c>
      <c r="C11" t="str">
        <f>SimData1!$B$8</f>
        <v>Average Profit: 1</v>
      </c>
      <c r="D11" t="str">
        <f>SimData1!$C$8</f>
        <v>Average Profit: 2</v>
      </c>
      <c r="E11" t="str">
        <f>SimData1!$D$8</f>
        <v>Average Profit: 3</v>
      </c>
      <c r="F11" t="str">
        <f>SimData1!$E$8</f>
        <v>Average Profit: 4</v>
      </c>
      <c r="H11" t="str">
        <f>$B$11</f>
        <v>ARAC</v>
      </c>
      <c r="I11" t="str">
        <f>$C$11</f>
        <v>Average Profit: 1</v>
      </c>
      <c r="J11" t="str">
        <f>$D$11</f>
        <v>Average Profit: 2</v>
      </c>
      <c r="K11" t="str">
        <f>$E$11</f>
        <v>Average Profit: 3</v>
      </c>
      <c r="L11" t="str">
        <f>$F$11</f>
        <v>Average Profit: 4</v>
      </c>
    </row>
    <row r="12" spans="1:12">
      <c r="A12">
        <v>1</v>
      </c>
      <c r="B12">
        <f>$B$3</f>
        <v>0</v>
      </c>
      <c r="C12" s="6">
        <f>_xll.CERTEQ(SimData1!$B$9:$B$108,$B$12,$D$4,$B$6,$B$5, $B$7,$B$8,$B$9)</f>
        <v>354.44131725468498</v>
      </c>
      <c r="D12" s="6">
        <f>_xll.CERTEQ(SimData1!$C$9:$C$108,$B$12,$D$4,$B$6,$B$5, $B$7,$B$8,$B$9)</f>
        <v>369.3848002235855</v>
      </c>
      <c r="E12" s="6">
        <f>_xll.CERTEQ(SimData1!$D$9:$D$108,$B$12,$D$4,$B$6,$B$5, $B$7,$B$8,$B$9)</f>
        <v>359.95920918278767</v>
      </c>
      <c r="F12" s="6">
        <f>_xll.CERTEQ(SimData1!$E$9:$E$108,$B$12,$D$4,$B$6,$B$5, $B$7,$B$8,$B$9)</f>
        <v>329.21323504461571</v>
      </c>
      <c r="H12">
        <f>$B$12</f>
        <v>0</v>
      </c>
      <c r="I12" s="7">
        <f>$C$12-HLOOKUP($H$3,$C$11:$F$36,$A$12+1,FALSE)</f>
        <v>0</v>
      </c>
      <c r="J12" s="7">
        <f>$D$12-HLOOKUP($H$3,$C$11:$F$36,$A$12+1,FALSE)</f>
        <v>14.943482968900526</v>
      </c>
      <c r="K12" s="7">
        <f>$E$12-HLOOKUP($H$3,$C$11:$F$36,$A$12+1,FALSE)</f>
        <v>5.5178919281026992</v>
      </c>
      <c r="L12" s="7">
        <f>$F$12-HLOOKUP($H$3,$C$11:$F$36,$A$12+1,FALSE)</f>
        <v>-25.22808221006926</v>
      </c>
    </row>
    <row r="13" spans="1:12">
      <c r="A13">
        <v>2</v>
      </c>
      <c r="B13" s="3">
        <f>$B$12+($B$4-$B$3)/24</f>
        <v>4.7619047619047619E-4</v>
      </c>
      <c r="C13" s="6">
        <f>_xll.CERTEQ(SimData1!$B$9:$B$108,$B$13,$D$4,$B$6,$B$5, $B$7,$B$8,$B$9)</f>
        <v>354.28875702239048</v>
      </c>
      <c r="D13" s="6">
        <f>_xll.CERTEQ(SimData1!$C$9:$C$108,$B$13,$D$4,$B$6,$B$5, $B$7,$B$8,$B$9)</f>
        <v>369.00506752306086</v>
      </c>
      <c r="E13" s="6">
        <f>_xll.CERTEQ(SimData1!$D$9:$D$108,$B$13,$D$4,$B$6,$B$5, $B$7,$B$8,$B$9)</f>
        <v>359.67641305918153</v>
      </c>
      <c r="F13" s="6">
        <f>_xll.CERTEQ(SimData1!$E$9:$E$108,$B$13,$D$4,$B$6,$B$5, $B$7,$B$8,$B$9)</f>
        <v>328.9276499704838</v>
      </c>
      <c r="H13" s="3">
        <f>$B$13</f>
        <v>4.7619047619047619E-4</v>
      </c>
      <c r="I13" s="7">
        <f>$C$13-HLOOKUP($H$3,$C$11:$F$36,$A$13+1,FALSE)</f>
        <v>0</v>
      </c>
      <c r="J13" s="7">
        <f>$D$13-HLOOKUP($H$3,$C$11:$F$36,$A$13+1,FALSE)</f>
        <v>14.716310500670374</v>
      </c>
      <c r="K13" s="7">
        <f>$E$13-HLOOKUP($H$3,$C$11:$F$36,$A$13+1,FALSE)</f>
        <v>5.3876560367910429</v>
      </c>
      <c r="L13" s="7">
        <f>$F$13-HLOOKUP($H$3,$C$11:$F$36,$A$13+1,FALSE)</f>
        <v>-25.361107051906686</v>
      </c>
    </row>
    <row r="14" spans="1:12">
      <c r="A14">
        <v>3</v>
      </c>
      <c r="B14" s="3">
        <f>$B$13+($B$4-$B$3)/24</f>
        <v>9.5238095238095238E-4</v>
      </c>
      <c r="C14" s="6">
        <f>_xll.CERTEQ(SimData1!$B$9:$B$108,$B$14,$D$4,$B$6,$B$5, $B$7,$B$8,$B$9)</f>
        <v>354.13703145276384</v>
      </c>
      <c r="D14" s="6">
        <f>_xll.CERTEQ(SimData1!$C$9:$C$108,$B$14,$D$4,$B$6,$B$5, $B$7,$B$8,$B$9)</f>
        <v>368.62689760484159</v>
      </c>
      <c r="E14" s="6">
        <f>_xll.CERTEQ(SimData1!$D$9:$D$108,$B$14,$D$4,$B$6,$B$5, $B$7,$B$8,$B$9)</f>
        <v>359.39345355106491</v>
      </c>
      <c r="F14" s="6">
        <f>_xll.CERTEQ(SimData1!$E$9:$E$108,$B$14,$D$4,$B$6,$B$5, $B$7,$B$8,$B$9)</f>
        <v>328.6414189958864</v>
      </c>
      <c r="H14" s="3">
        <f>$B$14</f>
        <v>9.5238095238095238E-4</v>
      </c>
      <c r="I14" s="7">
        <f>$C$14-HLOOKUP($H$3,$C$11:$F$36,$A$14+1,FALSE)</f>
        <v>0</v>
      </c>
      <c r="J14" s="7">
        <f>$D$14-HLOOKUP($H$3,$C$11:$F$36,$A$14+1,FALSE)</f>
        <v>14.489866152077752</v>
      </c>
      <c r="K14" s="7">
        <f>$E$14-HLOOKUP($H$3,$C$11:$F$36,$A$14+1,FALSE)</f>
        <v>5.2564220983010728</v>
      </c>
      <c r="L14" s="7">
        <f>$F$14-HLOOKUP($H$3,$C$11:$F$36,$A$14+1,FALSE)</f>
        <v>-25.495612456877438</v>
      </c>
    </row>
    <row r="15" spans="1:12">
      <c r="A15">
        <v>4</v>
      </c>
      <c r="B15" s="3">
        <f>$B$14+($B$4-$B$3)/24</f>
        <v>1.4285714285714286E-3</v>
      </c>
      <c r="C15" s="6">
        <f>_xll.CERTEQ(SimData1!$B$9:$B$108,$B$15,$D$4,$B$6,$B$5, $B$7,$B$8,$B$9)</f>
        <v>353.9861031015929</v>
      </c>
      <c r="D15" s="6">
        <f>_xll.CERTEQ(SimData1!$C$9:$C$108,$B$15,$D$4,$B$6,$B$5, $B$7,$B$8,$B$9)</f>
        <v>368.25033517317672</v>
      </c>
      <c r="E15" s="6">
        <f>_xll.CERTEQ(SimData1!$D$9:$D$108,$B$15,$D$4,$B$6,$B$5, $B$7,$B$8,$B$9)</f>
        <v>359.11033087733296</v>
      </c>
      <c r="F15" s="6">
        <f>_xll.CERTEQ(SimData1!$E$9:$E$108,$B$15,$D$4,$B$6,$B$5, $B$7,$B$8,$B$9)</f>
        <v>328.35455168679027</v>
      </c>
      <c r="H15" s="3">
        <f>$B$15</f>
        <v>1.4285714285714286E-3</v>
      </c>
      <c r="I15" s="7">
        <f>$C$15-HLOOKUP($H$3,$C$11:$F$36,$A$15+1,FALSE)</f>
        <v>0</v>
      </c>
      <c r="J15" s="7">
        <f>$D$15-HLOOKUP($H$3,$C$11:$F$36,$A$15+1,FALSE)</f>
        <v>14.26423207158382</v>
      </c>
      <c r="K15" s="7">
        <f>$E$15-HLOOKUP($H$3,$C$11:$F$36,$A$15+1,FALSE)</f>
        <v>5.1242277757400529</v>
      </c>
      <c r="L15" s="7">
        <f>$F$15-HLOOKUP($H$3,$C$11:$F$36,$A$15+1,FALSE)</f>
        <v>-25.63155141480263</v>
      </c>
    </row>
    <row r="16" spans="1:12">
      <c r="A16">
        <v>5</v>
      </c>
      <c r="B16" s="3">
        <f>$B$15+($B$4-$B$3)/24</f>
        <v>1.9047619047619048E-3</v>
      </c>
      <c r="C16" s="6">
        <f>_xll.CERTEQ(SimData1!$B$9:$B$108,$B$16,$D$4,$B$6,$B$5, $B$7,$B$8,$B$9)</f>
        <v>353.83593446421997</v>
      </c>
      <c r="D16" s="6">
        <f>_xll.CERTEQ(SimData1!$C$9:$C$108,$B$16,$D$4,$B$6,$B$5, $B$7,$B$8,$B$9)</f>
        <v>367.87542240328486</v>
      </c>
      <c r="E16" s="6">
        <f>_xll.CERTEQ(SimData1!$D$9:$D$108,$B$16,$D$4,$B$6,$B$5, $B$7,$B$8,$B$9)</f>
        <v>358.82704513850484</v>
      </c>
      <c r="F16" s="6">
        <f>_xll.CERTEQ(SimData1!$E$9:$E$108,$B$16,$D$4,$B$6,$B$5, $B$7,$B$8,$B$9)</f>
        <v>328.06705796424012</v>
      </c>
      <c r="H16" s="3">
        <f>$B$16</f>
        <v>1.9047619047619048E-3</v>
      </c>
      <c r="I16" s="7">
        <f>$C$16-HLOOKUP($H$3,$C$11:$F$36,$A$16+1,FALSE)</f>
        <v>0</v>
      </c>
      <c r="J16" s="7">
        <f>$D$16-HLOOKUP($H$3,$C$11:$F$36,$A$16+1,FALSE)</f>
        <v>14.039487939064884</v>
      </c>
      <c r="K16" s="7">
        <f>$E$16-HLOOKUP($H$3,$C$11:$F$36,$A$16+1,FALSE)</f>
        <v>4.9911106742848688</v>
      </c>
      <c r="L16" s="7">
        <f>$F$16-HLOOKUP($H$3,$C$11:$F$36,$A$16+1,FALSE)</f>
        <v>-25.768876499979854</v>
      </c>
    </row>
    <row r="17" spans="1:12">
      <c r="A17">
        <v>6</v>
      </c>
      <c r="B17" s="3">
        <f>$B$16+($B$4-$B$3)/24</f>
        <v>2.3809523809523812E-3</v>
      </c>
      <c r="C17" s="6">
        <f>_xll.CERTEQ(SimData1!$B$9:$B$108,$B$17,$D$4,$B$6,$B$5, $B$7,$B$8,$B$9)</f>
        <v>353.68648797464891</v>
      </c>
      <c r="D17" s="6">
        <f>_xll.CERTEQ(SimData1!$C$9:$C$108,$B$17,$D$4,$B$6,$B$5, $B$7,$B$8,$B$9)</f>
        <v>367.50219893106146</v>
      </c>
      <c r="E17" s="6">
        <f>_xll.CERTEQ(SimData1!$D$9:$D$108,$B$17,$D$4,$B$6,$B$5, $B$7,$B$8,$B$9)</f>
        <v>358.54359632707178</v>
      </c>
      <c r="F17" s="6">
        <f>_xll.CERTEQ(SimData1!$E$9:$E$108,$B$17,$D$4,$B$6,$B$5, $B$7,$B$8,$B$9)</f>
        <v>327.77894811127891</v>
      </c>
      <c r="H17" s="3">
        <f>$B$17</f>
        <v>2.3809523809523812E-3</v>
      </c>
      <c r="I17" s="7">
        <f>$C$17-HLOOKUP($H$3,$C$11:$F$36,$A$17+1,FALSE)</f>
        <v>0</v>
      </c>
      <c r="J17" s="7">
        <f>$D$17-HLOOKUP($H$3,$C$11:$F$36,$A$17+1,FALSE)</f>
        <v>13.815710956412545</v>
      </c>
      <c r="K17" s="7">
        <f>$E$17-HLOOKUP($H$3,$C$11:$F$36,$A$17+1,FALSE)</f>
        <v>4.8571083524228698</v>
      </c>
      <c r="L17" s="7">
        <f>$F$17-HLOOKUP($H$3,$C$11:$F$36,$A$17+1,FALSE)</f>
        <v>-25.907539863370005</v>
      </c>
    </row>
    <row r="18" spans="1:12">
      <c r="A18">
        <v>7</v>
      </c>
      <c r="B18" s="3">
        <f>$B$17+($B$4-$B$3)/24</f>
        <v>2.8571428571428576E-3</v>
      </c>
      <c r="C18" s="6">
        <f>_xll.CERTEQ(SimData1!$B$9:$B$108,$B$18,$D$4,$B$6,$B$5, $B$7,$B$8,$B$9)</f>
        <v>353.53772600386651</v>
      </c>
      <c r="D18" s="6">
        <f>_xll.CERTEQ(SimData1!$C$9:$C$108,$B$18,$D$4,$B$6,$B$5, $B$7,$B$8,$B$9)</f>
        <v>367.13070184932212</v>
      </c>
      <c r="E18" s="6">
        <f>_xll.CERTEQ(SimData1!$D$9:$D$108,$B$18,$D$4,$B$6,$B$5, $B$7,$B$8,$B$9)</f>
        <v>358.25998433813203</v>
      </c>
      <c r="F18" s="6">
        <f>_xll.CERTEQ(SimData1!$E$9:$E$108,$B$18,$D$4,$B$6,$B$5, $B$7,$B$8,$B$9)</f>
        <v>327.49023277954177</v>
      </c>
      <c r="H18" s="3">
        <f>$B$18</f>
        <v>2.8571428571428576E-3</v>
      </c>
      <c r="I18" s="7">
        <f>$C$18-HLOOKUP($H$3,$C$11:$F$36,$A$18+1,FALSE)</f>
        <v>0</v>
      </c>
      <c r="J18" s="7">
        <f>$D$18-HLOOKUP($H$3,$C$11:$F$36,$A$18+1,FALSE)</f>
        <v>13.592975845455612</v>
      </c>
      <c r="K18" s="7">
        <f>$E$18-HLOOKUP($H$3,$C$11:$F$36,$A$18+1,FALSE)</f>
        <v>4.7222583342655184</v>
      </c>
      <c r="L18" s="7">
        <f>$F$18-HLOOKUP($H$3,$C$11:$F$36,$A$18+1,FALSE)</f>
        <v>-26.047493224324739</v>
      </c>
    </row>
    <row r="19" spans="1:12">
      <c r="A19">
        <v>8</v>
      </c>
      <c r="B19" s="3">
        <f>$B$18+($B$4-$B$3)/24</f>
        <v>3.333333333333334E-3</v>
      </c>
      <c r="C19" s="6">
        <f>_xll.CERTEQ(SimData1!$B$9:$B$108,$B$19,$D$4,$B$6,$B$5, $B$7,$B$8,$B$9)</f>
        <v>353.38961085743296</v>
      </c>
      <c r="D19" s="6">
        <f>_xll.CERTEQ(SimData1!$C$9:$C$108,$B$19,$D$4,$B$6,$B$5, $B$7,$B$8,$B$9)</f>
        <v>366.76096571039812</v>
      </c>
      <c r="E19" s="6">
        <f>_xll.CERTEQ(SimData1!$D$9:$D$108,$B$19,$D$4,$B$6,$B$5, $B$7,$B$8,$B$9)</f>
        <v>357.97620898028924</v>
      </c>
      <c r="F19" s="6">
        <f>_xll.CERTEQ(SimData1!$E$9:$E$108,$B$19,$D$4,$B$6,$B$5, $B$7,$B$8,$B$9)</f>
        <v>327.20092299548759</v>
      </c>
      <c r="H19" s="3">
        <f>$B$19</f>
        <v>3.333333333333334E-3</v>
      </c>
      <c r="I19" s="7">
        <f>$C$19-HLOOKUP($H$3,$C$11:$F$36,$A$19+1,FALSE)</f>
        <v>0</v>
      </c>
      <c r="J19" s="7">
        <f>$D$19-HLOOKUP($H$3,$C$11:$F$36,$A$19+1,FALSE)</f>
        <v>13.371354852965169</v>
      </c>
      <c r="K19" s="7">
        <f>$E$19-HLOOKUP($H$3,$C$11:$F$36,$A$19+1,FALSE)</f>
        <v>4.5865981228562873</v>
      </c>
      <c r="L19" s="7">
        <f>$F$19-HLOOKUP($H$3,$C$11:$F$36,$A$19+1,FALSE)</f>
        <v>-26.188687861945368</v>
      </c>
    </row>
    <row r="20" spans="1:12">
      <c r="A20">
        <v>9</v>
      </c>
      <c r="B20" s="3">
        <f>$B$19+($B$4-$B$3)/24</f>
        <v>3.8095238095238104E-3</v>
      </c>
      <c r="C20" s="6">
        <f>_xll.CERTEQ(SimData1!$B$9:$B$108,$B$20,$D$4,$B$6,$B$5, $B$7,$B$8,$B$9)</f>
        <v>353.24210477239114</v>
      </c>
      <c r="D20" s="6">
        <f>_xll.CERTEQ(SimData1!$C$9:$C$108,$B$20,$D$4,$B$6,$B$5, $B$7,$B$8,$B$9)</f>
        <v>366.39302253487654</v>
      </c>
      <c r="E20" s="6">
        <f>_xll.CERTEQ(SimData1!$D$9:$D$108,$B$20,$D$4,$B$6,$B$5, $B$7,$B$8,$B$9)</f>
        <v>357.69226998680301</v>
      </c>
      <c r="F20" s="6">
        <f>_xll.CERTEQ(SimData1!$E$9:$E$108,$B$20,$D$4,$B$6,$B$5, $B$7,$B$8,$B$9)</f>
        <v>326.9110301662497</v>
      </c>
      <c r="H20" s="3">
        <f>$B$20</f>
        <v>3.8095238095238104E-3</v>
      </c>
      <c r="I20" s="7">
        <f>$C$20-HLOOKUP($H$3,$C$11:$F$36,$A$20+1,FALSE)</f>
        <v>0</v>
      </c>
      <c r="J20" s="7">
        <f>$D$20-HLOOKUP($H$3,$C$11:$F$36,$A$20+1,FALSE)</f>
        <v>13.150917762485392</v>
      </c>
      <c r="K20" s="7">
        <f>$E$20-HLOOKUP($H$3,$C$11:$F$36,$A$20+1,FALSE)</f>
        <v>4.450165214411868</v>
      </c>
      <c r="L20" s="7">
        <f>$F$20-HLOOKUP($H$3,$C$11:$F$36,$A$20+1,FALSE)</f>
        <v>-26.331074606141442</v>
      </c>
    </row>
    <row r="21" spans="1:12">
      <c r="A21">
        <v>10</v>
      </c>
      <c r="B21" s="3">
        <f>$B$20+($B$4-$B$3)/24</f>
        <v>4.2857142857142868E-3</v>
      </c>
      <c r="C21" s="6">
        <f>_xll.CERTEQ(SimData1!$B$9:$B$108,$B$21,$D$4,$B$6,$B$5, $B$7,$B$8,$B$9)</f>
        <v>353.09516991354963</v>
      </c>
      <c r="D21" s="6">
        <f>_xll.CERTEQ(SimData1!$C$9:$C$108,$B$21,$D$4,$B$6,$B$5, $B$7,$B$8,$B$9)</f>
        <v>366.02690182626583</v>
      </c>
      <c r="E21" s="6">
        <f>_xll.CERTEQ(SimData1!$D$9:$D$108,$B$21,$D$4,$B$6,$B$5, $B$7,$B$8,$B$9)</f>
        <v>357.40816702697202</v>
      </c>
      <c r="F21" s="6">
        <f>_xll.CERTEQ(SimData1!$E$9:$E$108,$B$21,$D$4,$B$6,$B$5, $B$7,$B$8,$B$9)</f>
        <v>326.62056608507208</v>
      </c>
      <c r="H21" s="3">
        <f>$B$21</f>
        <v>4.2857142857142868E-3</v>
      </c>
      <c r="I21" s="7">
        <f>$C$21-HLOOKUP($H$3,$C$11:$F$36,$A$21+1,FALSE)</f>
        <v>0</v>
      </c>
      <c r="J21" s="7">
        <f>$D$21-HLOOKUP($H$3,$C$11:$F$36,$A$21+1,FALSE)</f>
        <v>12.931731912716202</v>
      </c>
      <c r="K21" s="7">
        <f>$E$21-HLOOKUP($H$3,$C$11:$F$36,$A$21+1,FALSE)</f>
        <v>4.3129971134223979</v>
      </c>
      <c r="L21" s="7">
        <f>$F$21-HLOOKUP($H$3,$C$11:$F$36,$A$21+1,FALSE)</f>
        <v>-26.474603828477541</v>
      </c>
    </row>
    <row r="22" spans="1:12">
      <c r="A22">
        <v>11</v>
      </c>
      <c r="B22" s="3">
        <f>$B$21+($B$4-$B$3)/24</f>
        <v>4.7619047619047632E-3</v>
      </c>
      <c r="C22" s="6">
        <f>_xll.CERTEQ(SimData1!$B$9:$B$108,$B$22,$D$4,$B$6,$B$5, $B$7,$B$8,$B$9)</f>
        <v>352.94876836918974</v>
      </c>
      <c r="D22" s="6">
        <f>_xll.CERTEQ(SimData1!$C$9:$C$108,$B$22,$D$4,$B$6,$B$5, $B$7,$B$8,$B$9)</f>
        <v>365.66263059133638</v>
      </c>
      <c r="E22" s="6">
        <f>_xll.CERTEQ(SimData1!$D$9:$D$108,$B$22,$D$4,$B$6,$B$5, $B$7,$B$8,$B$9)</f>
        <v>357.12389971773143</v>
      </c>
      <c r="F22" s="6">
        <f>_xll.CERTEQ(SimData1!$E$9:$E$108,$B$22,$D$4,$B$6,$B$5, $B$7,$B$8,$B$9)</f>
        <v>326.32954293630854</v>
      </c>
      <c r="H22" s="3">
        <f>$B$22</f>
        <v>4.7619047619047632E-3</v>
      </c>
      <c r="I22" s="7">
        <f>$C$22-HLOOKUP($H$3,$C$11:$F$36,$A$22+1,FALSE)</f>
        <v>0</v>
      </c>
      <c r="J22" s="7">
        <f>$D$22-HLOOKUP($H$3,$C$11:$F$36,$A$22+1,FALSE)</f>
        <v>12.713862222146645</v>
      </c>
      <c r="K22" s="7">
        <f>$E$22-HLOOKUP($H$3,$C$11:$F$36,$A$22+1,FALSE)</f>
        <v>4.1751313485416972</v>
      </c>
      <c r="L22" s="7">
        <f>$F$22-HLOOKUP($H$3,$C$11:$F$36,$A$22+1,FALSE)</f>
        <v>-26.619225432881194</v>
      </c>
    </row>
    <row r="23" spans="1:12">
      <c r="A23">
        <v>12</v>
      </c>
      <c r="B23" s="3">
        <f>$B$22+($B$4-$B$3)/24</f>
        <v>5.2380952380952396E-3</v>
      </c>
      <c r="C23" s="6">
        <f>_xll.CERTEQ(SimData1!$B$9:$B$108,$B$23,$D$4,$B$6,$B$5, $B$7,$B$8,$B$9)</f>
        <v>352.80286214625227</v>
      </c>
      <c r="D23" s="6">
        <f>_xll.CERTEQ(SimData1!$C$9:$C$108,$B$23,$D$4,$B$6,$B$5, $B$7,$B$8,$B$9)</f>
        <v>365.30023336588067</v>
      </c>
      <c r="E23" s="6">
        <f>_xll.CERTEQ(SimData1!$D$9:$D$108,$B$23,$D$4,$B$6,$B$5, $B$7,$B$8,$B$9)</f>
        <v>356.83946763544702</v>
      </c>
      <c r="F23" s="6">
        <f>_xll.CERTEQ(SimData1!$E$9:$E$108,$B$23,$D$4,$B$6,$B$5, $B$7,$B$8,$B$9)</f>
        <v>326.03797329995524</v>
      </c>
      <c r="H23" s="3">
        <f>$B$23</f>
        <v>5.2380952380952396E-3</v>
      </c>
      <c r="I23" s="7">
        <f>$C$23-HLOOKUP($H$3,$C$11:$F$36,$A$23+1,FALSE)</f>
        <v>0</v>
      </c>
      <c r="J23" s="7">
        <f>$D$23-HLOOKUP($H$3,$C$11:$F$36,$A$23+1,FALSE)</f>
        <v>12.497371219628405</v>
      </c>
      <c r="K23" s="7">
        <f>$E$23-HLOOKUP($H$3,$C$11:$F$36,$A$23+1,FALSE)</f>
        <v>4.0366054891947556</v>
      </c>
      <c r="L23" s="7">
        <f>$F$23-HLOOKUP($H$3,$C$11:$F$36,$A$23+1,FALSE)</f>
        <v>-26.764888846297026</v>
      </c>
    </row>
    <row r="24" spans="1:12">
      <c r="A24">
        <v>13</v>
      </c>
      <c r="B24" s="3">
        <f>$B$23+($B$4-$B$3)/24</f>
        <v>5.714285714285716E-3</v>
      </c>
      <c r="C24" s="6">
        <f>_xll.CERTEQ(SimData1!$B$9:$B$108,$B$24,$D$4,$B$6,$B$5, $B$7,$B$8,$B$9)</f>
        <v>352.65741316505495</v>
      </c>
      <c r="D24" s="6">
        <f>_xll.CERTEQ(SimData1!$C$9:$C$108,$B$24,$D$4,$B$6,$B$5, $B$7,$B$8,$B$9)</f>
        <v>364.93973224561626</v>
      </c>
      <c r="E24" s="6">
        <f>_xll.CERTEQ(SimData1!$D$9:$D$108,$B$24,$D$4,$B$6,$B$5, $B$7,$B$8,$B$9)</f>
        <v>356.55487032788704</v>
      </c>
      <c r="F24" s="6">
        <f>_xll.CERTEQ(SimData1!$E$9:$E$108,$B$24,$D$4,$B$6,$B$5, $B$7,$B$8,$B$9)</f>
        <v>325.74587015569369</v>
      </c>
      <c r="H24" s="3">
        <f>$B$24</f>
        <v>5.714285714285716E-3</v>
      </c>
      <c r="I24" s="7">
        <f>$C$24-HLOOKUP($H$3,$C$11:$F$36,$A$24+1,FALSE)</f>
        <v>0</v>
      </c>
      <c r="J24" s="7">
        <f>$D$24-HLOOKUP($H$3,$C$11:$F$36,$A$24+1,FALSE)</f>
        <v>12.282319080561308</v>
      </c>
      <c r="K24" s="7">
        <f>$E$24-HLOOKUP($H$3,$C$11:$F$36,$A$24+1,FALSE)</f>
        <v>3.8974571628320973</v>
      </c>
      <c r="L24" s="7">
        <f>$F$24-HLOOKUP($H$3,$C$11:$F$36,$A$24+1,FALSE)</f>
        <v>-26.911543009361253</v>
      </c>
    </row>
    <row r="25" spans="1:12">
      <c r="A25">
        <v>14</v>
      </c>
      <c r="B25" s="3">
        <f>$B$24+($B$4-$B$3)/24</f>
        <v>6.1904761904761924E-3</v>
      </c>
      <c r="C25" s="6">
        <f>_xll.CERTEQ(SimData1!$B$9:$B$108,$B$25,$D$4,$B$6,$B$5, $B$7,$B$8,$B$9)</f>
        <v>352.51238325359333</v>
      </c>
      <c r="D25" s="6">
        <f>_xll.CERTEQ(SimData1!$C$9:$C$108,$B$25,$D$4,$B$6,$B$5, $B$7,$B$8,$B$9)</f>
        <v>364.58114692194874</v>
      </c>
      <c r="E25" s="6">
        <f>_xll.CERTEQ(SimData1!$D$9:$D$108,$B$25,$D$4,$B$6,$B$5, $B$7,$B$8,$B$9)</f>
        <v>356.27010732635227</v>
      </c>
      <c r="F25" s="6">
        <f>_xll.CERTEQ(SimData1!$E$9:$E$108,$B$25,$D$4,$B$6,$B$5, $B$7,$B$8,$B$9)</f>
        <v>325.45324688641557</v>
      </c>
      <c r="H25" s="3">
        <f>$B$25</f>
        <v>6.1904761904761924E-3</v>
      </c>
      <c r="I25" s="7">
        <f>$C$25-HLOOKUP($H$3,$C$11:$F$36,$A$25+1,FALSE)</f>
        <v>0</v>
      </c>
      <c r="J25" s="7">
        <f>$D$25-HLOOKUP($H$3,$C$11:$F$36,$A$25+1,FALSE)</f>
        <v>12.068763668355416</v>
      </c>
      <c r="K25" s="7">
        <f>$E$25-HLOOKUP($H$3,$C$11:$F$36,$A$25+1,FALSE)</f>
        <v>3.7577240727589469</v>
      </c>
      <c r="L25" s="7">
        <f>$F$25-HLOOKUP($H$3,$C$11:$F$36,$A$25+1,FALSE)</f>
        <v>-27.059136367177757</v>
      </c>
    </row>
    <row r="26" spans="1:12">
      <c r="A26">
        <v>15</v>
      </c>
      <c r="B26" s="3">
        <f>$B$25+($B$4-$B$3)/24</f>
        <v>6.6666666666666688E-3</v>
      </c>
      <c r="C26" s="6">
        <f>_xll.CERTEQ(SimData1!$B$9:$B$108,$B$26,$D$4,$B$6,$B$5, $B$7,$B$8,$B$9)</f>
        <v>352.36773414147922</v>
      </c>
      <c r="D26" s="6">
        <f>_xll.CERTEQ(SimData1!$C$9:$C$108,$B$26,$D$4,$B$6,$B$5, $B$7,$B$8,$B$9)</f>
        <v>364.22449472230068</v>
      </c>
      <c r="E26" s="6">
        <f>_xll.CERTEQ(SimData1!$D$9:$D$108,$B$26,$D$4,$B$6,$B$5, $B$7,$B$8,$B$9)</f>
        <v>355.9851781579452</v>
      </c>
      <c r="F26" s="6">
        <f>_xll.CERTEQ(SimData1!$E$9:$E$108,$B$26,$D$4,$B$6,$B$5, $B$7,$B$8,$B$9)</f>
        <v>325.16011728120918</v>
      </c>
      <c r="H26" s="3">
        <f>$B$26</f>
        <v>6.6666666666666688E-3</v>
      </c>
      <c r="I26" s="7">
        <f>$C$26-HLOOKUP($H$3,$C$11:$F$36,$A$26+1,FALSE)</f>
        <v>0</v>
      </c>
      <c r="J26" s="7">
        <f>$D$26-HLOOKUP($H$3,$C$11:$F$36,$A$26+1,FALSE)</f>
        <v>11.856760580821458</v>
      </c>
      <c r="K26" s="7">
        <f>$E$26-HLOOKUP($H$3,$C$11:$F$36,$A$26+1,FALSE)</f>
        <v>3.6174440164659813</v>
      </c>
      <c r="L26" s="7">
        <f>$F$26-HLOOKUP($H$3,$C$11:$F$36,$A$26+1,FALSE)</f>
        <v>-27.207616860270036</v>
      </c>
    </row>
    <row r="27" spans="1:12">
      <c r="A27">
        <v>16</v>
      </c>
      <c r="B27" s="3">
        <f>$B$26+($B$4-$B$3)/24</f>
        <v>7.1428571428571452E-3</v>
      </c>
      <c r="C27" s="6">
        <f>_xll.CERTEQ(SimData1!$B$9:$B$108,$B$27,$D$4,$B$6,$B$5, $B$7,$B$8,$B$9)</f>
        <v>352.22342745357327</v>
      </c>
      <c r="D27" s="6">
        <f>_xll.CERTEQ(SimData1!$C$9:$C$108,$B$27,$D$4,$B$6,$B$5, $B$7,$B$8,$B$9)</f>
        <v>363.86979065470376</v>
      </c>
      <c r="E27" s="6">
        <f>_xll.CERTEQ(SimData1!$D$9:$D$108,$B$27,$D$4,$B$6,$B$5, $B$7,$B$8,$B$9)</f>
        <v>355.70008235795694</v>
      </c>
      <c r="F27" s="6">
        <f>_xll.CERTEQ(SimData1!$E$9:$E$108,$B$27,$D$4,$B$6,$B$5, $B$7,$B$8,$B$9)</f>
        <v>324.86649553778017</v>
      </c>
      <c r="H27" s="3">
        <f>$B$27</f>
        <v>7.1428571428571452E-3</v>
      </c>
      <c r="I27" s="7">
        <f>$C$27-HLOOKUP($H$3,$C$11:$F$36,$A$27+1,FALSE)</f>
        <v>0</v>
      </c>
      <c r="J27" s="7">
        <f>$D$27-HLOOKUP($H$3,$C$11:$F$36,$A$27+1,FALSE)</f>
        <v>11.646363201130498</v>
      </c>
      <c r="K27" s="7">
        <f>$E$27-HLOOKUP($H$3,$C$11:$F$36,$A$27+1,FALSE)</f>
        <v>3.476654904383679</v>
      </c>
      <c r="L27" s="7">
        <f>$F$27-HLOOKUP($H$3,$C$11:$F$36,$A$27+1,FALSE)</f>
        <v>-27.356931915793098</v>
      </c>
    </row>
    <row r="28" spans="1:12">
      <c r="A28">
        <v>17</v>
      </c>
      <c r="B28" s="3">
        <f>$B$27+($B$4-$B$3)/24</f>
        <v>7.6190476190476216E-3</v>
      </c>
      <c r="C28" s="6">
        <f>_xll.CERTEQ(SimData1!$B$9:$B$108,$B$28,$D$4,$B$6,$B$5, $B$7,$B$8,$B$9)</f>
        <v>352.07942470336013</v>
      </c>
      <c r="D28" s="6">
        <f>_xll.CERTEQ(SimData1!$C$9:$C$108,$B$28,$D$4,$B$6,$B$5, $B$7,$B$8,$B$9)</f>
        <v>363.51704745635175</v>
      </c>
      <c r="E28" s="6">
        <f>_xll.CERTEQ(SimData1!$D$9:$D$108,$B$28,$D$4,$B$6,$B$5, $B$7,$B$8,$B$9)</f>
        <v>355.41481948235486</v>
      </c>
      <c r="F28" s="6">
        <f>_xll.CERTEQ(SimData1!$E$9:$E$108,$B$28,$D$4,$B$6,$B$5, $B$7,$B$8,$B$9)</f>
        <v>324.57239626428697</v>
      </c>
      <c r="H28" s="3">
        <f>$B$28</f>
        <v>7.6190476190476216E-3</v>
      </c>
      <c r="I28" s="7">
        <f>$C$28-HLOOKUP($H$3,$C$11:$F$36,$A$28+1,FALSE)</f>
        <v>0</v>
      </c>
      <c r="J28" s="7">
        <f>$D$28-HLOOKUP($H$3,$C$11:$F$36,$A$28+1,FALSE)</f>
        <v>11.437622752991615</v>
      </c>
      <c r="K28" s="7">
        <f>$E$28-HLOOKUP($H$3,$C$11:$F$36,$A$28+1,FALSE)</f>
        <v>3.3353947789947256</v>
      </c>
      <c r="L28" s="7">
        <f>$F$28-HLOOKUP($H$3,$C$11:$F$36,$A$28+1,FALSE)</f>
        <v>-27.507028439073167</v>
      </c>
    </row>
    <row r="29" spans="1:12">
      <c r="A29">
        <v>18</v>
      </c>
      <c r="B29" s="3">
        <f>$B$28+($B$4-$B$3)/24</f>
        <v>8.095238095238098E-3</v>
      </c>
      <c r="C29" s="6">
        <f>_xll.CERTEQ(SimData1!$B$9:$B$108,$B$29,$D$4,$B$6,$B$5, $B$7,$B$8,$B$9)</f>
        <v>351.93568728612627</v>
      </c>
      <c r="D29" s="6">
        <f>_xll.CERTEQ(SimData1!$C$9:$C$108,$B$29,$D$4,$B$6,$B$5, $B$7,$B$8,$B$9)</f>
        <v>363.1662756458029</v>
      </c>
      <c r="E29" s="6">
        <f>_xll.CERTEQ(SimData1!$D$9:$D$108,$B$29,$D$4,$B$6,$B$5, $B$7,$B$8,$B$9)</f>
        <v>355.12938912034554</v>
      </c>
      <c r="F29" s="6">
        <f>_xll.CERTEQ(SimData1!$E$9:$E$108,$B$29,$D$4,$B$6,$B$5, $B$7,$B$8,$B$9)</f>
        <v>324.27783448056658</v>
      </c>
      <c r="H29" s="3">
        <f>$B$29</f>
        <v>8.095238095238098E-3</v>
      </c>
      <c r="I29" s="7">
        <f>$C$29-HLOOKUP($H$3,$C$11:$F$36,$A$29+1,FALSE)</f>
        <v>0</v>
      </c>
      <c r="J29" s="7">
        <f>$D$29-HLOOKUP($H$3,$C$11:$F$36,$A$29+1,FALSE)</f>
        <v>11.230588359676631</v>
      </c>
      <c r="K29" s="7">
        <f>$E$29-HLOOKUP($H$3,$C$11:$F$36,$A$29+1,FALSE)</f>
        <v>3.1937018342192687</v>
      </c>
      <c r="L29" s="7">
        <f>$F$29-HLOOKUP($H$3,$C$11:$F$36,$A$29+1,FALSE)</f>
        <v>-27.657852805559685</v>
      </c>
    </row>
    <row r="30" spans="1:12">
      <c r="A30">
        <v>19</v>
      </c>
      <c r="B30" s="3">
        <f>$B$29+($B$4-$B$3)/24</f>
        <v>8.5714285714285736E-3</v>
      </c>
      <c r="C30" s="6">
        <f>_xll.CERTEQ(SimData1!$B$9:$B$108,$B$30,$D$4,$B$6,$B$5, $B$7,$B$8,$B$9)</f>
        <v>351.79217647199289</v>
      </c>
      <c r="D30" s="6">
        <f>_xll.CERTEQ(SimData1!$C$9:$C$108,$B$30,$D$4,$B$6,$B$5, $B$7,$B$8,$B$9)</f>
        <v>362.81748357852615</v>
      </c>
      <c r="E30" s="6">
        <f>_xll.CERTEQ(SimData1!$D$9:$D$108,$B$30,$D$4,$B$6,$B$5, $B$7,$B$8,$B$9)</f>
        <v>354.84379090699656</v>
      </c>
      <c r="F30" s="6">
        <f>_xll.CERTEQ(SimData1!$E$9:$E$108,$B$30,$D$4,$B$6,$B$5, $B$7,$B$8,$B$9)</f>
        <v>323.98282561873452</v>
      </c>
      <c r="H30" s="3">
        <f>$B$30</f>
        <v>8.5714285714285736E-3</v>
      </c>
      <c r="I30" s="7">
        <f>$C$30-HLOOKUP($H$3,$C$11:$F$36,$A$30+1,FALSE)</f>
        <v>0</v>
      </c>
      <c r="J30" s="7">
        <f>$D$30-HLOOKUP($H$3,$C$11:$F$36,$A$30+1,FALSE)</f>
        <v>11.025307106533262</v>
      </c>
      <c r="K30" s="7">
        <f>$E$30-HLOOKUP($H$3,$C$11:$F$36,$A$30+1,FALSE)</f>
        <v>3.0516144350036711</v>
      </c>
      <c r="L30" s="7">
        <f>$F$30-HLOOKUP($H$3,$C$11:$F$36,$A$30+1,FALSE)</f>
        <v>-27.809350853258366</v>
      </c>
    </row>
    <row r="31" spans="1:12">
      <c r="A31">
        <v>20</v>
      </c>
      <c r="B31" s="3">
        <f>$B$30+($B$4-$B$3)/24</f>
        <v>9.0476190476190491E-3</v>
      </c>
      <c r="C31" s="6">
        <f>_xll.CERTEQ(SimData1!$B$9:$B$108,$B$31,$D$4,$B$6,$B$5, $B$7,$B$8,$B$9)</f>
        <v>351.64885339886007</v>
      </c>
      <c r="D31" s="6">
        <f>_xll.CERTEQ(SimData1!$C$9:$C$108,$B$31,$D$4,$B$6,$B$5, $B$7,$B$8,$B$9)</f>
        <v>362.47067750548149</v>
      </c>
      <c r="E31" s="6">
        <f>_xll.CERTEQ(SimData1!$D$9:$D$108,$B$31,$D$4,$B$6,$B$5, $B$7,$B$8,$B$9)</f>
        <v>354.55802453589405</v>
      </c>
      <c r="F31" s="6">
        <f>_xll.CERTEQ(SimData1!$E$9:$E$108,$B$31,$D$4,$B$6,$B$5, $B$7,$B$8,$B$9)</f>
        <v>323.68738552313624</v>
      </c>
      <c r="H31" s="3">
        <f>$B$31</f>
        <v>9.0476190476190491E-3</v>
      </c>
      <c r="I31" s="7">
        <f>$C$31-HLOOKUP($H$3,$C$11:$F$36,$A$31+1,FALSE)</f>
        <v>0</v>
      </c>
      <c r="J31" s="7">
        <f>$D$31-HLOOKUP($H$3,$C$11:$F$36,$A$31+1,FALSE)</f>
        <v>10.82182410662142</v>
      </c>
      <c r="K31" s="7">
        <f>$E$31-HLOOKUP($H$3,$C$11:$F$36,$A$31+1,FALSE)</f>
        <v>2.9091711370339794</v>
      </c>
      <c r="L31" s="7">
        <f>$F$31-HLOOKUP($H$3,$C$11:$F$36,$A$31+1,FALSE)</f>
        <v>-27.961467875723827</v>
      </c>
    </row>
    <row r="32" spans="1:12">
      <c r="A32">
        <v>21</v>
      </c>
      <c r="B32" s="3">
        <f>$B$31+($B$4-$B$3)/24</f>
        <v>9.5238095238095247E-3</v>
      </c>
      <c r="C32" s="6">
        <f>_xll.CERTEQ(SimData1!$B$9:$B$108,$B$32,$D$4,$B$6,$B$5, $B$7,$B$8,$B$9)</f>
        <v>351.50567906531938</v>
      </c>
      <c r="D32" s="6">
        <f>_xll.CERTEQ(SimData1!$C$9:$C$108,$B$32,$D$4,$B$6,$B$5, $B$7,$B$8,$B$9)</f>
        <v>362.12586163442876</v>
      </c>
      <c r="E32" s="6">
        <f>_xll.CERTEQ(SimData1!$D$9:$D$108,$B$32,$D$4,$B$6,$B$5, $B$7,$B$8,$B$9)</f>
        <v>354.27208977181311</v>
      </c>
      <c r="F32" s="6">
        <f>_xll.CERTEQ(SimData1!$E$9:$E$108,$B$32,$D$4,$B$6,$B$5, $B$7,$B$8,$B$9)</f>
        <v>323.39153044963507</v>
      </c>
      <c r="H32" s="3">
        <f>$B$32</f>
        <v>9.5238095238095247E-3</v>
      </c>
      <c r="I32" s="7">
        <f>$C$32-HLOOKUP($H$3,$C$11:$F$36,$A$32+1,FALSE)</f>
        <v>0</v>
      </c>
      <c r="J32" s="7">
        <f>$D$32-HLOOKUP($H$3,$C$11:$F$36,$A$32+1,FALSE)</f>
        <v>10.620182569109375</v>
      </c>
      <c r="K32" s="7">
        <f>$E$32-HLOOKUP($H$3,$C$11:$F$36,$A$32+1,FALSE)</f>
        <v>2.7664107064937298</v>
      </c>
      <c r="L32" s="7">
        <f>$F$32-HLOOKUP($H$3,$C$11:$F$36,$A$32+1,FALSE)</f>
        <v>-28.114148615684314</v>
      </c>
    </row>
    <row r="33" spans="1:12">
      <c r="A33">
        <v>22</v>
      </c>
      <c r="B33" s="3">
        <f>$B$32+($B$4-$B$3)/24</f>
        <v>0.01</v>
      </c>
      <c r="C33" s="6">
        <f>_xll.CERTEQ(SimData1!$B$9:$B$108,$B$33,$D$4,$B$6,$B$5, $B$7,$B$8,$B$9)</f>
        <v>351.36261432359163</v>
      </c>
      <c r="D33" s="6">
        <f>_xll.CERTEQ(SimData1!$C$9:$C$108,$B$33,$D$4,$B$6,$B$5, $B$7,$B$8,$B$9)</f>
        <v>361.78303819366715</v>
      </c>
      <c r="E33" s="6">
        <f>_xll.CERTEQ(SimData1!$D$9:$D$108,$B$33,$D$4,$B$6,$B$5, $B$7,$B$8,$B$9)</f>
        <v>353.98598646338343</v>
      </c>
      <c r="F33" s="6">
        <f>_xll.CERTEQ(SimData1!$E$9:$E$108,$B$33,$D$4,$B$6,$B$5, $B$7,$B$8,$B$9)</f>
        <v>323.09527706422011</v>
      </c>
      <c r="H33" s="3">
        <f>$B$33</f>
        <v>0.01</v>
      </c>
      <c r="I33" s="7">
        <f>$C$33-HLOOKUP($H$3,$C$11:$F$36,$A$33+1,FALSE)</f>
        <v>0</v>
      </c>
      <c r="J33" s="7">
        <f>$D$33-HLOOKUP($H$3,$C$11:$F$36,$A$33+1,FALSE)</f>
        <v>10.420423870075524</v>
      </c>
      <c r="K33" s="7">
        <f>$E$33-HLOOKUP($H$3,$C$11:$F$36,$A$33+1,FALSE)</f>
        <v>2.6233721397917975</v>
      </c>
      <c r="L33" s="7">
        <f>$F$33-HLOOKUP($H$3,$C$11:$F$36,$A$33+1,FALSE)</f>
        <v>-28.267337259371516</v>
      </c>
    </row>
    <row r="34" spans="1:12">
      <c r="A34">
        <v>23</v>
      </c>
      <c r="B34" s="3">
        <f>$B$33+($B$4-$B$3)/24</f>
        <v>1.0476190476190476E-2</v>
      </c>
      <c r="C34" s="6">
        <f>_xll.CERTEQ(SimData1!$B$9:$B$108,$B$34,$D$4,$B$6,$B$5, $B$7,$B$8,$B$9)</f>
        <v>351.21961987254679</v>
      </c>
      <c r="D34" s="6">
        <f>_xll.CERTEQ(SimData1!$C$9:$C$108,$B$34,$D$4,$B$6,$B$5, $B$7,$B$8,$B$9)</f>
        <v>361.44220749790679</v>
      </c>
      <c r="E34" s="6">
        <f>_xll.CERTEQ(SimData1!$D$9:$D$108,$B$34,$D$4,$B$6,$B$5, $B$7,$B$8,$B$9)</f>
        <v>353.69971455572374</v>
      </c>
      <c r="F34" s="6">
        <f>_xll.CERTEQ(SimData1!$E$9:$E$108,$B$34,$D$4,$B$6,$B$5, $B$7,$B$8,$B$9)</f>
        <v>322.79864244092005</v>
      </c>
      <c r="H34" s="3">
        <f>$B$34</f>
        <v>1.0476190476190476E-2</v>
      </c>
      <c r="I34" s="7">
        <f>$C$34-HLOOKUP($H$3,$C$11:$F$36,$A$34+1,FALSE)</f>
        <v>0</v>
      </c>
      <c r="J34" s="7">
        <f>$D$34-HLOOKUP($H$3,$C$11:$F$36,$A$34+1,FALSE)</f>
        <v>10.222587625360006</v>
      </c>
      <c r="K34" s="7">
        <f>$E$34-HLOOKUP($H$3,$C$11:$F$36,$A$34+1,FALSE)</f>
        <v>2.4800946831769579</v>
      </c>
      <c r="L34" s="7">
        <f>$F$34-HLOOKUP($H$3,$C$11:$F$36,$A$34+1,FALSE)</f>
        <v>-28.420977431626739</v>
      </c>
    </row>
    <row r="35" spans="1:12">
      <c r="A35">
        <v>24</v>
      </c>
      <c r="B35" s="3">
        <f>$B$34+($B$4-$B$3)/24</f>
        <v>1.0952380952380951E-2</v>
      </c>
      <c r="C35" s="6">
        <f>_xll.CERTEQ(SimData1!$B$9:$B$108,$B$35,$D$4,$B$6,$B$5, $B$7,$B$8,$B$9)</f>
        <v>351.07665625086707</v>
      </c>
      <c r="D35" s="6">
        <f>_xll.CERTEQ(SimData1!$C$9:$C$108,$B$35,$D$4,$B$6,$B$5, $B$7,$B$8,$B$9)</f>
        <v>361.10336801598697</v>
      </c>
      <c r="E35" s="6">
        <f>_xll.CERTEQ(SimData1!$D$9:$D$108,$B$35,$D$4,$B$6,$B$5, $B$7,$B$8,$B$9)</f>
        <v>353.41327410302642</v>
      </c>
      <c r="F35" s="6">
        <f>_xll.CERTEQ(SimData1!$E$9:$E$108,$B$35,$D$4,$B$6,$B$5, $B$7,$B$8,$B$9)</f>
        <v>322.5016440590104</v>
      </c>
      <c r="H35" s="3">
        <f>$B$35</f>
        <v>1.0952380952380951E-2</v>
      </c>
      <c r="I35" s="7">
        <f>$C$35-HLOOKUP($H$3,$C$11:$F$36,$A$35+1,FALSE)</f>
        <v>0</v>
      </c>
      <c r="J35" s="7">
        <f>$D$35-HLOOKUP($H$3,$C$11:$F$36,$A$35+1,FALSE)</f>
        <v>10.026711765119899</v>
      </c>
      <c r="K35" s="7">
        <f>$E$35-HLOOKUP($H$3,$C$11:$F$36,$A$35+1,FALSE)</f>
        <v>2.3366178521593497</v>
      </c>
      <c r="L35" s="7">
        <f>$F$35-HLOOKUP($H$3,$C$11:$F$36,$A$35+1,FALSE)</f>
        <v>-28.575012191856672</v>
      </c>
    </row>
    <row r="36" spans="1:12">
      <c r="A36">
        <v>25</v>
      </c>
      <c r="B36" s="3">
        <f>$B$35+($B$4-$B$3)/24</f>
        <v>1.1428571428571427E-2</v>
      </c>
      <c r="C36" s="6">
        <f>_xll.CERTEQ(SimData1!$B$9:$B$108,$B$36,$D$4,$B$6,$B$5, $B$7,$B$8,$B$9)</f>
        <v>350.93368383041093</v>
      </c>
      <c r="D36" s="6">
        <f>_xll.CERTEQ(SimData1!$C$9:$C$108,$B$36,$D$4,$B$6,$B$5, $B$7,$B$8,$B$9)</f>
        <v>360.76651644016056</v>
      </c>
      <c r="E36" s="6">
        <f>_xll.CERTEQ(SimData1!$D$9:$D$108,$B$36,$D$4,$B$6,$B$5, $B$7,$B$8,$B$9)</f>
        <v>353.1266652810686</v>
      </c>
      <c r="F36" s="6">
        <f>_xll.CERTEQ(SimData1!$E$9:$E$108,$B$36,$D$4,$B$6,$B$5, $B$7,$B$8,$B$9)</f>
        <v>322.20429979950433</v>
      </c>
      <c r="H36" s="3">
        <f>$B$36</f>
        <v>1.1428571428571427E-2</v>
      </c>
      <c r="I36" s="7">
        <f>$C$36-HLOOKUP($H$3,$C$11:$F$36,$A$36+1,FALSE)</f>
        <v>0</v>
      </c>
      <c r="J36" s="7">
        <f>$D$36-HLOOKUP($H$3,$C$11:$F$36,$A$36+1,FALSE)</f>
        <v>9.8328326097496301</v>
      </c>
      <c r="K36" s="7">
        <f>$E$36-HLOOKUP($H$3,$C$11:$F$36,$A$36+1,FALSE)</f>
        <v>2.192981450657669</v>
      </c>
      <c r="L36" s="7">
        <f>$F$36-HLOOKUP($H$3,$C$11:$F$36,$A$36+1,FALSE)</f>
        <v>-28.729384030906601</v>
      </c>
    </row>
  </sheetData>
  <phoneticPr fontId="0" type="noConversion"/>
  <conditionalFormatting sqref="A7">
    <cfRule type="expression" dxfId="3" priority="1" stopIfTrue="1">
      <formula>IF(OR($D$4=3,$D$4=4,$D$4=6,$D$4=7),TRUE,FALSE)</formula>
    </cfRule>
  </conditionalFormatting>
  <conditionalFormatting sqref="A8">
    <cfRule type="expression" dxfId="2" priority="2" stopIfTrue="1">
      <formula>IF($D$4=7,TRUE,FALSE)</formula>
    </cfRule>
  </conditionalFormatting>
  <dataValidations count="2">
    <dataValidation type="whole" allowBlank="1" showInputMessage="1" showErrorMessage="1" sqref="D4">
      <formula1>1</formula1>
      <formula2>7</formula2>
    </dataValidation>
    <dataValidation type="list" allowBlank="1" showInputMessage="1" showErrorMessage="1" sqref="H3">
      <formula1>$C$11:$F$11</formula1>
    </dataValidation>
  </dataValidation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9"/>
  <sheetViews>
    <sheetView workbookViewId="0">
      <selection activeCell="A12" sqref="A12"/>
    </sheetView>
  </sheetViews>
  <sheetFormatPr defaultRowHeight="12.75"/>
  <sheetData>
    <row r="1" spans="1:25">
      <c r="A1" t="s">
        <v>76</v>
      </c>
    </row>
    <row r="2" spans="1:25">
      <c r="A2" t="s">
        <v>18</v>
      </c>
      <c r="B2" t="str">
        <f ca="1">ADDRESS(ROW(Sheet1!$B$36),COLUMN(Sheet1!$B$36),4,,_xll.WSNAME(Sheet1!$B$36))</f>
        <v>Sheet1!B36</v>
      </c>
      <c r="C2" t="str">
        <f ca="1">ADDRESS(ROW(Sheet1!$B$36),COLUMN(Sheet1!$B$36),4,,_xll.WSNAME(Sheet1!$B$36))</f>
        <v>Sheet1!B36</v>
      </c>
      <c r="D2" t="str">
        <f ca="1">ADDRESS(ROW(Sheet1!$B$36),COLUMN(Sheet1!$B$36),4,,_xll.WSNAME(Sheet1!$B$36))</f>
        <v>Sheet1!B36</v>
      </c>
      <c r="E2" t="str">
        <f ca="1">ADDRESS(ROW(Sheet1!$B$36),COLUMN(Sheet1!$B$36),4,,_xll.WSNAME(Sheet1!$B$36))</f>
        <v>Sheet1!B36</v>
      </c>
      <c r="F2" t="str">
        <f ca="1">ADDRESS(ROW(Sheet1!$B$36),COLUMN(Sheet1!$B$36),4,,_xll.WSNAME(Sheet1!$B$36))</f>
        <v>Sheet1!B36</v>
      </c>
    </row>
    <row r="3" spans="1:25">
      <c r="A3" t="s">
        <v>19</v>
      </c>
      <c r="B3">
        <f>AVERAGE(B9:B108)</f>
        <v>490.51867457565402</v>
      </c>
      <c r="C3">
        <f>AVERAGE(C9:C108)</f>
        <v>502.73582110022556</v>
      </c>
      <c r="D3">
        <f>AVERAGE(D9:D108)</f>
        <v>536.13062348882897</v>
      </c>
      <c r="E3">
        <f>AVERAGE(E9:E108)</f>
        <v>570.30800813283702</v>
      </c>
      <c r="F3" s="4">
        <f>AVERAGE(F9:F108)</f>
        <v>512.18640268256206</v>
      </c>
    </row>
    <row r="4" spans="1:25">
      <c r="A4" t="s">
        <v>20</v>
      </c>
      <c r="B4">
        <f>STDEV(B9:B108)</f>
        <v>23.219312119893345</v>
      </c>
      <c r="C4">
        <f>STDEV(C9:C108)</f>
        <v>19.600347939647556</v>
      </c>
      <c r="D4">
        <f>STDEV(D9:D108)</f>
        <v>29.805279337153966</v>
      </c>
      <c r="E4">
        <f>STDEV(E9:E108)</f>
        <v>22.290006767267364</v>
      </c>
      <c r="F4">
        <f>STDEV(F9:F108)</f>
        <v>13.526021126046567</v>
      </c>
    </row>
    <row r="5" spans="1:25">
      <c r="A5" t="s">
        <v>21</v>
      </c>
      <c r="B5">
        <f>100*B4/B3</f>
        <v>4.733624492478353</v>
      </c>
      <c r="C5">
        <f>100*C4/C3</f>
        <v>3.8987370935201424</v>
      </c>
      <c r="D5">
        <f>100*D4/D3</f>
        <v>5.5593316313846044</v>
      </c>
      <c r="E5">
        <f>100*E4/E3</f>
        <v>3.908415531502679</v>
      </c>
      <c r="F5">
        <f>100*F4/F3</f>
        <v>2.6408395566935021</v>
      </c>
      <c r="P5" t="str">
        <f>SimData2!$B$8</f>
        <v>Average Cost: 1</v>
      </c>
      <c r="Q5" t="s">
        <v>40</v>
      </c>
      <c r="R5" t="str">
        <f>SimData2!$C$8</f>
        <v>Average Cost: 2</v>
      </c>
      <c r="S5" t="s">
        <v>40</v>
      </c>
      <c r="T5" t="str">
        <f>SimData2!$D$8</f>
        <v>Average Cost: 3</v>
      </c>
      <c r="U5" t="s">
        <v>40</v>
      </c>
      <c r="V5" t="str">
        <f>SimData2!$E$8</f>
        <v>Average Cost: 4</v>
      </c>
      <c r="W5" t="s">
        <v>40</v>
      </c>
      <c r="X5" t="str">
        <f>SimData2!$F$8</f>
        <v>Scenario 5</v>
      </c>
      <c r="Y5" t="s">
        <v>40</v>
      </c>
    </row>
    <row r="6" spans="1:25">
      <c r="A6" t="s">
        <v>22</v>
      </c>
      <c r="B6">
        <f>MIN(B9:B108)</f>
        <v>425.07385813111432</v>
      </c>
      <c r="C6">
        <f>MIN(C9:C108)</f>
        <v>464.84839030656423</v>
      </c>
      <c r="D6">
        <f>MIN(D9:D108)</f>
        <v>486.64841611626559</v>
      </c>
      <c r="E6">
        <f>MIN(E9:E108)</f>
        <v>493.21657914938197</v>
      </c>
      <c r="F6" s="4">
        <f>MIN(F9:F108)</f>
        <v>482.77276266163375</v>
      </c>
      <c r="P6">
        <f>SMALL(SimData2!$B$9:$B$108,1)</f>
        <v>425.07385813111432</v>
      </c>
      <c r="Q6">
        <v>0</v>
      </c>
      <c r="R6">
        <f>SMALL(SimData2!$C$9:$C$108,1)</f>
        <v>464.84839030656423</v>
      </c>
      <c r="S6">
        <v>0</v>
      </c>
      <c r="T6">
        <f>SMALL(SimData2!$D$9:$D$108,1)</f>
        <v>486.64841611626559</v>
      </c>
      <c r="U6">
        <v>0</v>
      </c>
      <c r="V6">
        <f>SMALL(SimData2!$E$9:$E$108,1)</f>
        <v>493.21657914938197</v>
      </c>
      <c r="W6">
        <v>0</v>
      </c>
      <c r="X6">
        <f>SMALL(SimData2!$F$9:$F$108,1)</f>
        <v>482.77276266163375</v>
      </c>
      <c r="Y6">
        <v>0</v>
      </c>
    </row>
    <row r="7" spans="1:25">
      <c r="A7" t="s">
        <v>23</v>
      </c>
      <c r="B7">
        <f>MAX(B9:B108)</f>
        <v>531.97970488027045</v>
      </c>
      <c r="C7">
        <f>MAX(C9:C108)</f>
        <v>558.65659859849188</v>
      </c>
      <c r="D7">
        <f>MAX(D9:D108)</f>
        <v>599.07657715402934</v>
      </c>
      <c r="E7">
        <f>MAX(E9:E108)</f>
        <v>610.87977761973593</v>
      </c>
      <c r="F7" s="4">
        <f>MAX(F9:F108)</f>
        <v>537.80519453981572</v>
      </c>
      <c r="P7">
        <f>SMALL(SimData2!$B$9:$B$108,2)</f>
        <v>425.22756621683266</v>
      </c>
      <c r="Q7">
        <f>1/(COUNT(SimData2!$B$9:$B$108)-1)+$Q$6</f>
        <v>1.0101010101010102E-2</v>
      </c>
      <c r="R7">
        <f>SMALL(SimData2!$C$9:$C$108,2)</f>
        <v>468.7500005218975</v>
      </c>
      <c r="S7">
        <f>1/(COUNT(SimData2!$C$9:$C$108)-1)+$S$6</f>
        <v>1.0101010101010102E-2</v>
      </c>
      <c r="T7">
        <f>SMALL(SimData2!$D$9:$D$108,2)</f>
        <v>490.14449021743042</v>
      </c>
      <c r="U7">
        <f>1/(COUNT(SimData2!$D$9:$D$108)-1)+$U$6</f>
        <v>1.0101010101010102E-2</v>
      </c>
      <c r="V7">
        <f>SMALL(SimData2!$E$9:$E$108,2)</f>
        <v>508.99969679333316</v>
      </c>
      <c r="W7">
        <f>1/(COUNT(SimData2!$E$9:$E$108)-1)+$W$6</f>
        <v>1.0101010101010102E-2</v>
      </c>
      <c r="X7">
        <f>SMALL(SimData2!$F$9:$F$108,2)</f>
        <v>483.03805838741346</v>
      </c>
      <c r="Y7">
        <f>1/(COUNT(SimData2!$F$9:$F$108)-1)+$Y$6</f>
        <v>1.0101010101010102E-2</v>
      </c>
    </row>
    <row r="8" spans="1:25">
      <c r="A8" t="s">
        <v>24</v>
      </c>
      <c r="B8" t="str">
        <f>Sheet1!$A$36&amp;": "&amp;1</f>
        <v>Average Cost: 1</v>
      </c>
      <c r="C8" t="str">
        <f>Sheet1!$A$36&amp;": "&amp;2</f>
        <v>Average Cost: 2</v>
      </c>
      <c r="D8" t="str">
        <f>Sheet1!$A$36&amp;": "&amp;3</f>
        <v>Average Cost: 3</v>
      </c>
      <c r="E8" t="str">
        <f>Sheet1!$A$36&amp;": "&amp;4</f>
        <v>Average Cost: 4</v>
      </c>
      <c r="F8" t="s">
        <v>36</v>
      </c>
      <c r="P8">
        <f>SMALL(SimData2!$B$9:$B$108,3)</f>
        <v>442.96619200852365</v>
      </c>
      <c r="Q8">
        <f>1/(COUNT(SimData2!$B$9:$B$108)-1)+$Q$7</f>
        <v>2.0202020202020204E-2</v>
      </c>
      <c r="R8">
        <f>SMALL(SimData2!$C$9:$C$108,3)</f>
        <v>470.87384533605808</v>
      </c>
      <c r="S8">
        <f>1/(COUNT(SimData2!$C$9:$C$108)-1)+$S$7</f>
        <v>2.0202020202020204E-2</v>
      </c>
      <c r="T8">
        <f>SMALL(SimData2!$D$9:$D$108,3)</f>
        <v>491.68957834758169</v>
      </c>
      <c r="U8">
        <f>1/(COUNT(SimData2!$D$9:$D$108)-1)+$U$7</f>
        <v>2.0202020202020204E-2</v>
      </c>
      <c r="V8">
        <f>SMALL(SimData2!$E$9:$E$108,3)</f>
        <v>530.75925078255159</v>
      </c>
      <c r="W8">
        <f>1/(COUNT(SimData2!$E$9:$E$108)-1)+$W$7</f>
        <v>2.0202020202020204E-2</v>
      </c>
      <c r="X8">
        <f>SMALL(SimData2!$F$9:$F$108,3)</f>
        <v>485.3061324673335</v>
      </c>
      <c r="Y8">
        <f>1/(COUNT(SimData2!$F$9:$F$108)-1)+$Y$7</f>
        <v>2.0202020202020204E-2</v>
      </c>
    </row>
    <row r="9" spans="1:25">
      <c r="A9">
        <v>1</v>
      </c>
      <c r="B9">
        <v>494.71699797138183</v>
      </c>
      <c r="C9">
        <v>518.14691875382823</v>
      </c>
      <c r="D9">
        <v>572.59946235438144</v>
      </c>
      <c r="E9">
        <v>572.59946235438144</v>
      </c>
      <c r="F9" s="4">
        <v>520.20411527147246</v>
      </c>
      <c r="P9">
        <f>SMALL(SimData2!$B$9:$B$108,4)</f>
        <v>445.45140192527862</v>
      </c>
      <c r="Q9">
        <f>1/(COUNT(SimData2!$B$9:$B$108)-1)+$Q$8</f>
        <v>3.0303030303030304E-2</v>
      </c>
      <c r="R9">
        <f>SMALL(SimData2!$C$9:$C$108,4)</f>
        <v>472.5542429977757</v>
      </c>
      <c r="S9">
        <f>1/(COUNT(SimData2!$C$9:$C$108)-1)+$S$8</f>
        <v>3.0303030303030304E-2</v>
      </c>
      <c r="T9">
        <f>SMALL(SimData2!$D$9:$D$108,4)</f>
        <v>492.00692499634226</v>
      </c>
      <c r="U9">
        <f>1/(COUNT(SimData2!$D$9:$D$108)-1)+$U$8</f>
        <v>3.0303030303030304E-2</v>
      </c>
      <c r="V9">
        <f>SMALL(SimData2!$E$9:$E$108,4)</f>
        <v>533.86493499094217</v>
      </c>
      <c r="W9">
        <f>1/(COUNT(SimData2!$E$9:$E$108)-1)+$W$8</f>
        <v>3.0303030303030304E-2</v>
      </c>
      <c r="X9">
        <f>SMALL(SimData2!$F$9:$F$108,4)</f>
        <v>487.27326959660036</v>
      </c>
      <c r="Y9">
        <f>1/(COUNT(SimData2!$F$9:$F$108)-1)+$Y$8</f>
        <v>3.0303030303030304E-2</v>
      </c>
    </row>
    <row r="10" spans="1:25">
      <c r="A10">
        <v>2</v>
      </c>
      <c r="B10">
        <v>485.73482507045048</v>
      </c>
      <c r="C10">
        <v>485.73482507045048</v>
      </c>
      <c r="D10">
        <v>503.77464998940684</v>
      </c>
      <c r="E10">
        <v>581.91229412703012</v>
      </c>
      <c r="F10" s="4">
        <v>524.71190985671399</v>
      </c>
      <c r="P10">
        <f>SMALL(SimData2!$B$9:$B$108,5)</f>
        <v>446.54562026148153</v>
      </c>
      <c r="Q10">
        <f>1/(COUNT(SimData2!$B$9:$B$108)-1)+$Q$9</f>
        <v>4.0404040404040407E-2</v>
      </c>
      <c r="R10">
        <f>SMALL(SimData2!$C$9:$C$108,5)</f>
        <v>473.45684817827197</v>
      </c>
      <c r="S10">
        <f>1/(COUNT(SimData2!$C$9:$C$108)-1)+$S$9</f>
        <v>4.0404040404040407E-2</v>
      </c>
      <c r="T10">
        <f>SMALL(SimData2!$D$9:$D$108,5)</f>
        <v>492.34039591605108</v>
      </c>
      <c r="U10">
        <f>1/(COUNT(SimData2!$D$9:$D$108)-1)+$U$9</f>
        <v>4.0404040404040407E-2</v>
      </c>
      <c r="V10">
        <f>SMALL(SimData2!$E$9:$E$108,5)</f>
        <v>541.66376319291101</v>
      </c>
      <c r="W10">
        <f>1/(COUNT(SimData2!$E$9:$E$108)-1)+$W$9</f>
        <v>4.0404040404040407E-2</v>
      </c>
      <c r="X10">
        <f>SMALL(SimData2!$F$9:$F$108,5)</f>
        <v>490.02628241733282</v>
      </c>
      <c r="Y10">
        <f>1/(COUNT(SimData2!$F$9:$F$108)-1)+$Y$9</f>
        <v>4.0404040404040407E-2</v>
      </c>
    </row>
    <row r="11" spans="1:25">
      <c r="A11">
        <v>3</v>
      </c>
      <c r="B11">
        <v>442.96619200852365</v>
      </c>
      <c r="C11">
        <v>493.08726358488383</v>
      </c>
      <c r="D11">
        <v>493.08726358488383</v>
      </c>
      <c r="E11">
        <v>601.44849571768805</v>
      </c>
      <c r="F11" s="4">
        <v>502.03804804744055</v>
      </c>
      <c r="P11">
        <f>SMALL(SimData2!$B$9:$B$108,6)</f>
        <v>447.70109116082995</v>
      </c>
      <c r="Q11">
        <f>1/(COUNT(SimData2!$B$9:$B$108)-1)+$Q$10</f>
        <v>5.0505050505050511E-2</v>
      </c>
      <c r="R11">
        <f>SMALL(SimData2!$C$9:$C$108,6)</f>
        <v>473.88538579315116</v>
      </c>
      <c r="S11">
        <f>1/(COUNT(SimData2!$C$9:$C$108)-1)+$S$10</f>
        <v>5.0505050505050511E-2</v>
      </c>
      <c r="T11">
        <f>SMALL(SimData2!$D$9:$D$108,6)</f>
        <v>493.08726358488383</v>
      </c>
      <c r="U11">
        <f>1/(COUNT(SimData2!$D$9:$D$108)-1)+$U$10</f>
        <v>5.0505050505050511E-2</v>
      </c>
      <c r="V11">
        <f>SMALL(SimData2!$E$9:$E$108,6)</f>
        <v>542.05685437644422</v>
      </c>
      <c r="W11">
        <f>1/(COUNT(SimData2!$E$9:$E$108)-1)+$W$10</f>
        <v>5.0505050505050511E-2</v>
      </c>
      <c r="X11">
        <f>SMALL(SimData2!$F$9:$F$108,6)</f>
        <v>490.51798610462674</v>
      </c>
      <c r="Y11">
        <f>1/(COUNT(SimData2!$F$9:$F$108)-1)+$Y$10</f>
        <v>5.0505050505050511E-2</v>
      </c>
    </row>
    <row r="12" spans="1:25">
      <c r="A12">
        <v>4</v>
      </c>
      <c r="B12">
        <v>446.54562026148153</v>
      </c>
      <c r="C12">
        <v>492.41529564807604</v>
      </c>
      <c r="D12">
        <v>553.46606610754816</v>
      </c>
      <c r="E12">
        <v>553.46606610754816</v>
      </c>
      <c r="F12" s="4">
        <v>502.8988382379398</v>
      </c>
      <c r="P12">
        <f>SMALL(SimData2!$B$9:$B$108,7)</f>
        <v>450.54512230893943</v>
      </c>
      <c r="Q12">
        <f>1/(COUNT(SimData2!$B$9:$B$108)-1)+$Q$11</f>
        <v>6.0606060606060615E-2</v>
      </c>
      <c r="R12">
        <f>SMALL(SimData2!$C$9:$C$108,7)</f>
        <v>477.62913127948798</v>
      </c>
      <c r="S12">
        <f>1/(COUNT(SimData2!$C$9:$C$108)-1)+$S$11</f>
        <v>6.0606060606060615E-2</v>
      </c>
      <c r="T12">
        <f>SMALL(SimData2!$D$9:$D$108,7)</f>
        <v>493.21256542243765</v>
      </c>
      <c r="U12">
        <f>1/(COUNT(SimData2!$D$9:$D$108)-1)+$U$11</f>
        <v>6.0606060606060615E-2</v>
      </c>
      <c r="V12">
        <f>SMALL(SimData2!$E$9:$E$108,7)</f>
        <v>542.28396428544329</v>
      </c>
      <c r="W12">
        <f>1/(COUNT(SimData2!$E$9:$E$108)-1)+$W$11</f>
        <v>6.0606060606060615E-2</v>
      </c>
      <c r="X12">
        <f>SMALL(SimData2!$F$9:$F$108,7)</f>
        <v>491.72314429277321</v>
      </c>
      <c r="Y12">
        <f>1/(COUNT(SimData2!$F$9:$F$108)-1)+$Y$11</f>
        <v>6.0606060606060615E-2</v>
      </c>
    </row>
    <row r="13" spans="1:25">
      <c r="A13">
        <v>5</v>
      </c>
      <c r="B13">
        <v>464.24376344176699</v>
      </c>
      <c r="C13">
        <v>499.0491481911198</v>
      </c>
      <c r="D13">
        <v>563.25434361434122</v>
      </c>
      <c r="E13">
        <v>563.25434361434122</v>
      </c>
      <c r="F13" s="4">
        <v>507.1057797273491</v>
      </c>
      <c r="P13">
        <f>SMALL(SimData2!$B$9:$B$108,8)</f>
        <v>452.71066564987649</v>
      </c>
      <c r="Q13">
        <f>1/(COUNT(SimData2!$B$9:$B$108)-1)+$Q$12</f>
        <v>7.0707070707070718E-2</v>
      </c>
      <c r="R13">
        <f>SMALL(SimData2!$C$9:$C$108,8)</f>
        <v>481.13619613884941</v>
      </c>
      <c r="S13">
        <f>1/(COUNT(SimData2!$C$9:$C$108)-1)+$S$12</f>
        <v>7.0707070707070718E-2</v>
      </c>
      <c r="T13">
        <f>SMALL(SimData2!$D$9:$D$108,8)</f>
        <v>493.21657914938197</v>
      </c>
      <c r="U13">
        <f>1/(COUNT(SimData2!$D$9:$D$108)-1)+$U$12</f>
        <v>7.0707070707070718E-2</v>
      </c>
      <c r="V13">
        <f>SMALL(SimData2!$E$9:$E$108,8)</f>
        <v>543.10365854503721</v>
      </c>
      <c r="W13">
        <f>1/(COUNT(SimData2!$E$9:$E$108)-1)+$W$12</f>
        <v>7.0707070707070718E-2</v>
      </c>
      <c r="X13">
        <f>SMALL(SimData2!$F$9:$F$108,8)</f>
        <v>491.80960032412685</v>
      </c>
      <c r="Y13">
        <f>1/(COUNT(SimData2!$F$9:$F$108)-1)+$Y$12</f>
        <v>7.0707070707070718E-2</v>
      </c>
    </row>
    <row r="14" spans="1:25">
      <c r="A14">
        <v>6</v>
      </c>
      <c r="B14">
        <v>486.36242565273204</v>
      </c>
      <c r="C14">
        <v>491.68957834758169</v>
      </c>
      <c r="D14">
        <v>491.68957834758169</v>
      </c>
      <c r="E14">
        <v>587.98553244945322</v>
      </c>
      <c r="F14" s="4">
        <v>515.143903347275</v>
      </c>
      <c r="P14">
        <f>SMALL(SimData2!$B$9:$B$108,9)</f>
        <v>453.09483097023184</v>
      </c>
      <c r="Q14">
        <f>1/(COUNT(SimData2!$B$9:$B$108)-1)+$Q$13</f>
        <v>8.0808080808080815E-2</v>
      </c>
      <c r="R14">
        <f>SMALL(SimData2!$C$9:$C$108,9)</f>
        <v>482.106118033298</v>
      </c>
      <c r="S14">
        <f>1/(COUNT(SimData2!$C$9:$C$108)-1)+$S$13</f>
        <v>8.0808080808080815E-2</v>
      </c>
      <c r="T14">
        <f>SMALL(SimData2!$D$9:$D$108,9)</f>
        <v>494.81143733322199</v>
      </c>
      <c r="U14">
        <f>1/(COUNT(SimData2!$D$9:$D$108)-1)+$U$13</f>
        <v>8.0808080808080815E-2</v>
      </c>
      <c r="V14">
        <f>SMALL(SimData2!$E$9:$E$108,9)</f>
        <v>543.67130873002122</v>
      </c>
      <c r="W14">
        <f>1/(COUNT(SimData2!$E$9:$E$108)-1)+$W$13</f>
        <v>8.0808080808080815E-2</v>
      </c>
      <c r="X14">
        <f>SMALL(SimData2!$F$9:$F$108,9)</f>
        <v>492.88409331965823</v>
      </c>
      <c r="Y14">
        <f>1/(COUNT(SimData2!$F$9:$F$108)-1)+$Y$13</f>
        <v>8.0808080808080815E-2</v>
      </c>
    </row>
    <row r="15" spans="1:25">
      <c r="A15">
        <v>7</v>
      </c>
      <c r="B15">
        <v>496.76629005257638</v>
      </c>
      <c r="C15">
        <v>496.76629005257638</v>
      </c>
      <c r="D15">
        <v>498.17941741569405</v>
      </c>
      <c r="E15">
        <v>580.85470876403645</v>
      </c>
      <c r="F15" s="4">
        <v>510.62500683068612</v>
      </c>
      <c r="P15">
        <f>SMALL(SimData2!$B$9:$B$108,10)</f>
        <v>458.21253061039789</v>
      </c>
      <c r="Q15">
        <f>1/(COUNT(SimData2!$B$9:$B$108)-1)+$Q$14</f>
        <v>9.0909090909090912E-2</v>
      </c>
      <c r="R15">
        <f>SMALL(SimData2!$C$9:$C$108,10)</f>
        <v>482.87748017364737</v>
      </c>
      <c r="S15">
        <f>1/(COUNT(SimData2!$C$9:$C$108)-1)+$S$14</f>
        <v>9.0909090909090912E-2</v>
      </c>
      <c r="T15">
        <f>SMALL(SimData2!$D$9:$D$108,10)</f>
        <v>496.38874492842262</v>
      </c>
      <c r="U15">
        <f>1/(COUNT(SimData2!$D$9:$D$108)-1)+$U$14</f>
        <v>9.0909090909090912E-2</v>
      </c>
      <c r="V15">
        <f>SMALL(SimData2!$E$9:$E$108,10)</f>
        <v>544.53626229327119</v>
      </c>
      <c r="W15">
        <f>1/(COUNT(SimData2!$E$9:$E$108)-1)+$W$14</f>
        <v>9.0909090909090912E-2</v>
      </c>
      <c r="X15">
        <f>SMALL(SimData2!$F$9:$F$108,10)</f>
        <v>493.09274131059817</v>
      </c>
      <c r="Y15">
        <f>1/(COUNT(SimData2!$F$9:$F$108)-1)+$Y$14</f>
        <v>9.0909090909090912E-2</v>
      </c>
    </row>
    <row r="16" spans="1:25">
      <c r="A16">
        <v>8</v>
      </c>
      <c r="B16">
        <v>509.50240415148858</v>
      </c>
      <c r="C16">
        <v>509.50240415148858</v>
      </c>
      <c r="D16">
        <v>588.85943918933413</v>
      </c>
      <c r="E16">
        <v>588.85943918933413</v>
      </c>
      <c r="F16" s="4">
        <v>490.51798610462674</v>
      </c>
      <c r="P16">
        <f>SMALL(SimData2!$B$9:$B$108,11)</f>
        <v>463.99828736244871</v>
      </c>
      <c r="Q16">
        <f>1/(COUNT(SimData2!$B$9:$B$108)-1)+$Q$15</f>
        <v>0.10101010101010101</v>
      </c>
      <c r="R16">
        <f>SMALL(SimData2!$C$9:$C$108,11)</f>
        <v>482.99302138854989</v>
      </c>
      <c r="S16">
        <f>1/(COUNT(SimData2!$C$9:$C$108)-1)+$S$15</f>
        <v>0.10101010101010101</v>
      </c>
      <c r="T16">
        <f>SMALL(SimData2!$D$9:$D$108,11)</f>
        <v>497.00942639961357</v>
      </c>
      <c r="U16">
        <f>1/(COUNT(SimData2!$D$9:$D$108)-1)+$U$15</f>
        <v>0.10101010101010101</v>
      </c>
      <c r="V16">
        <f>SMALL(SimData2!$E$9:$E$108,11)</f>
        <v>544.90655044919026</v>
      </c>
      <c r="W16">
        <f>1/(COUNT(SimData2!$E$9:$E$108)-1)+$W$15</f>
        <v>0.10101010101010101</v>
      </c>
      <c r="X16">
        <f>SMALL(SimData2!$F$9:$F$108,11)</f>
        <v>493.98094162647101</v>
      </c>
      <c r="Y16">
        <f>1/(COUNT(SimData2!$F$9:$F$108)-1)+$Y$15</f>
        <v>0.10101010101010101</v>
      </c>
    </row>
    <row r="17" spans="1:25">
      <c r="A17">
        <v>9</v>
      </c>
      <c r="B17">
        <v>520.65259696744897</v>
      </c>
      <c r="C17">
        <v>520.65259696744897</v>
      </c>
      <c r="D17">
        <v>520.65259696744897</v>
      </c>
      <c r="E17">
        <v>591.20087109152814</v>
      </c>
      <c r="F17" s="4">
        <v>534.66278615454723</v>
      </c>
      <c r="P17">
        <f>SMALL(SimData2!$B$9:$B$108,12)</f>
        <v>464.24376344176699</v>
      </c>
      <c r="Q17">
        <f>1/(COUNT(SimData2!$B$9:$B$108)-1)+$Q$16</f>
        <v>0.1111111111111111</v>
      </c>
      <c r="R17">
        <f>SMALL(SimData2!$C$9:$C$108,12)</f>
        <v>482.99741025255173</v>
      </c>
      <c r="S17">
        <f>1/(COUNT(SimData2!$C$9:$C$108)-1)+$S$16</f>
        <v>0.1111111111111111</v>
      </c>
      <c r="T17">
        <f>SMALL(SimData2!$D$9:$D$108,12)</f>
        <v>497.43476636803769</v>
      </c>
      <c r="U17">
        <f>1/(COUNT(SimData2!$D$9:$D$108)-1)+$U$16</f>
        <v>0.1111111111111111</v>
      </c>
      <c r="V17">
        <f>SMALL(SimData2!$E$9:$E$108,12)</f>
        <v>546.29528445076051</v>
      </c>
      <c r="W17">
        <f>1/(COUNT(SimData2!$E$9:$E$108)-1)+$W$16</f>
        <v>0.1111111111111111</v>
      </c>
      <c r="X17">
        <f>SMALL(SimData2!$F$9:$F$108,12)</f>
        <v>494.23539803898382</v>
      </c>
      <c r="Y17">
        <f>1/(COUNT(SimData2!$F$9:$F$108)-1)+$Y$16</f>
        <v>0.1111111111111111</v>
      </c>
    </row>
    <row r="18" spans="1:25">
      <c r="A18">
        <v>10</v>
      </c>
      <c r="B18">
        <v>496.62335678576221</v>
      </c>
      <c r="C18">
        <v>491.63422813580627</v>
      </c>
      <c r="D18">
        <v>536.76109737559386</v>
      </c>
      <c r="E18">
        <v>585.23890343288167</v>
      </c>
      <c r="F18" s="4">
        <v>534.088800603452</v>
      </c>
      <c r="P18">
        <f>SMALL(SimData2!$B$9:$B$108,13)</f>
        <v>464.76380042750287</v>
      </c>
      <c r="Q18">
        <f>1/(COUNT(SimData2!$B$9:$B$108)-1)+$Q$17</f>
        <v>0.1212121212121212</v>
      </c>
      <c r="R18">
        <f>SMALL(SimData2!$C$9:$C$108,13)</f>
        <v>483.12822782605008</v>
      </c>
      <c r="S18">
        <f>1/(COUNT(SimData2!$C$9:$C$108)-1)+$S$17</f>
        <v>0.1212121212121212</v>
      </c>
      <c r="T18">
        <f>SMALL(SimData2!$D$9:$D$108,13)</f>
        <v>498.03331617456035</v>
      </c>
      <c r="U18">
        <f>1/(COUNT(SimData2!$D$9:$D$108)-1)+$U$17</f>
        <v>0.1212121212121212</v>
      </c>
      <c r="V18">
        <f>SMALL(SimData2!$E$9:$E$108,13)</f>
        <v>547.75322356307913</v>
      </c>
      <c r="W18">
        <f>1/(COUNT(SimData2!$E$9:$E$108)-1)+$W$17</f>
        <v>0.1212121212121212</v>
      </c>
      <c r="X18">
        <f>SMALL(SimData2!$F$9:$F$108,13)</f>
        <v>495.34667631152416</v>
      </c>
      <c r="Y18">
        <f>1/(COUNT(SimData2!$F$9:$F$108)-1)+$Y$17</f>
        <v>0.1212121212121212</v>
      </c>
    </row>
    <row r="19" spans="1:25">
      <c r="A19">
        <v>11</v>
      </c>
      <c r="B19">
        <v>513.98006632156671</v>
      </c>
      <c r="C19">
        <v>554.84301494139913</v>
      </c>
      <c r="D19">
        <v>561.61406767554433</v>
      </c>
      <c r="E19">
        <v>610.87977761973593</v>
      </c>
      <c r="F19" s="4">
        <v>520.93123159841252</v>
      </c>
      <c r="P19">
        <f>SMALL(SimData2!$B$9:$B$108,14)</f>
        <v>464.84839030656423</v>
      </c>
      <c r="Q19">
        <f>1/(COUNT(SimData2!$B$9:$B$108)-1)+$Q$18</f>
        <v>0.1313131313131313</v>
      </c>
      <c r="R19">
        <f>SMALL(SimData2!$C$9:$C$108,14)</f>
        <v>483.26972731579451</v>
      </c>
      <c r="S19">
        <f>1/(COUNT(SimData2!$C$9:$C$108)-1)+$S$18</f>
        <v>0.1313131313131313</v>
      </c>
      <c r="T19">
        <f>SMALL(SimData2!$D$9:$D$108,14)</f>
        <v>498.09239954052839</v>
      </c>
      <c r="U19">
        <f>1/(COUNT(SimData2!$D$9:$D$108)-1)+$U$18</f>
        <v>0.1313131313131313</v>
      </c>
      <c r="V19">
        <f>SMALL(SimData2!$E$9:$E$108,14)</f>
        <v>548.29725051913044</v>
      </c>
      <c r="W19">
        <f>1/(COUNT(SimData2!$E$9:$E$108)-1)+$W$18</f>
        <v>0.1313131313131313</v>
      </c>
      <c r="X19">
        <f>SMALL(SimData2!$F$9:$F$108,14)</f>
        <v>496.18371865911553</v>
      </c>
      <c r="Y19">
        <f>1/(COUNT(SimData2!$F$9:$F$108)-1)+$Y$18</f>
        <v>0.1313131313131313</v>
      </c>
    </row>
    <row r="20" spans="1:25">
      <c r="A20">
        <v>12</v>
      </c>
      <c r="B20">
        <v>526.13168482603669</v>
      </c>
      <c r="C20">
        <v>526.13168482603669</v>
      </c>
      <c r="D20">
        <v>578.22110243732664</v>
      </c>
      <c r="E20">
        <v>578.22110243732664</v>
      </c>
      <c r="F20" s="4">
        <v>496.99484161144937</v>
      </c>
      <c r="P20">
        <f>SMALL(SimData2!$B$9:$B$108,15)</f>
        <v>466.29166142019267</v>
      </c>
      <c r="Q20">
        <f>1/(COUNT(SimData2!$B$9:$B$108)-1)+$Q$19</f>
        <v>0.14141414141414141</v>
      </c>
      <c r="R20">
        <f>SMALL(SimData2!$C$9:$C$108,15)</f>
        <v>484.1839886380011</v>
      </c>
      <c r="S20">
        <f>1/(COUNT(SimData2!$C$9:$C$108)-1)+$S$19</f>
        <v>0.14141414141414141</v>
      </c>
      <c r="T20">
        <f>SMALL(SimData2!$D$9:$D$108,15)</f>
        <v>498.17941741569405</v>
      </c>
      <c r="U20">
        <f>1/(COUNT(SimData2!$D$9:$D$108)-1)+$U$19</f>
        <v>0.14141414141414141</v>
      </c>
      <c r="V20">
        <f>SMALL(SimData2!$E$9:$E$108,15)</f>
        <v>548.32413810506409</v>
      </c>
      <c r="W20">
        <f>1/(COUNT(SimData2!$E$9:$E$108)-1)+$W$19</f>
        <v>0.14141414141414141</v>
      </c>
      <c r="X20">
        <f>SMALL(SimData2!$F$9:$F$108,15)</f>
        <v>496.81082693978061</v>
      </c>
      <c r="Y20">
        <f>1/(COUNT(SimData2!$F$9:$F$108)-1)+$Y$19</f>
        <v>0.14141414141414141</v>
      </c>
    </row>
    <row r="21" spans="1:25">
      <c r="A21">
        <v>13</v>
      </c>
      <c r="B21">
        <v>516.26632712361243</v>
      </c>
      <c r="C21">
        <v>495.69521866030948</v>
      </c>
      <c r="D21">
        <v>559.08037969372003</v>
      </c>
      <c r="E21">
        <v>559.08037969372003</v>
      </c>
      <c r="F21" s="4">
        <v>524.84246190639919</v>
      </c>
      <c r="P21">
        <f>SMALL(SimData2!$B$9:$B$108,16)</f>
        <v>468.7500005218975</v>
      </c>
      <c r="Q21">
        <f>1/(COUNT(SimData2!$B$9:$B$108)-1)+$Q$20</f>
        <v>0.15151515151515152</v>
      </c>
      <c r="R21">
        <f>SMALL(SimData2!$C$9:$C$108,16)</f>
        <v>484.51947431001554</v>
      </c>
      <c r="S21">
        <f>1/(COUNT(SimData2!$C$9:$C$108)-1)+$S$20</f>
        <v>0.15151515151515152</v>
      </c>
      <c r="T21">
        <f>SMALL(SimData2!$D$9:$D$108,16)</f>
        <v>498.20415184773276</v>
      </c>
      <c r="U21">
        <f>1/(COUNT(SimData2!$D$9:$D$108)-1)+$U$20</f>
        <v>0.15151515151515152</v>
      </c>
      <c r="V21">
        <f>SMALL(SimData2!$E$9:$E$108,16)</f>
        <v>548.39036422129857</v>
      </c>
      <c r="W21">
        <f>1/(COUNT(SimData2!$E$9:$E$108)-1)+$W$20</f>
        <v>0.15151515151515152</v>
      </c>
      <c r="X21">
        <f>SMALL(SimData2!$F$9:$F$108,16)</f>
        <v>496.99484161144937</v>
      </c>
      <c r="Y21">
        <f>1/(COUNT(SimData2!$F$9:$F$108)-1)+$Y$20</f>
        <v>0.15151515151515152</v>
      </c>
    </row>
    <row r="22" spans="1:25">
      <c r="A22">
        <v>14</v>
      </c>
      <c r="B22">
        <v>482.87748017364737</v>
      </c>
      <c r="C22">
        <v>482.87748017364737</v>
      </c>
      <c r="D22">
        <v>536.706551395921</v>
      </c>
      <c r="E22">
        <v>582.3266056278153</v>
      </c>
      <c r="F22" s="4">
        <v>496.81082693978061</v>
      </c>
      <c r="P22">
        <f>SMALL(SimData2!$B$9:$B$108,17)</f>
        <v>468.87778202889848</v>
      </c>
      <c r="Q22">
        <f>1/(COUNT(SimData2!$B$9:$B$108)-1)+$Q$21</f>
        <v>0.16161616161616163</v>
      </c>
      <c r="R22">
        <f>SMALL(SimData2!$C$9:$C$108,17)</f>
        <v>485.0389726060838</v>
      </c>
      <c r="S22">
        <f>1/(COUNT(SimData2!$C$9:$C$108)-1)+$S$21</f>
        <v>0.16161616161616163</v>
      </c>
      <c r="T22">
        <f>SMALL(SimData2!$D$9:$D$108,17)</f>
        <v>498.21938189525883</v>
      </c>
      <c r="U22">
        <f>1/(COUNT(SimData2!$D$9:$D$108)-1)+$U$21</f>
        <v>0.16161616161616163</v>
      </c>
      <c r="V22">
        <f>SMALL(SimData2!$E$9:$E$108,17)</f>
        <v>549.37989492043596</v>
      </c>
      <c r="W22">
        <f>1/(COUNT(SimData2!$E$9:$E$108)-1)+$W$21</f>
        <v>0.16161616161616163</v>
      </c>
      <c r="X22">
        <f>SMALL(SimData2!$F$9:$F$108,17)</f>
        <v>497.66964107168059</v>
      </c>
      <c r="Y22">
        <f>1/(COUNT(SimData2!$F$9:$F$108)-1)+$Y$21</f>
        <v>0.16161616161616163</v>
      </c>
    </row>
    <row r="23" spans="1:25">
      <c r="A23">
        <v>15</v>
      </c>
      <c r="B23">
        <v>499.03169092717525</v>
      </c>
      <c r="C23">
        <v>499.03169092717525</v>
      </c>
      <c r="D23">
        <v>556.54605148749329</v>
      </c>
      <c r="E23">
        <v>599.59715556336835</v>
      </c>
      <c r="F23" s="4">
        <v>537.38042894927173</v>
      </c>
      <c r="P23">
        <f>SMALL(SimData2!$B$9:$B$108,18)</f>
        <v>470.87384533605808</v>
      </c>
      <c r="Q23">
        <f>1/(COUNT(SimData2!$B$9:$B$108)-1)+$Q$22</f>
        <v>0.17171717171717174</v>
      </c>
      <c r="R23">
        <f>SMALL(SimData2!$C$9:$C$108,18)</f>
        <v>485.48593748804143</v>
      </c>
      <c r="S23">
        <f>1/(COUNT(SimData2!$C$9:$C$108)-1)+$S$22</f>
        <v>0.17171717171717174</v>
      </c>
      <c r="T23">
        <f>SMALL(SimData2!$D$9:$D$108,18)</f>
        <v>498.48089224073709</v>
      </c>
      <c r="U23">
        <f>1/(COUNT(SimData2!$D$9:$D$108)-1)+$U$22</f>
        <v>0.17171717171717174</v>
      </c>
      <c r="V23">
        <f>SMALL(SimData2!$E$9:$E$108,18)</f>
        <v>549.88266844069699</v>
      </c>
      <c r="W23">
        <f>1/(COUNT(SimData2!$E$9:$E$108)-1)+$W$22</f>
        <v>0.17171717171717174</v>
      </c>
      <c r="X23">
        <f>SMALL(SimData2!$F$9:$F$108,18)</f>
        <v>499.42077615175924</v>
      </c>
      <c r="Y23">
        <f>1/(COUNT(SimData2!$F$9:$F$108)-1)+$Y$22</f>
        <v>0.17171717171717174</v>
      </c>
    </row>
    <row r="24" spans="1:25">
      <c r="A24">
        <v>16</v>
      </c>
      <c r="B24">
        <v>529.93945049003821</v>
      </c>
      <c r="C24">
        <v>529.93945049003821</v>
      </c>
      <c r="D24">
        <v>562.91756519752039</v>
      </c>
      <c r="E24">
        <v>562.91756519752039</v>
      </c>
      <c r="F24" s="4">
        <v>530.33173212618908</v>
      </c>
      <c r="P24">
        <f>SMALL(SimData2!$B$9:$B$108,19)</f>
        <v>470.95649403312234</v>
      </c>
      <c r="Q24">
        <f>1/(COUNT(SimData2!$B$9:$B$108)-1)+$Q$23</f>
        <v>0.18181818181818185</v>
      </c>
      <c r="R24">
        <f>SMALL(SimData2!$C$9:$C$108,19)</f>
        <v>485.65878809476862</v>
      </c>
      <c r="S24">
        <f>1/(COUNT(SimData2!$C$9:$C$108)-1)+$S$23</f>
        <v>0.18181818181818185</v>
      </c>
      <c r="T24">
        <f>SMALL(SimData2!$D$9:$D$108,19)</f>
        <v>499.76321334493684</v>
      </c>
      <c r="U24">
        <f>1/(COUNT(SimData2!$D$9:$D$108)-1)+$U$23</f>
        <v>0.18181818181818185</v>
      </c>
      <c r="V24">
        <f>SMALL(SimData2!$E$9:$E$108,19)</f>
        <v>550.04586708110332</v>
      </c>
      <c r="W24">
        <f>1/(COUNT(SimData2!$E$9:$E$108)-1)+$W$23</f>
        <v>0.18181818181818185</v>
      </c>
      <c r="X24">
        <f>SMALL(SimData2!$F$9:$F$108,19)</f>
        <v>499.4579132279186</v>
      </c>
      <c r="Y24">
        <f>1/(COUNT(SimData2!$F$9:$F$108)-1)+$Y$23</f>
        <v>0.18181818181818185</v>
      </c>
    </row>
    <row r="25" spans="1:25">
      <c r="A25">
        <v>17</v>
      </c>
      <c r="B25">
        <v>481.80520697593067</v>
      </c>
      <c r="C25">
        <v>501.16731712270928</v>
      </c>
      <c r="D25">
        <v>501.16731712270928</v>
      </c>
      <c r="E25">
        <v>530.75925078255159</v>
      </c>
      <c r="F25" s="4">
        <v>509.27225129486249</v>
      </c>
      <c r="P25">
        <f>SMALL(SimData2!$B$9:$B$108,20)</f>
        <v>471.33818139862734</v>
      </c>
      <c r="Q25">
        <f>1/(COUNT(SimData2!$B$9:$B$108)-1)+$Q$24</f>
        <v>0.19191919191919196</v>
      </c>
      <c r="R25">
        <f>SMALL(SimData2!$C$9:$C$108,20)</f>
        <v>485.73482507045048</v>
      </c>
      <c r="S25">
        <f>1/(COUNT(SimData2!$C$9:$C$108)-1)+$S$24</f>
        <v>0.19191919191919196</v>
      </c>
      <c r="T25">
        <f>SMALL(SimData2!$D$9:$D$108,20)</f>
        <v>500.73779569636793</v>
      </c>
      <c r="U25">
        <f>1/(COUNT(SimData2!$D$9:$D$108)-1)+$U$24</f>
        <v>0.19191919191919196</v>
      </c>
      <c r="V25">
        <f>SMALL(SimData2!$E$9:$E$108,20)</f>
        <v>550.10673443781945</v>
      </c>
      <c r="W25">
        <f>1/(COUNT(SimData2!$E$9:$E$108)-1)+$W$24</f>
        <v>0.19191919191919196</v>
      </c>
      <c r="X25">
        <f>SMALL(SimData2!$F$9:$F$108,20)</f>
        <v>499.9684911624268</v>
      </c>
      <c r="Y25">
        <f>1/(COUNT(SimData2!$F$9:$F$108)-1)+$Y$24</f>
        <v>0.19191919191919196</v>
      </c>
    </row>
    <row r="26" spans="1:25">
      <c r="A26">
        <v>18</v>
      </c>
      <c r="B26">
        <v>521.20843112465866</v>
      </c>
      <c r="C26">
        <v>494.88462396583645</v>
      </c>
      <c r="D26">
        <v>589.55007906463618</v>
      </c>
      <c r="E26">
        <v>589.55007906463618</v>
      </c>
      <c r="F26" s="4">
        <v>506.22761773626041</v>
      </c>
      <c r="P26">
        <f>SMALL(SimData2!$B$9:$B$108,21)</f>
        <v>472.5542429977757</v>
      </c>
      <c r="Q26">
        <f>1/(COUNT(SimData2!$B$9:$B$108)-1)+$Q$25</f>
        <v>0.20202020202020207</v>
      </c>
      <c r="R26">
        <f>SMALL(SimData2!$C$9:$C$108,21)</f>
        <v>486.4596763106855</v>
      </c>
      <c r="S26">
        <f>1/(COUNT(SimData2!$C$9:$C$108)-1)+$S$25</f>
        <v>0.20202020202020207</v>
      </c>
      <c r="T26">
        <f>SMALL(SimData2!$D$9:$D$108,21)</f>
        <v>501.16731712270928</v>
      </c>
      <c r="U26">
        <f>1/(COUNT(SimData2!$D$9:$D$108)-1)+$U$25</f>
        <v>0.20202020202020207</v>
      </c>
      <c r="V26">
        <f>SMALL(SimData2!$E$9:$E$108,21)</f>
        <v>550.31369112411426</v>
      </c>
      <c r="W26">
        <f>1/(COUNT(SimData2!$E$9:$E$108)-1)+$W$25</f>
        <v>0.20202020202020207</v>
      </c>
      <c r="X26">
        <f>SMALL(SimData2!$F$9:$F$108,21)</f>
        <v>500.51513581660828</v>
      </c>
      <c r="Y26">
        <f>1/(COUNT(SimData2!$F$9:$F$108)-1)+$Y$25</f>
        <v>0.20202020202020207</v>
      </c>
    </row>
    <row r="27" spans="1:25">
      <c r="A27">
        <v>19</v>
      </c>
      <c r="B27">
        <v>486.63931490127868</v>
      </c>
      <c r="C27">
        <v>495.63743867019531</v>
      </c>
      <c r="D27">
        <v>550.10673443781945</v>
      </c>
      <c r="E27">
        <v>550.10673443781945</v>
      </c>
      <c r="F27" s="4">
        <v>512.4860502527564</v>
      </c>
      <c r="P27">
        <f>SMALL(SimData2!$B$9:$B$108,22)</f>
        <v>473.31407427560691</v>
      </c>
      <c r="Q27">
        <f>1/(COUNT(SimData2!$B$9:$B$108)-1)+$Q$26</f>
        <v>0.21212121212121218</v>
      </c>
      <c r="R27">
        <f>SMALL(SimData2!$C$9:$C$108,22)</f>
        <v>486.62039122959425</v>
      </c>
      <c r="S27">
        <f>1/(COUNT(SimData2!$C$9:$C$108)-1)+$S$26</f>
        <v>0.21212121212121218</v>
      </c>
      <c r="T27">
        <f>SMALL(SimData2!$D$9:$D$108,22)</f>
        <v>501.29855347348285</v>
      </c>
      <c r="U27">
        <f>1/(COUNT(SimData2!$D$9:$D$108)-1)+$U$26</f>
        <v>0.21212121212121218</v>
      </c>
      <c r="V27">
        <f>SMALL(SimData2!$E$9:$E$108,22)</f>
        <v>550.66855854187156</v>
      </c>
      <c r="W27">
        <f>1/(COUNT(SimData2!$E$9:$E$108)-1)+$W$26</f>
        <v>0.21212121212121218</v>
      </c>
      <c r="X27">
        <f>SMALL(SimData2!$F$9:$F$108,22)</f>
        <v>500.54803651994649</v>
      </c>
      <c r="Y27">
        <f>1/(COUNT(SimData2!$F$9:$F$108)-1)+$Y$26</f>
        <v>0.21212121212121218</v>
      </c>
    </row>
    <row r="28" spans="1:25">
      <c r="A28">
        <v>20</v>
      </c>
      <c r="B28">
        <v>512.63838142249006</v>
      </c>
      <c r="C28">
        <v>496.63688296500385</v>
      </c>
      <c r="D28">
        <v>559.15476322196196</v>
      </c>
      <c r="E28">
        <v>603.17091631040273</v>
      </c>
      <c r="F28" s="4">
        <v>487.27326959660036</v>
      </c>
      <c r="P28">
        <f>SMALL(SimData2!$B$9:$B$108,23)</f>
        <v>473.45684817827197</v>
      </c>
      <c r="Q28">
        <f>1/(COUNT(SimData2!$B$9:$B$108)-1)+$Q$27</f>
        <v>0.22222222222222229</v>
      </c>
      <c r="R28">
        <f>SMALL(SimData2!$C$9:$C$108,23)</f>
        <v>487.23848273621149</v>
      </c>
      <c r="S28">
        <f>1/(COUNT(SimData2!$C$9:$C$108)-1)+$S$27</f>
        <v>0.22222222222222229</v>
      </c>
      <c r="T28">
        <f>SMALL(SimData2!$D$9:$D$108,23)</f>
        <v>501.39033377178464</v>
      </c>
      <c r="U28">
        <f>1/(COUNT(SimData2!$D$9:$D$108)-1)+$U$27</f>
        <v>0.22222222222222229</v>
      </c>
      <c r="V28">
        <f>SMALL(SimData2!$E$9:$E$108,23)</f>
        <v>550.81769795643663</v>
      </c>
      <c r="W28">
        <f>1/(COUNT(SimData2!$E$9:$E$108)-1)+$W$27</f>
        <v>0.22222222222222229</v>
      </c>
      <c r="X28">
        <f>SMALL(SimData2!$F$9:$F$108,23)</f>
        <v>501.25634957595406</v>
      </c>
      <c r="Y28">
        <f>1/(COUNT(SimData2!$F$9:$F$108)-1)+$Y$27</f>
        <v>0.22222222222222229</v>
      </c>
    </row>
    <row r="29" spans="1:25">
      <c r="A29">
        <v>21</v>
      </c>
      <c r="B29">
        <v>470.87384533605808</v>
      </c>
      <c r="C29">
        <v>470.87384533605808</v>
      </c>
      <c r="D29">
        <v>512.93571445333487</v>
      </c>
      <c r="E29">
        <v>542.28396428544329</v>
      </c>
      <c r="F29" s="4">
        <v>520.70237981573246</v>
      </c>
      <c r="P29">
        <f>SMALL(SimData2!$B$9:$B$108,24)</f>
        <v>473.88538579315116</v>
      </c>
      <c r="Q29">
        <f>1/(COUNT(SimData2!$B$9:$B$108)-1)+$Q$28</f>
        <v>0.2323232323232324</v>
      </c>
      <c r="R29">
        <f>SMALL(SimData2!$C$9:$C$108,24)</f>
        <v>487.3116228974219</v>
      </c>
      <c r="S29">
        <f>1/(COUNT(SimData2!$C$9:$C$108)-1)+$S$28</f>
        <v>0.2323232323232324</v>
      </c>
      <c r="T29">
        <f>SMALL(SimData2!$D$9:$D$108,24)</f>
        <v>502.12511516766165</v>
      </c>
      <c r="U29">
        <f>1/(COUNT(SimData2!$D$9:$D$108)-1)+$U$28</f>
        <v>0.2323232323232324</v>
      </c>
      <c r="V29">
        <f>SMALL(SimData2!$E$9:$E$108,24)</f>
        <v>552.00402172908412</v>
      </c>
      <c r="W29">
        <f>1/(COUNT(SimData2!$E$9:$E$108)-1)+$W$28</f>
        <v>0.2323232323232324</v>
      </c>
      <c r="X29">
        <f>SMALL(SimData2!$F$9:$F$108,24)</f>
        <v>501.59235570016523</v>
      </c>
      <c r="Y29">
        <f>1/(COUNT(SimData2!$F$9:$F$108)-1)+$Y$28</f>
        <v>0.2323232323232324</v>
      </c>
    </row>
    <row r="30" spans="1:25">
      <c r="A30">
        <v>22</v>
      </c>
      <c r="B30">
        <v>464.84839030656423</v>
      </c>
      <c r="C30">
        <v>464.84839030656423</v>
      </c>
      <c r="D30">
        <v>493.21657914938197</v>
      </c>
      <c r="E30">
        <v>493.21657914938197</v>
      </c>
      <c r="F30" s="4">
        <v>528.38535237367444</v>
      </c>
      <c r="P30">
        <f>SMALL(SimData2!$B$9:$B$108,25)</f>
        <v>477.43502650824649</v>
      </c>
      <c r="Q30">
        <f>1/(COUNT(SimData2!$B$9:$B$108)-1)+$Q$29</f>
        <v>0.24242424242424251</v>
      </c>
      <c r="R30">
        <f>SMALL(SimData2!$C$9:$C$108,25)</f>
        <v>487.64125734401722</v>
      </c>
      <c r="S30">
        <f>1/(COUNT(SimData2!$C$9:$C$108)-1)+$S$29</f>
        <v>0.24242424242424251</v>
      </c>
      <c r="T30">
        <f>SMALL(SimData2!$D$9:$D$108,25)</f>
        <v>503.49999320783053</v>
      </c>
      <c r="U30">
        <f>1/(COUNT(SimData2!$D$9:$D$108)-1)+$U$29</f>
        <v>0.24242424242424251</v>
      </c>
      <c r="V30">
        <f>SMALL(SimData2!$E$9:$E$108,25)</f>
        <v>552.13477263043887</v>
      </c>
      <c r="W30">
        <f>1/(COUNT(SimData2!$E$9:$E$108)-1)+$W$29</f>
        <v>0.24242424242424251</v>
      </c>
      <c r="X30">
        <f>SMALL(SimData2!$F$9:$F$108,25)</f>
        <v>502.03804804744055</v>
      </c>
      <c r="Y30">
        <f>1/(COUNT(SimData2!$F$9:$F$108)-1)+$Y$29</f>
        <v>0.24242424242424251</v>
      </c>
    </row>
    <row r="31" spans="1:25">
      <c r="A31">
        <v>23</v>
      </c>
      <c r="B31">
        <v>515.98027241624095</v>
      </c>
      <c r="C31">
        <v>534.1431776775438</v>
      </c>
      <c r="D31">
        <v>553.58462036487686</v>
      </c>
      <c r="E31">
        <v>568.23454720881477</v>
      </c>
      <c r="F31" s="4">
        <v>513.93206278055641</v>
      </c>
      <c r="P31">
        <f>SMALL(SimData2!$B$9:$B$108,26)</f>
        <v>477.62913127948798</v>
      </c>
      <c r="Q31">
        <f>1/(COUNT(SimData2!$B$9:$B$108)-1)+$Q$30</f>
        <v>0.2525252525252526</v>
      </c>
      <c r="R31">
        <f>SMALL(SimData2!$C$9:$C$108,26)</f>
        <v>488.55511239478312</v>
      </c>
      <c r="S31">
        <f>1/(COUNT(SimData2!$C$9:$C$108)-1)+$S$30</f>
        <v>0.2525252525252526</v>
      </c>
      <c r="T31">
        <f>SMALL(SimData2!$D$9:$D$108,26)</f>
        <v>503.73609028728345</v>
      </c>
      <c r="U31">
        <f>1/(COUNT(SimData2!$D$9:$D$108)-1)+$U$30</f>
        <v>0.2525252525252526</v>
      </c>
      <c r="V31">
        <f>SMALL(SimData2!$E$9:$E$108,26)</f>
        <v>552.21655154945563</v>
      </c>
      <c r="W31">
        <f>1/(COUNT(SimData2!$E$9:$E$108)-1)+$W$30</f>
        <v>0.2525252525252526</v>
      </c>
      <c r="X31">
        <f>SMALL(SimData2!$F$9:$F$108,26)</f>
        <v>502.67784266159117</v>
      </c>
      <c r="Y31">
        <f>1/(COUNT(SimData2!$F$9:$F$108)-1)+$Y$30</f>
        <v>0.2525252525252526</v>
      </c>
    </row>
    <row r="32" spans="1:25">
      <c r="A32">
        <v>24</v>
      </c>
      <c r="B32">
        <v>482.106118033298</v>
      </c>
      <c r="C32">
        <v>482.106118033298</v>
      </c>
      <c r="D32">
        <v>490.14449021743042</v>
      </c>
      <c r="E32">
        <v>576.6425676918617</v>
      </c>
      <c r="F32" s="4">
        <v>526.43140018913346</v>
      </c>
      <c r="P32">
        <f>SMALL(SimData2!$B$9:$B$108,27)</f>
        <v>477.67617712561889</v>
      </c>
      <c r="Q32">
        <f>1/(COUNT(SimData2!$B$9:$B$108)-1)+$Q$31</f>
        <v>0.26262626262626271</v>
      </c>
      <c r="R32">
        <f>SMALL(SimData2!$C$9:$C$108,27)</f>
        <v>489.27651072378495</v>
      </c>
      <c r="S32">
        <f>1/(COUNT(SimData2!$C$9:$C$108)-1)+$S$31</f>
        <v>0.26262626262626271</v>
      </c>
      <c r="T32">
        <f>SMALL(SimData2!$D$9:$D$108,27)</f>
        <v>503.77464998940684</v>
      </c>
      <c r="U32">
        <f>1/(COUNT(SimData2!$D$9:$D$108)-1)+$U$31</f>
        <v>0.26262626262626271</v>
      </c>
      <c r="V32">
        <f>SMALL(SimData2!$E$9:$E$108,27)</f>
        <v>552.77785093245348</v>
      </c>
      <c r="W32">
        <f>1/(COUNT(SimData2!$E$9:$E$108)-1)+$W$31</f>
        <v>0.26262626262626271</v>
      </c>
      <c r="X32">
        <f>SMALL(SimData2!$F$9:$F$108,27)</f>
        <v>502.8988382379398</v>
      </c>
      <c r="Y32">
        <f>1/(COUNT(SimData2!$F$9:$F$108)-1)+$Y$31</f>
        <v>0.26262626262626271</v>
      </c>
    </row>
    <row r="33" spans="1:25">
      <c r="A33">
        <v>25</v>
      </c>
      <c r="B33">
        <v>499.011995256923</v>
      </c>
      <c r="C33">
        <v>491.34916267786139</v>
      </c>
      <c r="D33">
        <v>544.52807000817143</v>
      </c>
      <c r="E33">
        <v>550.66855854187156</v>
      </c>
      <c r="F33" s="4">
        <v>499.42077615175924</v>
      </c>
      <c r="P33">
        <f>SMALL(SimData2!$B$9:$B$108,28)</f>
        <v>479.84384576188165</v>
      </c>
      <c r="Q33">
        <f>1/(COUNT(SimData2!$B$9:$B$108)-1)+$Q$32</f>
        <v>0.27272727272727282</v>
      </c>
      <c r="R33">
        <f>SMALL(SimData2!$C$9:$C$108,28)</f>
        <v>489.332764939588</v>
      </c>
      <c r="S33">
        <f>1/(COUNT(SimData2!$C$9:$C$108)-1)+$S$32</f>
        <v>0.27272727272727282</v>
      </c>
      <c r="T33">
        <f>SMALL(SimData2!$D$9:$D$108,28)</f>
        <v>504.20110444452865</v>
      </c>
      <c r="U33">
        <f>1/(COUNT(SimData2!$D$9:$D$108)-1)+$U$32</f>
        <v>0.27272727272727282</v>
      </c>
      <c r="V33">
        <f>SMALL(SimData2!$E$9:$E$108,28)</f>
        <v>553.46606610754816</v>
      </c>
      <c r="W33">
        <f>1/(COUNT(SimData2!$E$9:$E$108)-1)+$W$32</f>
        <v>0.27272727272727282</v>
      </c>
      <c r="X33">
        <f>SMALL(SimData2!$F$9:$F$108,28)</f>
        <v>503.08539111618302</v>
      </c>
      <c r="Y33">
        <f>1/(COUNT(SimData2!$F$9:$F$108)-1)+$Y$32</f>
        <v>0.27272727272727282</v>
      </c>
    </row>
    <row r="34" spans="1:25">
      <c r="A34">
        <v>26</v>
      </c>
      <c r="B34">
        <v>458.21253061039789</v>
      </c>
      <c r="C34">
        <v>516.04446876388329</v>
      </c>
      <c r="D34">
        <v>560.93429587093283</v>
      </c>
      <c r="E34">
        <v>560.93429587093283</v>
      </c>
      <c r="F34" s="4">
        <v>535.74470112314248</v>
      </c>
      <c r="P34">
        <f>SMALL(SimData2!$B$9:$B$108,29)</f>
        <v>479.86523434760875</v>
      </c>
      <c r="Q34">
        <f>1/(COUNT(SimData2!$B$9:$B$108)-1)+$Q$33</f>
        <v>0.28282828282828293</v>
      </c>
      <c r="R34">
        <f>SMALL(SimData2!$C$9:$C$108,29)</f>
        <v>489.84665031256947</v>
      </c>
      <c r="S34">
        <f>1/(COUNT(SimData2!$C$9:$C$108)-1)+$S$33</f>
        <v>0.28282828282828293</v>
      </c>
      <c r="T34">
        <f>SMALL(SimData2!$D$9:$D$108,29)</f>
        <v>505.11848678566309</v>
      </c>
      <c r="U34">
        <f>1/(COUNT(SimData2!$D$9:$D$108)-1)+$U$33</f>
        <v>0.28282828282828293</v>
      </c>
      <c r="V34">
        <f>SMALL(SimData2!$E$9:$E$108,29)</f>
        <v>555.93076467831725</v>
      </c>
      <c r="W34">
        <f>1/(COUNT(SimData2!$E$9:$E$108)-1)+$W$33</f>
        <v>0.28282828282828293</v>
      </c>
      <c r="X34">
        <f>SMALL(SimData2!$F$9:$F$108,29)</f>
        <v>503.37233172507911</v>
      </c>
      <c r="Y34">
        <f>1/(COUNT(SimData2!$F$9:$F$108)-1)+$Y$33</f>
        <v>0.28282828282828293</v>
      </c>
    </row>
    <row r="35" spans="1:25">
      <c r="A35">
        <v>27</v>
      </c>
      <c r="B35">
        <v>491.30560743036119</v>
      </c>
      <c r="C35">
        <v>485.48593748804143</v>
      </c>
      <c r="D35">
        <v>539.99473877958144</v>
      </c>
      <c r="E35">
        <v>590.99383100258569</v>
      </c>
      <c r="F35" s="4">
        <v>511.74968115768826</v>
      </c>
      <c r="P35">
        <f>SMALL(SimData2!$B$9:$B$108,30)</f>
        <v>481.80520697593067</v>
      </c>
      <c r="Q35">
        <f>1/(COUNT(SimData2!$B$9:$B$108)-1)+$Q$34</f>
        <v>0.29292929292929304</v>
      </c>
      <c r="R35">
        <f>SMALL(SimData2!$C$9:$C$108,30)</f>
        <v>489.88337005115466</v>
      </c>
      <c r="S35">
        <f>1/(COUNT(SimData2!$C$9:$C$108)-1)+$S$34</f>
        <v>0.29292929292929304</v>
      </c>
      <c r="T35">
        <f>SMALL(SimData2!$D$9:$D$108,30)</f>
        <v>508.03333270406637</v>
      </c>
      <c r="U35">
        <f>1/(COUNT(SimData2!$D$9:$D$108)-1)+$U$34</f>
        <v>0.29292929292929304</v>
      </c>
      <c r="V35">
        <f>SMALL(SimData2!$E$9:$E$108,30)</f>
        <v>556.32463543116842</v>
      </c>
      <c r="W35">
        <f>1/(COUNT(SimData2!$E$9:$E$108)-1)+$W$34</f>
        <v>0.29292929292929304</v>
      </c>
      <c r="X35">
        <f>SMALL(SimData2!$F$9:$F$108,30)</f>
        <v>505.92885273920461</v>
      </c>
      <c r="Y35">
        <f>1/(COUNT(SimData2!$F$9:$F$108)-1)+$Y$34</f>
        <v>0.29292929292929304</v>
      </c>
    </row>
    <row r="36" spans="1:25">
      <c r="A36">
        <v>28</v>
      </c>
      <c r="B36">
        <v>425.22756621683266</v>
      </c>
      <c r="C36">
        <v>484.51947431001554</v>
      </c>
      <c r="D36">
        <v>492.34039591605108</v>
      </c>
      <c r="E36">
        <v>541.66376319291101</v>
      </c>
      <c r="F36" s="4">
        <v>528.81157686804625</v>
      </c>
      <c r="P36">
        <f>SMALL(SimData2!$B$9:$B$108,31)</f>
        <v>481.91599354669614</v>
      </c>
      <c r="Q36">
        <f>1/(COUNT(SimData2!$B$9:$B$108)-1)+$Q$35</f>
        <v>0.30303030303030315</v>
      </c>
      <c r="R36">
        <f>SMALL(SimData2!$C$9:$C$108,31)</f>
        <v>490.19089504550249</v>
      </c>
      <c r="S36">
        <f>1/(COUNT(SimData2!$C$9:$C$108)-1)+$S$35</f>
        <v>0.30303030303030315</v>
      </c>
      <c r="T36">
        <f>SMALL(SimData2!$D$9:$D$108,31)</f>
        <v>508.99969679333316</v>
      </c>
      <c r="U36">
        <f>1/(COUNT(SimData2!$D$9:$D$108)-1)+$U$35</f>
        <v>0.30303030303030315</v>
      </c>
      <c r="V36">
        <f>SMALL(SimData2!$E$9:$E$108,31)</f>
        <v>557.00089881600968</v>
      </c>
      <c r="W36">
        <f>1/(COUNT(SimData2!$E$9:$E$108)-1)+$W$35</f>
        <v>0.30303030303030315</v>
      </c>
      <c r="X36">
        <f>SMALL(SimData2!$F$9:$F$108,31)</f>
        <v>506.06332144765048</v>
      </c>
      <c r="Y36">
        <f>1/(COUNT(SimData2!$F$9:$F$108)-1)+$Y$35</f>
        <v>0.30303030303030315</v>
      </c>
    </row>
    <row r="37" spans="1:25">
      <c r="A37">
        <v>29</v>
      </c>
      <c r="B37">
        <v>523.48006706545061</v>
      </c>
      <c r="C37">
        <v>502.71249374470761</v>
      </c>
      <c r="D37">
        <v>569.34496044959599</v>
      </c>
      <c r="E37">
        <v>607.88723593066516</v>
      </c>
      <c r="F37" s="4">
        <v>530.61554868316091</v>
      </c>
      <c r="P37">
        <f>SMALL(SimData2!$B$9:$B$108,32)</f>
        <v>482.106118033298</v>
      </c>
      <c r="Q37">
        <f>1/(COUNT(SimData2!$B$9:$B$108)-1)+$Q$36</f>
        <v>0.31313131313131326</v>
      </c>
      <c r="R37">
        <f>SMALL(SimData2!$C$9:$C$108,32)</f>
        <v>491.34916267786139</v>
      </c>
      <c r="S37">
        <f>1/(COUNT(SimData2!$C$9:$C$108)-1)+$S$36</f>
        <v>0.31313131313131326</v>
      </c>
      <c r="T37">
        <f>SMALL(SimData2!$D$9:$D$108,32)</f>
        <v>511.05715871357143</v>
      </c>
      <c r="U37">
        <f>1/(COUNT(SimData2!$D$9:$D$108)-1)+$U$36</f>
        <v>0.31313131313131326</v>
      </c>
      <c r="V37">
        <f>SMALL(SimData2!$E$9:$E$108,32)</f>
        <v>557.46473488117601</v>
      </c>
      <c r="W37">
        <f>1/(COUNT(SimData2!$E$9:$E$108)-1)+$W$36</f>
        <v>0.31313131313131326</v>
      </c>
      <c r="X37">
        <f>SMALL(SimData2!$F$9:$F$108,32)</f>
        <v>506.22761773626041</v>
      </c>
      <c r="Y37">
        <f>1/(COUNT(SimData2!$F$9:$F$108)-1)+$Y$36</f>
        <v>0.31313131313131326</v>
      </c>
    </row>
    <row r="38" spans="1:25">
      <c r="A38">
        <v>30</v>
      </c>
      <c r="B38">
        <v>491.63301705536395</v>
      </c>
      <c r="C38">
        <v>511.05715871357143</v>
      </c>
      <c r="D38">
        <v>511.05715871357143</v>
      </c>
      <c r="E38">
        <v>562.16249147532631</v>
      </c>
      <c r="F38" s="4">
        <v>508.58902884369905</v>
      </c>
      <c r="P38">
        <f>SMALL(SimData2!$B$9:$B$108,33)</f>
        <v>482.87748017364737</v>
      </c>
      <c r="Q38">
        <f>1/(COUNT(SimData2!$B$9:$B$108)-1)+$Q$37</f>
        <v>0.32323232323232337</v>
      </c>
      <c r="R38">
        <f>SMALL(SimData2!$C$9:$C$108,33)</f>
        <v>491.63422813580627</v>
      </c>
      <c r="S38">
        <f>1/(COUNT(SimData2!$C$9:$C$108)-1)+$S$37</f>
        <v>0.32323232323232337</v>
      </c>
      <c r="T38">
        <f>SMALL(SimData2!$D$9:$D$108,33)</f>
        <v>511.70289761530631</v>
      </c>
      <c r="U38">
        <f>1/(COUNT(SimData2!$D$9:$D$108)-1)+$U$37</f>
        <v>0.32323232323232337</v>
      </c>
      <c r="V38">
        <f>SMALL(SimData2!$E$9:$E$108,33)</f>
        <v>557.70872144838245</v>
      </c>
      <c r="W38">
        <f>1/(COUNT(SimData2!$E$9:$E$108)-1)+$W$37</f>
        <v>0.32323232323232337</v>
      </c>
      <c r="X38">
        <f>SMALL(SimData2!$F$9:$F$108,33)</f>
        <v>506.87017052684337</v>
      </c>
      <c r="Y38">
        <f>1/(COUNT(SimData2!$F$9:$F$108)-1)+$Y$37</f>
        <v>0.32323232323232337</v>
      </c>
    </row>
    <row r="39" spans="1:25">
      <c r="A39">
        <v>31</v>
      </c>
      <c r="B39">
        <v>487.64125734401722</v>
      </c>
      <c r="C39">
        <v>487.64125734401722</v>
      </c>
      <c r="D39">
        <v>536.00437525943039</v>
      </c>
      <c r="E39">
        <v>582.77798861873657</v>
      </c>
      <c r="F39" s="4">
        <v>530.48660131792803</v>
      </c>
      <c r="P39">
        <f>SMALL(SimData2!$B$9:$B$108,34)</f>
        <v>482.99302138854989</v>
      </c>
      <c r="Q39">
        <f>1/(COUNT(SimData2!$B$9:$B$108)-1)+$Q$38</f>
        <v>0.33333333333333348</v>
      </c>
      <c r="R39">
        <f>SMALL(SimData2!$C$9:$C$108,34)</f>
        <v>491.68957834758169</v>
      </c>
      <c r="S39">
        <f>1/(COUNT(SimData2!$C$9:$C$108)-1)+$S$38</f>
        <v>0.33333333333333348</v>
      </c>
      <c r="T39">
        <f>SMALL(SimData2!$D$9:$D$108,34)</f>
        <v>512.81298496797672</v>
      </c>
      <c r="U39">
        <f>1/(COUNT(SimData2!$D$9:$D$108)-1)+$U$38</f>
        <v>0.33333333333333348</v>
      </c>
      <c r="V39">
        <f>SMALL(SimData2!$E$9:$E$108,34)</f>
        <v>558.65659859849188</v>
      </c>
      <c r="W39">
        <f>1/(COUNT(SimData2!$E$9:$E$108)-1)+$W$38</f>
        <v>0.33333333333333348</v>
      </c>
      <c r="X39">
        <f>SMALL(SimData2!$F$9:$F$108,34)</f>
        <v>506.875228167491</v>
      </c>
      <c r="Y39">
        <f>1/(COUNT(SimData2!$F$9:$F$108)-1)+$Y$38</f>
        <v>0.33333333333333348</v>
      </c>
    </row>
    <row r="40" spans="1:25">
      <c r="A40">
        <v>32</v>
      </c>
      <c r="B40">
        <v>483.12822782605008</v>
      </c>
      <c r="C40">
        <v>483.12822782605008</v>
      </c>
      <c r="D40">
        <v>552.21655154945563</v>
      </c>
      <c r="E40">
        <v>552.21655154945563</v>
      </c>
      <c r="F40" s="4">
        <v>495.34667631152416</v>
      </c>
      <c r="P40">
        <f>SMALL(SimData2!$B$9:$B$108,35)</f>
        <v>482.99741025255173</v>
      </c>
      <c r="Q40">
        <f>1/(COUNT(SimData2!$B$9:$B$108)-1)+$Q$39</f>
        <v>0.34343434343434359</v>
      </c>
      <c r="R40">
        <f>SMALL(SimData2!$C$9:$C$108,35)</f>
        <v>492.15401310667619</v>
      </c>
      <c r="S40">
        <f>1/(COUNT(SimData2!$C$9:$C$108)-1)+$S$39</f>
        <v>0.34343434343434359</v>
      </c>
      <c r="T40">
        <f>SMALL(SimData2!$D$9:$D$108,35)</f>
        <v>512.93571445333487</v>
      </c>
      <c r="U40">
        <f>1/(COUNT(SimData2!$D$9:$D$108)-1)+$U$39</f>
        <v>0.34343434343434359</v>
      </c>
      <c r="V40">
        <f>SMALL(SimData2!$E$9:$E$108,35)</f>
        <v>559.08037969372003</v>
      </c>
      <c r="W40">
        <f>1/(COUNT(SimData2!$E$9:$E$108)-1)+$W$39</f>
        <v>0.34343434343434359</v>
      </c>
      <c r="X40">
        <f>SMALL(SimData2!$F$9:$F$108,35)</f>
        <v>507.1057797273491</v>
      </c>
      <c r="Y40">
        <f>1/(COUNT(SimData2!$F$9:$F$108)-1)+$Y$39</f>
        <v>0.34343434343434359</v>
      </c>
    </row>
    <row r="41" spans="1:25">
      <c r="A41">
        <v>33</v>
      </c>
      <c r="B41">
        <v>473.88538579315116</v>
      </c>
      <c r="C41">
        <v>473.88538579315116</v>
      </c>
      <c r="D41">
        <v>498.48089224073709</v>
      </c>
      <c r="E41">
        <v>547.75322356307913</v>
      </c>
      <c r="F41" s="4">
        <v>529.74599352584949</v>
      </c>
      <c r="P41">
        <f>SMALL(SimData2!$B$9:$B$108,36)</f>
        <v>483.12822782605008</v>
      </c>
      <c r="Q41">
        <f>1/(COUNT(SimData2!$B$9:$B$108)-1)+$Q$40</f>
        <v>0.3535353535353537</v>
      </c>
      <c r="R41">
        <f>SMALL(SimData2!$C$9:$C$108,36)</f>
        <v>492.41529564807604</v>
      </c>
      <c r="S41">
        <f>1/(COUNT(SimData2!$C$9:$C$108)-1)+$S$40</f>
        <v>0.3535353535353537</v>
      </c>
      <c r="T41">
        <f>SMALL(SimData2!$D$9:$D$108,36)</f>
        <v>520.65259696744897</v>
      </c>
      <c r="U41">
        <f>1/(COUNT(SimData2!$D$9:$D$108)-1)+$U$40</f>
        <v>0.3535353535353537</v>
      </c>
      <c r="V41">
        <f>SMALL(SimData2!$E$9:$E$108,36)</f>
        <v>559.70238446411645</v>
      </c>
      <c r="W41">
        <f>1/(COUNT(SimData2!$E$9:$E$108)-1)+$W$40</f>
        <v>0.3535353535353537</v>
      </c>
      <c r="X41">
        <f>SMALL(SimData2!$F$9:$F$108,36)</f>
        <v>507.559699387519</v>
      </c>
      <c r="Y41">
        <f>1/(COUNT(SimData2!$F$9:$F$108)-1)+$Y$40</f>
        <v>0.3535353535353537</v>
      </c>
    </row>
    <row r="42" spans="1:25">
      <c r="A42">
        <v>34</v>
      </c>
      <c r="B42">
        <v>494.81143733322199</v>
      </c>
      <c r="C42">
        <v>494.81143733322199</v>
      </c>
      <c r="D42">
        <v>494.81143733322199</v>
      </c>
      <c r="E42">
        <v>594.82953324191874</v>
      </c>
      <c r="F42" s="4">
        <v>512.28516421950189</v>
      </c>
      <c r="P42">
        <f>SMALL(SimData2!$B$9:$B$108,37)</f>
        <v>484.65280656505058</v>
      </c>
      <c r="Q42">
        <f>1/(COUNT(SimData2!$B$9:$B$108)-1)+$Q$41</f>
        <v>0.36363636363636381</v>
      </c>
      <c r="R42">
        <f>SMALL(SimData2!$C$9:$C$108,37)</f>
        <v>492.44593976513505</v>
      </c>
      <c r="S42">
        <f>1/(COUNT(SimData2!$C$9:$C$108)-1)+$S$41</f>
        <v>0.36363636363636381</v>
      </c>
      <c r="T42">
        <f>SMALL(SimData2!$D$9:$D$108,37)</f>
        <v>529.14863740345538</v>
      </c>
      <c r="U42">
        <f>1/(COUNT(SimData2!$D$9:$D$108)-1)+$U$41</f>
        <v>0.36363636363636381</v>
      </c>
      <c r="V42">
        <f>SMALL(SimData2!$E$9:$E$108,37)</f>
        <v>560.93429587093283</v>
      </c>
      <c r="W42">
        <f>1/(COUNT(SimData2!$E$9:$E$108)-1)+$W$41</f>
        <v>0.36363636363636381</v>
      </c>
      <c r="X42">
        <f>SMALL(SimData2!$F$9:$F$108,37)</f>
        <v>508.17328610934271</v>
      </c>
      <c r="Y42">
        <f>1/(COUNT(SimData2!$F$9:$F$108)-1)+$Y$41</f>
        <v>0.36363636363636381</v>
      </c>
    </row>
    <row r="43" spans="1:25">
      <c r="A43">
        <v>35</v>
      </c>
      <c r="B43">
        <v>496.73689068452342</v>
      </c>
      <c r="C43">
        <v>529.66525877120898</v>
      </c>
      <c r="D43">
        <v>529.66525877120898</v>
      </c>
      <c r="E43">
        <v>581.48103843525837</v>
      </c>
      <c r="F43" s="4">
        <v>494.23539803898382</v>
      </c>
      <c r="P43">
        <f>SMALL(SimData2!$B$9:$B$108,38)</f>
        <v>484.97394272581187</v>
      </c>
      <c r="Q43">
        <f>1/(COUNT(SimData2!$B$9:$B$108)-1)+$Q$42</f>
        <v>0.37373737373737392</v>
      </c>
      <c r="R43">
        <f>SMALL(SimData2!$C$9:$C$108,38)</f>
        <v>493.08726358488383</v>
      </c>
      <c r="S43">
        <f>1/(COUNT(SimData2!$C$9:$C$108)-1)+$S$42</f>
        <v>0.37373737373737392</v>
      </c>
      <c r="T43">
        <f>SMALL(SimData2!$D$9:$D$108,38)</f>
        <v>529.66525877120898</v>
      </c>
      <c r="U43">
        <f>1/(COUNT(SimData2!$D$9:$D$108)-1)+$U$42</f>
        <v>0.37373737373737392</v>
      </c>
      <c r="V43">
        <f>SMALL(SimData2!$E$9:$E$108,38)</f>
        <v>561.06392241922617</v>
      </c>
      <c r="W43">
        <f>1/(COUNT(SimData2!$E$9:$E$108)-1)+$W$42</f>
        <v>0.37373737373737392</v>
      </c>
      <c r="X43">
        <f>SMALL(SimData2!$F$9:$F$108,38)</f>
        <v>508.58902884369905</v>
      </c>
      <c r="Y43">
        <f>1/(COUNT(SimData2!$F$9:$F$108)-1)+$Y$42</f>
        <v>0.37373737373737392</v>
      </c>
    </row>
    <row r="44" spans="1:25">
      <c r="A44">
        <v>36</v>
      </c>
      <c r="B44">
        <v>425.07385813111432</v>
      </c>
      <c r="C44">
        <v>485.0389726060838</v>
      </c>
      <c r="D44">
        <v>497.43476636803769</v>
      </c>
      <c r="E44">
        <v>548.32413810506409</v>
      </c>
      <c r="F44" s="4">
        <v>523.71689108815826</v>
      </c>
      <c r="P44">
        <f>SMALL(SimData2!$B$9:$B$108,39)</f>
        <v>485.65878809476862</v>
      </c>
      <c r="Q44">
        <f>1/(COUNT(SimData2!$B$9:$B$108)-1)+$Q$43</f>
        <v>0.38383838383838403</v>
      </c>
      <c r="R44">
        <f>SMALL(SimData2!$C$9:$C$108,39)</f>
        <v>494.81143733322199</v>
      </c>
      <c r="S44">
        <f>1/(COUNT(SimData2!$C$9:$C$108)-1)+$S$43</f>
        <v>0.38383838383838403</v>
      </c>
      <c r="T44">
        <f>SMALL(SimData2!$D$9:$D$108,39)</f>
        <v>531.97970488027045</v>
      </c>
      <c r="U44">
        <f>1/(COUNT(SimData2!$D$9:$D$108)-1)+$U$43</f>
        <v>0.38383838383838403</v>
      </c>
      <c r="V44">
        <f>SMALL(SimData2!$E$9:$E$108,39)</f>
        <v>561.10876287783594</v>
      </c>
      <c r="W44">
        <f>1/(COUNT(SimData2!$E$9:$E$108)-1)+$W$43</f>
        <v>0.38383838383838403</v>
      </c>
      <c r="X44">
        <f>SMALL(SimData2!$F$9:$F$108,39)</f>
        <v>509.23733129929616</v>
      </c>
      <c r="Y44">
        <f>1/(COUNT(SimData2!$F$9:$F$108)-1)+$Y$43</f>
        <v>0.38383838383838403</v>
      </c>
    </row>
    <row r="45" spans="1:25">
      <c r="A45">
        <v>37</v>
      </c>
      <c r="B45">
        <v>445.45140192527862</v>
      </c>
      <c r="C45">
        <v>508.99969679333316</v>
      </c>
      <c r="D45">
        <v>508.99969679333316</v>
      </c>
      <c r="E45">
        <v>508.99969679333316</v>
      </c>
      <c r="F45" s="4">
        <v>496.18371865911553</v>
      </c>
      <c r="P45">
        <f>SMALL(SimData2!$B$9:$B$108,40)</f>
        <v>485.73482507045048</v>
      </c>
      <c r="Q45">
        <f>1/(COUNT(SimData2!$B$9:$B$108)-1)+$Q$44</f>
        <v>0.39393939393939414</v>
      </c>
      <c r="R45">
        <f>SMALL(SimData2!$C$9:$C$108,40)</f>
        <v>494.88462396583645</v>
      </c>
      <c r="S45">
        <f>1/(COUNT(SimData2!$C$9:$C$108)-1)+$S$44</f>
        <v>0.39393939393939414</v>
      </c>
      <c r="T45">
        <f>SMALL(SimData2!$D$9:$D$108,40)</f>
        <v>535.54290918531115</v>
      </c>
      <c r="U45">
        <f>1/(COUNT(SimData2!$D$9:$D$108)-1)+$U$44</f>
        <v>0.39393939393939414</v>
      </c>
      <c r="V45">
        <f>SMALL(SimData2!$E$9:$E$108,40)</f>
        <v>561.43045609651347</v>
      </c>
      <c r="W45">
        <f>1/(COUNT(SimData2!$E$9:$E$108)-1)+$W$44</f>
        <v>0.39393939393939414</v>
      </c>
      <c r="X45">
        <f>SMALL(SimData2!$F$9:$F$108,40)</f>
        <v>509.27225129486249</v>
      </c>
      <c r="Y45">
        <f>1/(COUNT(SimData2!$F$9:$F$108)-1)+$Y$44</f>
        <v>0.39393939393939414</v>
      </c>
    </row>
    <row r="46" spans="1:25">
      <c r="A46">
        <v>38</v>
      </c>
      <c r="B46">
        <v>466.29166142019267</v>
      </c>
      <c r="C46">
        <v>558.65659859849188</v>
      </c>
      <c r="D46">
        <v>558.65659859849188</v>
      </c>
      <c r="E46">
        <v>558.65659859849188</v>
      </c>
      <c r="F46" s="4">
        <v>492.88409331965823</v>
      </c>
      <c r="P46">
        <f>SMALL(SimData2!$B$9:$B$108,41)</f>
        <v>486.36242565273204</v>
      </c>
      <c r="Q46">
        <f>1/(COUNT(SimData2!$B$9:$B$108)-1)+$Q$45</f>
        <v>0.40404040404040426</v>
      </c>
      <c r="R46">
        <f>SMALL(SimData2!$C$9:$C$108,41)</f>
        <v>495.27189972582789</v>
      </c>
      <c r="S46">
        <f>1/(COUNT(SimData2!$C$9:$C$108)-1)+$S$45</f>
        <v>0.40404040404040426</v>
      </c>
      <c r="T46">
        <f>SMALL(SimData2!$D$9:$D$108,41)</f>
        <v>536.00437525943039</v>
      </c>
      <c r="U46">
        <f>1/(COUNT(SimData2!$D$9:$D$108)-1)+$U$45</f>
        <v>0.40404040404040426</v>
      </c>
      <c r="V46">
        <f>SMALL(SimData2!$E$9:$E$108,41)</f>
        <v>561.86680885882106</v>
      </c>
      <c r="W46">
        <f>1/(COUNT(SimData2!$E$9:$E$108)-1)+$W$45</f>
        <v>0.40404040404040426</v>
      </c>
      <c r="X46">
        <f>SMALL(SimData2!$F$9:$F$108,41)</f>
        <v>509.3462369501118</v>
      </c>
      <c r="Y46">
        <f>1/(COUNT(SimData2!$F$9:$F$108)-1)+$Y$45</f>
        <v>0.40404040404040426</v>
      </c>
    </row>
    <row r="47" spans="1:25">
      <c r="A47">
        <v>39</v>
      </c>
      <c r="B47">
        <v>500.8878086773272</v>
      </c>
      <c r="C47">
        <v>481.13619613884941</v>
      </c>
      <c r="D47">
        <v>544.90655044919026</v>
      </c>
      <c r="E47">
        <v>544.90655044919026</v>
      </c>
      <c r="F47" s="4">
        <v>506.06332144765048</v>
      </c>
      <c r="P47">
        <f>SMALL(SimData2!$B$9:$B$108,42)</f>
        <v>486.62039122959425</v>
      </c>
      <c r="Q47">
        <f>1/(COUNT(SimData2!$B$9:$B$108)-1)+$Q$46</f>
        <v>0.41414141414141437</v>
      </c>
      <c r="R47">
        <f>SMALL(SimData2!$C$9:$C$108,42)</f>
        <v>495.63743867019531</v>
      </c>
      <c r="S47">
        <f>1/(COUNT(SimData2!$C$9:$C$108)-1)+$S$46</f>
        <v>0.41414141414141437</v>
      </c>
      <c r="T47">
        <f>SMALL(SimData2!$D$9:$D$108,42)</f>
        <v>536.706551395921</v>
      </c>
      <c r="U47">
        <f>1/(COUNT(SimData2!$D$9:$D$108)-1)+$U$46</f>
        <v>0.41414141414141437</v>
      </c>
      <c r="V47">
        <f>SMALL(SimData2!$E$9:$E$108,42)</f>
        <v>562.16249147532631</v>
      </c>
      <c r="W47">
        <f>1/(COUNT(SimData2!$E$9:$E$108)-1)+$W$46</f>
        <v>0.41414141414141437</v>
      </c>
      <c r="X47">
        <f>SMALL(SimData2!$F$9:$F$108,42)</f>
        <v>509.52321084290708</v>
      </c>
      <c r="Y47">
        <f>1/(COUNT(SimData2!$F$9:$F$108)-1)+$Y$46</f>
        <v>0.41414141414141437</v>
      </c>
    </row>
    <row r="48" spans="1:25">
      <c r="A48">
        <v>40</v>
      </c>
      <c r="B48">
        <v>489.84665031256947</v>
      </c>
      <c r="C48">
        <v>489.84665031256947</v>
      </c>
      <c r="D48">
        <v>503.49999320783053</v>
      </c>
      <c r="E48">
        <v>585.11778960861977</v>
      </c>
      <c r="F48" s="4">
        <v>516.24669924422903</v>
      </c>
      <c r="P48">
        <f>SMALL(SimData2!$B$9:$B$108,43)</f>
        <v>486.63931490127868</v>
      </c>
      <c r="Q48">
        <f>1/(COUNT(SimData2!$B$9:$B$108)-1)+$Q$47</f>
        <v>0.42424242424242448</v>
      </c>
      <c r="R48">
        <f>SMALL(SimData2!$C$9:$C$108,43)</f>
        <v>495.69521866030948</v>
      </c>
      <c r="S48">
        <f>1/(COUNT(SimData2!$C$9:$C$108)-1)+$S$47</f>
        <v>0.42424242424242448</v>
      </c>
      <c r="T48">
        <f>SMALL(SimData2!$D$9:$D$108,43)</f>
        <v>536.76109737559386</v>
      </c>
      <c r="U48">
        <f>1/(COUNT(SimData2!$D$9:$D$108)-1)+$U$47</f>
        <v>0.42424242424242448</v>
      </c>
      <c r="V48">
        <f>SMALL(SimData2!$E$9:$E$108,43)</f>
        <v>562.91756519752039</v>
      </c>
      <c r="W48">
        <f>1/(COUNT(SimData2!$E$9:$E$108)-1)+$W$47</f>
        <v>0.42424242424242448</v>
      </c>
      <c r="X48">
        <f>SMALL(SimData2!$F$9:$F$108,43)</f>
        <v>509.74262028724564</v>
      </c>
      <c r="Y48">
        <f>1/(COUNT(SimData2!$F$9:$F$108)-1)+$Y$47</f>
        <v>0.42424242424242448</v>
      </c>
    </row>
    <row r="49" spans="1:25">
      <c r="A49">
        <v>41</v>
      </c>
      <c r="B49">
        <v>525.43954229689996</v>
      </c>
      <c r="C49">
        <v>525.43954229689996</v>
      </c>
      <c r="D49">
        <v>561.06392241922617</v>
      </c>
      <c r="E49">
        <v>561.06392241922617</v>
      </c>
      <c r="F49" s="4">
        <v>502.67784266159117</v>
      </c>
      <c r="P49">
        <f>SMALL(SimData2!$B$9:$B$108,44)</f>
        <v>487.23848273621149</v>
      </c>
      <c r="Q49">
        <f>1/(COUNT(SimData2!$B$9:$B$108)-1)+$Q$48</f>
        <v>0.43434343434343459</v>
      </c>
      <c r="R49">
        <f>SMALL(SimData2!$C$9:$C$108,44)</f>
        <v>496.63688296500385</v>
      </c>
      <c r="S49">
        <f>1/(COUNT(SimData2!$C$9:$C$108)-1)+$S$48</f>
        <v>0.43434343434343459</v>
      </c>
      <c r="T49">
        <f>SMALL(SimData2!$D$9:$D$108,44)</f>
        <v>536.77365815353642</v>
      </c>
      <c r="U49">
        <f>1/(COUNT(SimData2!$D$9:$D$108)-1)+$U$48</f>
        <v>0.43434343434343459</v>
      </c>
      <c r="V49">
        <f>SMALL(SimData2!$E$9:$E$108,44)</f>
        <v>562.93400827587902</v>
      </c>
      <c r="W49">
        <f>1/(COUNT(SimData2!$E$9:$E$108)-1)+$W$48</f>
        <v>0.43434343434343459</v>
      </c>
      <c r="X49">
        <f>SMALL(SimData2!$F$9:$F$108,44)</f>
        <v>509.97763459502227</v>
      </c>
      <c r="Y49">
        <f>1/(COUNT(SimData2!$F$9:$F$108)-1)+$Y$48</f>
        <v>0.43434343434343459</v>
      </c>
    </row>
    <row r="50" spans="1:25">
      <c r="A50">
        <v>42</v>
      </c>
      <c r="B50">
        <v>516.85820689027776</v>
      </c>
      <c r="C50">
        <v>500.61899725856091</v>
      </c>
      <c r="D50">
        <v>554.28062985186466</v>
      </c>
      <c r="E50">
        <v>603.17749791506469</v>
      </c>
      <c r="F50" s="4">
        <v>497.66964107168059</v>
      </c>
      <c r="P50">
        <f>SMALL(SimData2!$B$9:$B$108,45)</f>
        <v>487.3116228974219</v>
      </c>
      <c r="Q50">
        <f>1/(COUNT(SimData2!$B$9:$B$108)-1)+$Q$49</f>
        <v>0.4444444444444447</v>
      </c>
      <c r="R50">
        <f>SMALL(SimData2!$C$9:$C$108,45)</f>
        <v>496.76629005257638</v>
      </c>
      <c r="S50">
        <f>1/(COUNT(SimData2!$C$9:$C$108)-1)+$S$49</f>
        <v>0.4444444444444447</v>
      </c>
      <c r="T50">
        <f>SMALL(SimData2!$D$9:$D$108,45)</f>
        <v>539.99473877958144</v>
      </c>
      <c r="U50">
        <f>1/(COUNT(SimData2!$D$9:$D$108)-1)+$U$49</f>
        <v>0.4444444444444447</v>
      </c>
      <c r="V50">
        <f>SMALL(SimData2!$E$9:$E$108,45)</f>
        <v>563.25434361434122</v>
      </c>
      <c r="W50">
        <f>1/(COUNT(SimData2!$E$9:$E$108)-1)+$W$49</f>
        <v>0.4444444444444447</v>
      </c>
      <c r="X50">
        <f>SMALL(SimData2!$F$9:$F$108,45)</f>
        <v>510.06620205989321</v>
      </c>
      <c r="Y50">
        <f>1/(COUNT(SimData2!$F$9:$F$108)-1)+$Y$49</f>
        <v>0.4444444444444447</v>
      </c>
    </row>
    <row r="51" spans="1:25">
      <c r="A51">
        <v>43</v>
      </c>
      <c r="B51">
        <v>504.71417299368966</v>
      </c>
      <c r="C51">
        <v>498.83597831795322</v>
      </c>
      <c r="D51">
        <v>553.14433405856312</v>
      </c>
      <c r="E51">
        <v>600.52307102027169</v>
      </c>
      <c r="F51" s="4">
        <v>505.92885273920461</v>
      </c>
      <c r="P51">
        <f>SMALL(SimData2!$B$9:$B$108,46)</f>
        <v>487.64125734401722</v>
      </c>
      <c r="Q51">
        <f>1/(COUNT(SimData2!$B$9:$B$108)-1)+$Q$50</f>
        <v>0.45454545454545481</v>
      </c>
      <c r="R51">
        <f>SMALL(SimData2!$C$9:$C$108,46)</f>
        <v>498.20415184773276</v>
      </c>
      <c r="S51">
        <f>1/(COUNT(SimData2!$C$9:$C$108)-1)+$S$50</f>
        <v>0.45454545454545481</v>
      </c>
      <c r="T51">
        <f>SMALL(SimData2!$D$9:$D$108,46)</f>
        <v>542.05685437644422</v>
      </c>
      <c r="U51">
        <f>1/(COUNT(SimData2!$D$9:$D$108)-1)+$U$50</f>
        <v>0.45454545454545481</v>
      </c>
      <c r="V51">
        <f>SMALL(SimData2!$E$9:$E$108,46)</f>
        <v>564.43119138296947</v>
      </c>
      <c r="W51">
        <f>1/(COUNT(SimData2!$E$9:$E$108)-1)+$W$50</f>
        <v>0.45454545454545481</v>
      </c>
      <c r="X51">
        <f>SMALL(SimData2!$F$9:$F$108,46)</f>
        <v>510.49850788760097</v>
      </c>
      <c r="Y51">
        <f>1/(COUNT(SimData2!$F$9:$F$108)-1)+$Y$50</f>
        <v>0.45454545454545481</v>
      </c>
    </row>
    <row r="52" spans="1:25">
      <c r="A52">
        <v>44</v>
      </c>
      <c r="B52">
        <v>495.27189972582789</v>
      </c>
      <c r="C52">
        <v>495.27189972582789</v>
      </c>
      <c r="D52">
        <v>492.00692499634226</v>
      </c>
      <c r="E52">
        <v>550.04586708110332</v>
      </c>
      <c r="F52" s="4">
        <v>533.64059409772915</v>
      </c>
      <c r="P52">
        <f>SMALL(SimData2!$B$9:$B$108,47)</f>
        <v>488.3829137949653</v>
      </c>
      <c r="Q52">
        <f>1/(COUNT(SimData2!$B$9:$B$108)-1)+$Q$51</f>
        <v>0.46464646464646492</v>
      </c>
      <c r="R52">
        <f>SMALL(SimData2!$C$9:$C$108,47)</f>
        <v>498.21938189525883</v>
      </c>
      <c r="S52">
        <f>1/(COUNT(SimData2!$C$9:$C$108)-1)+$S$51</f>
        <v>0.46464646464646492</v>
      </c>
      <c r="T52">
        <f>SMALL(SimData2!$D$9:$D$108,47)</f>
        <v>542.66592726239878</v>
      </c>
      <c r="U52">
        <f>1/(COUNT(SimData2!$D$9:$D$108)-1)+$U$51</f>
        <v>0.46464646464646492</v>
      </c>
      <c r="V52">
        <f>SMALL(SimData2!$E$9:$E$108,47)</f>
        <v>565.81974923645305</v>
      </c>
      <c r="W52">
        <f>1/(COUNT(SimData2!$E$9:$E$108)-1)+$W$51</f>
        <v>0.46464646464646492</v>
      </c>
      <c r="X52">
        <f>SMALL(SimData2!$F$9:$F$108,47)</f>
        <v>510.62500683068612</v>
      </c>
      <c r="Y52">
        <f>1/(COUNT(SimData2!$F$9:$F$108)-1)+$Y$51</f>
        <v>0.46464646464646492</v>
      </c>
    </row>
    <row r="53" spans="1:25">
      <c r="A53">
        <v>45</v>
      </c>
      <c r="B53">
        <v>452.71066564987649</v>
      </c>
      <c r="C53">
        <v>511.61517769945539</v>
      </c>
      <c r="D53">
        <v>552.00402172908412</v>
      </c>
      <c r="E53">
        <v>552.00402172908412</v>
      </c>
      <c r="F53" s="4">
        <v>515.31680997680212</v>
      </c>
      <c r="P53">
        <f>SMALL(SimData2!$B$9:$B$108,48)</f>
        <v>488.55511239478312</v>
      </c>
      <c r="Q53">
        <f>1/(COUNT(SimData2!$B$9:$B$108)-1)+$Q$52</f>
        <v>0.47474747474747503</v>
      </c>
      <c r="R53">
        <f>SMALL(SimData2!$C$9:$C$108,48)</f>
        <v>498.83597831795322</v>
      </c>
      <c r="S53">
        <f>1/(COUNT(SimData2!$C$9:$C$108)-1)+$S$52</f>
        <v>0.47474747474747503</v>
      </c>
      <c r="T53">
        <f>SMALL(SimData2!$D$9:$D$108,48)</f>
        <v>543.67130873002122</v>
      </c>
      <c r="U53">
        <f>1/(COUNT(SimData2!$D$9:$D$108)-1)+$U$52</f>
        <v>0.47474747474747503</v>
      </c>
      <c r="V53">
        <f>SMALL(SimData2!$E$9:$E$108,48)</f>
        <v>568.23454720881477</v>
      </c>
      <c r="W53">
        <f>1/(COUNT(SimData2!$E$9:$E$108)-1)+$W$52</f>
        <v>0.47474747474747503</v>
      </c>
      <c r="X53">
        <f>SMALL(SimData2!$F$9:$F$108,48)</f>
        <v>510.6960469268447</v>
      </c>
      <c r="Y53">
        <f>1/(COUNT(SimData2!$F$9:$F$108)-1)+$Y$52</f>
        <v>0.47474747474747503</v>
      </c>
    </row>
    <row r="54" spans="1:25">
      <c r="A54">
        <v>46</v>
      </c>
      <c r="B54">
        <v>522.57747806105181</v>
      </c>
      <c r="C54">
        <v>522.57747806105181</v>
      </c>
      <c r="D54">
        <v>593.9753654350236</v>
      </c>
      <c r="E54">
        <v>593.9753654350236</v>
      </c>
      <c r="F54" s="4">
        <v>510.49850788760097</v>
      </c>
      <c r="P54">
        <f>SMALL(SimData2!$B$9:$B$108,49)</f>
        <v>489.332764939588</v>
      </c>
      <c r="Q54">
        <f>1/(COUNT(SimData2!$B$9:$B$108)-1)+$Q$53</f>
        <v>0.48484848484848514</v>
      </c>
      <c r="R54">
        <f>SMALL(SimData2!$C$9:$C$108,49)</f>
        <v>499.03169092717525</v>
      </c>
      <c r="S54">
        <f>1/(COUNT(SimData2!$C$9:$C$108)-1)+$S$53</f>
        <v>0.48484848484848514</v>
      </c>
      <c r="T54">
        <f>SMALL(SimData2!$D$9:$D$108,49)</f>
        <v>544.30462586190902</v>
      </c>
      <c r="U54">
        <f>1/(COUNT(SimData2!$D$9:$D$108)-1)+$U$53</f>
        <v>0.48484848484848514</v>
      </c>
      <c r="V54">
        <f>SMALL(SimData2!$E$9:$E$108,49)</f>
        <v>568.83371679390109</v>
      </c>
      <c r="W54">
        <f>1/(COUNT(SimData2!$E$9:$E$108)-1)+$W$53</f>
        <v>0.48484848484848514</v>
      </c>
      <c r="X54">
        <f>SMALL(SimData2!$F$9:$F$108,49)</f>
        <v>510.94978952867677</v>
      </c>
      <c r="Y54">
        <f>1/(COUNT(SimData2!$F$9:$F$108)-1)+$Y$53</f>
        <v>0.48484848484848514</v>
      </c>
    </row>
    <row r="55" spans="1:25">
      <c r="A55">
        <v>47</v>
      </c>
      <c r="B55">
        <v>503.74140647114154</v>
      </c>
      <c r="C55">
        <v>498.21938189525883</v>
      </c>
      <c r="D55">
        <v>498.21938189525883</v>
      </c>
      <c r="E55">
        <v>597.33275979636323</v>
      </c>
      <c r="F55" s="4">
        <v>507.559699387519</v>
      </c>
      <c r="P55">
        <f>SMALL(SimData2!$B$9:$B$108,50)</f>
        <v>489.84665031256947</v>
      </c>
      <c r="Q55">
        <f>1/(COUNT(SimData2!$B$9:$B$108)-1)+$Q$54</f>
        <v>0.49494949494949525</v>
      </c>
      <c r="R55">
        <f>SMALL(SimData2!$C$9:$C$108,50)</f>
        <v>499.0491481911198</v>
      </c>
      <c r="S55">
        <f>1/(COUNT(SimData2!$C$9:$C$108)-1)+$S$54</f>
        <v>0.49494949494949525</v>
      </c>
      <c r="T55">
        <f>SMALL(SimData2!$D$9:$D$108,50)</f>
        <v>544.52807000817143</v>
      </c>
      <c r="U55">
        <f>1/(COUNT(SimData2!$D$9:$D$108)-1)+$U$54</f>
        <v>0.49494949494949525</v>
      </c>
      <c r="V55">
        <f>SMALL(SimData2!$E$9:$E$108,50)</f>
        <v>570.0836261903429</v>
      </c>
      <c r="W55">
        <f>1/(COUNT(SimData2!$E$9:$E$108)-1)+$W$54</f>
        <v>0.49494949494949525</v>
      </c>
      <c r="X55">
        <f>SMALL(SimData2!$F$9:$F$108,50)</f>
        <v>511.04786948785392</v>
      </c>
      <c r="Y55">
        <f>1/(COUNT(SimData2!$F$9:$F$108)-1)+$Y$54</f>
        <v>0.49494949494949525</v>
      </c>
    </row>
    <row r="56" spans="1:25">
      <c r="A56">
        <v>48</v>
      </c>
      <c r="B56">
        <v>447.70109116082995</v>
      </c>
      <c r="C56">
        <v>484.1839886380011</v>
      </c>
      <c r="D56">
        <v>542.05685437644422</v>
      </c>
      <c r="E56">
        <v>542.05685437644422</v>
      </c>
      <c r="F56" s="4">
        <v>506.87017052684337</v>
      </c>
      <c r="P56">
        <f>SMALL(SimData2!$B$9:$B$108,51)</f>
        <v>490.55971604098266</v>
      </c>
      <c r="Q56">
        <f>1/(COUNT(SimData2!$B$9:$B$108)-1)+$Q$55</f>
        <v>0.50505050505050531</v>
      </c>
      <c r="R56">
        <f>SMALL(SimData2!$C$9:$C$108,51)</f>
        <v>499.76321334493684</v>
      </c>
      <c r="S56">
        <f>1/(COUNT(SimData2!$C$9:$C$108)-1)+$S$55</f>
        <v>0.50505050505050531</v>
      </c>
      <c r="T56">
        <f>SMALL(SimData2!$D$9:$D$108,51)</f>
        <v>544.53626229327119</v>
      </c>
      <c r="U56">
        <f>1/(COUNT(SimData2!$D$9:$D$108)-1)+$U$55</f>
        <v>0.50505050505050531</v>
      </c>
      <c r="V56">
        <f>SMALL(SimData2!$E$9:$E$108,51)</f>
        <v>570.58771605882828</v>
      </c>
      <c r="W56">
        <f>1/(COUNT(SimData2!$E$9:$E$108)-1)+$W$55</f>
        <v>0.50505050505050531</v>
      </c>
      <c r="X56">
        <f>SMALL(SimData2!$F$9:$F$108,51)</f>
        <v>511.74968115768826</v>
      </c>
      <c r="Y56">
        <f>1/(COUNT(SimData2!$F$9:$F$108)-1)+$Y$55</f>
        <v>0.50505050505050531</v>
      </c>
    </row>
    <row r="57" spans="1:25">
      <c r="A57">
        <v>49</v>
      </c>
      <c r="B57">
        <v>472.5542429977757</v>
      </c>
      <c r="C57">
        <v>472.5542429977757</v>
      </c>
      <c r="D57">
        <v>498.09239954052839</v>
      </c>
      <c r="E57">
        <v>546.29528445076051</v>
      </c>
      <c r="F57" s="4">
        <v>517.06516280855897</v>
      </c>
      <c r="P57">
        <f>SMALL(SimData2!$B$9:$B$108,52)</f>
        <v>491.30560743036119</v>
      </c>
      <c r="Q57">
        <f>1/(COUNT(SimData2!$B$9:$B$108)-1)+$Q$56</f>
        <v>0.51515151515151536</v>
      </c>
      <c r="R57">
        <f>SMALL(SimData2!$C$9:$C$108,52)</f>
        <v>500.61899725856091</v>
      </c>
      <c r="S57">
        <f>1/(COUNT(SimData2!$C$9:$C$108)-1)+$S$56</f>
        <v>0.51515151515151536</v>
      </c>
      <c r="T57">
        <f>SMALL(SimData2!$D$9:$D$108,52)</f>
        <v>544.60117342214653</v>
      </c>
      <c r="U57">
        <f>1/(COUNT(SimData2!$D$9:$D$108)-1)+$U$56</f>
        <v>0.51515151515151536</v>
      </c>
      <c r="V57">
        <f>SMALL(SimData2!$E$9:$E$108,52)</f>
        <v>572.59099317898335</v>
      </c>
      <c r="W57">
        <f>1/(COUNT(SimData2!$E$9:$E$108)-1)+$W$56</f>
        <v>0.51515151515151536</v>
      </c>
      <c r="X57">
        <f>SMALL(SimData2!$F$9:$F$108,52)</f>
        <v>511.90705361478166</v>
      </c>
      <c r="Y57">
        <f>1/(COUNT(SimData2!$F$9:$F$108)-1)+$Y$56</f>
        <v>0.51515151515151536</v>
      </c>
    </row>
    <row r="58" spans="1:25">
      <c r="A58">
        <v>50</v>
      </c>
      <c r="B58">
        <v>512.02087080479919</v>
      </c>
      <c r="C58">
        <v>512.02087080479919</v>
      </c>
      <c r="D58">
        <v>561.86680885882106</v>
      </c>
      <c r="E58">
        <v>561.86680885882106</v>
      </c>
      <c r="F58" s="4">
        <v>510.94978952867677</v>
      </c>
      <c r="P58">
        <f>SMALL(SimData2!$B$9:$B$108,53)</f>
        <v>491.63301705536395</v>
      </c>
      <c r="Q58">
        <f>1/(COUNT(SimData2!$B$9:$B$108)-1)+$Q$57</f>
        <v>0.52525252525252542</v>
      </c>
      <c r="R58">
        <f>SMALL(SimData2!$C$9:$C$108,53)</f>
        <v>500.73779569636793</v>
      </c>
      <c r="S58">
        <f>1/(COUNT(SimData2!$C$9:$C$108)-1)+$S$57</f>
        <v>0.52525252525252542</v>
      </c>
      <c r="T58">
        <f>SMALL(SimData2!$D$9:$D$108,53)</f>
        <v>544.76515082469848</v>
      </c>
      <c r="U58">
        <f>1/(COUNT(SimData2!$D$9:$D$108)-1)+$U$57</f>
        <v>0.52525252525252542</v>
      </c>
      <c r="V58">
        <f>SMALL(SimData2!$E$9:$E$108,53)</f>
        <v>572.59946235438144</v>
      </c>
      <c r="W58">
        <f>1/(COUNT(SimData2!$E$9:$E$108)-1)+$W$57</f>
        <v>0.52525252525252542</v>
      </c>
      <c r="X58">
        <f>SMALL(SimData2!$F$9:$F$108,53)</f>
        <v>512.28516421950189</v>
      </c>
      <c r="Y58">
        <f>1/(COUNT(SimData2!$F$9:$F$108)-1)+$Y$57</f>
        <v>0.52525252525252542</v>
      </c>
    </row>
    <row r="59" spans="1:25">
      <c r="A59">
        <v>51</v>
      </c>
      <c r="B59">
        <v>507.86012496135118</v>
      </c>
      <c r="C59">
        <v>500.73779569636793</v>
      </c>
      <c r="D59">
        <v>500.73779569636793</v>
      </c>
      <c r="E59">
        <v>601.50542024727827</v>
      </c>
      <c r="F59" s="4">
        <v>490.02628241733282</v>
      </c>
      <c r="P59">
        <f>SMALL(SimData2!$B$9:$B$108,54)</f>
        <v>492.15401310667619</v>
      </c>
      <c r="Q59">
        <f>1/(COUNT(SimData2!$B$9:$B$108)-1)+$Q$58</f>
        <v>0.53535353535353547</v>
      </c>
      <c r="R59">
        <f>SMALL(SimData2!$C$9:$C$108,54)</f>
        <v>500.89773200449935</v>
      </c>
      <c r="S59">
        <f>1/(COUNT(SimData2!$C$9:$C$108)-1)+$S$58</f>
        <v>0.53535353535353547</v>
      </c>
      <c r="T59">
        <f>SMALL(SimData2!$D$9:$D$108,54)</f>
        <v>544.90655044919026</v>
      </c>
      <c r="U59">
        <f>1/(COUNT(SimData2!$D$9:$D$108)-1)+$U$58</f>
        <v>0.53535353535353547</v>
      </c>
      <c r="V59">
        <f>SMALL(SimData2!$E$9:$E$108,54)</f>
        <v>573.73029194250853</v>
      </c>
      <c r="W59">
        <f>1/(COUNT(SimData2!$E$9:$E$108)-1)+$W$58</f>
        <v>0.53535353535353547</v>
      </c>
      <c r="X59">
        <f>SMALL(SimData2!$F$9:$F$108,54)</f>
        <v>512.4860502527564</v>
      </c>
      <c r="Y59">
        <f>1/(COUNT(SimData2!$F$9:$F$108)-1)+$Y$58</f>
        <v>0.53535353535353547</v>
      </c>
    </row>
    <row r="60" spans="1:25">
      <c r="A60">
        <v>52</v>
      </c>
      <c r="B60">
        <v>512.61272561538158</v>
      </c>
      <c r="C60">
        <v>498.20415184773276</v>
      </c>
      <c r="D60">
        <v>498.20415184773276</v>
      </c>
      <c r="E60">
        <v>561.10876287783594</v>
      </c>
      <c r="F60" s="4">
        <v>514.65812122843033</v>
      </c>
      <c r="P60">
        <f>SMALL(SimData2!$B$9:$B$108,55)</f>
        <v>492.44593976513505</v>
      </c>
      <c r="Q60">
        <f>1/(COUNT(SimData2!$B$9:$B$108)-1)+$Q$59</f>
        <v>0.54545454545454553</v>
      </c>
      <c r="R60">
        <f>SMALL(SimData2!$C$9:$C$108,55)</f>
        <v>501.16731712270928</v>
      </c>
      <c r="S60">
        <f>1/(COUNT(SimData2!$C$9:$C$108)-1)+$S$59</f>
        <v>0.54545454545454553</v>
      </c>
      <c r="T60">
        <f>SMALL(SimData2!$D$9:$D$108,55)</f>
        <v>547.35012308128557</v>
      </c>
      <c r="U60">
        <f>1/(COUNT(SimData2!$D$9:$D$108)-1)+$U$59</f>
        <v>0.54545454545454553</v>
      </c>
      <c r="V60">
        <f>SMALL(SimData2!$E$9:$E$108,55)</f>
        <v>576.6425676918617</v>
      </c>
      <c r="W60">
        <f>1/(COUNT(SimData2!$E$9:$E$108)-1)+$W$59</f>
        <v>0.54545454545454553</v>
      </c>
      <c r="X60">
        <f>SMALL(SimData2!$F$9:$F$108,55)</f>
        <v>513.19436833475584</v>
      </c>
      <c r="Y60">
        <f>1/(COUNT(SimData2!$F$9:$F$108)-1)+$Y$59</f>
        <v>0.54545454545454553</v>
      </c>
    </row>
    <row r="61" spans="1:25">
      <c r="A61">
        <v>53</v>
      </c>
      <c r="B61">
        <v>511.33151851991704</v>
      </c>
      <c r="C61">
        <v>489.88337005115466</v>
      </c>
      <c r="D61">
        <v>548.39036422129857</v>
      </c>
      <c r="E61">
        <v>548.39036422129857</v>
      </c>
      <c r="F61" s="4">
        <v>520.46109131719709</v>
      </c>
      <c r="P61">
        <f>SMALL(SimData2!$B$9:$B$108,56)</f>
        <v>492.96267576561331</v>
      </c>
      <c r="Q61">
        <f>1/(COUNT(SimData2!$B$9:$B$108)-1)+$Q$60</f>
        <v>0.55555555555555558</v>
      </c>
      <c r="R61">
        <f>SMALL(SimData2!$C$9:$C$108,56)</f>
        <v>502.71249374470761</v>
      </c>
      <c r="S61">
        <f>1/(COUNT(SimData2!$C$9:$C$108)-1)+$S$60</f>
        <v>0.55555555555555558</v>
      </c>
      <c r="T61">
        <f>SMALL(SimData2!$D$9:$D$108,56)</f>
        <v>548.39036422129857</v>
      </c>
      <c r="U61">
        <f>1/(COUNT(SimData2!$D$9:$D$108)-1)+$U$60</f>
        <v>0.55555555555555558</v>
      </c>
      <c r="V61">
        <f>SMALL(SimData2!$E$9:$E$108,56)</f>
        <v>577.76511114072139</v>
      </c>
      <c r="W61">
        <f>1/(COUNT(SimData2!$E$9:$E$108)-1)+$W$60</f>
        <v>0.55555555555555558</v>
      </c>
      <c r="X61">
        <f>SMALL(SimData2!$F$9:$F$108,56)</f>
        <v>513.60858231551799</v>
      </c>
      <c r="Y61">
        <f>1/(COUNT(SimData2!$F$9:$F$108)-1)+$Y$60</f>
        <v>0.55555555555555558</v>
      </c>
    </row>
    <row r="62" spans="1:25">
      <c r="A62">
        <v>54</v>
      </c>
      <c r="B62">
        <v>508.19267558289795</v>
      </c>
      <c r="C62">
        <v>542.66592726239878</v>
      </c>
      <c r="D62">
        <v>542.66592726239878</v>
      </c>
      <c r="E62">
        <v>597.34274153506078</v>
      </c>
      <c r="F62" s="4">
        <v>534.77119878795588</v>
      </c>
      <c r="P62">
        <f>SMALL(SimData2!$B$9:$B$108,57)</f>
        <v>494.71699797138183</v>
      </c>
      <c r="Q62">
        <f>1/(COUNT(SimData2!$B$9:$B$108)-1)+$Q$61</f>
        <v>0.56565656565656564</v>
      </c>
      <c r="R62">
        <f>SMALL(SimData2!$C$9:$C$108,57)</f>
        <v>503.73609028728345</v>
      </c>
      <c r="S62">
        <f>1/(COUNT(SimData2!$C$9:$C$108)-1)+$S$61</f>
        <v>0.56565656565656564</v>
      </c>
      <c r="T62">
        <f>SMALL(SimData2!$D$9:$D$108,57)</f>
        <v>549.56128212766748</v>
      </c>
      <c r="U62">
        <f>1/(COUNT(SimData2!$D$9:$D$108)-1)+$U$61</f>
        <v>0.56565656565656564</v>
      </c>
      <c r="V62">
        <f>SMALL(SimData2!$E$9:$E$108,57)</f>
        <v>578.15821224407227</v>
      </c>
      <c r="W62">
        <f>1/(COUNT(SimData2!$E$9:$E$108)-1)+$W$61</f>
        <v>0.56565656565656564</v>
      </c>
      <c r="X62">
        <f>SMALL(SimData2!$F$9:$F$108,57)</f>
        <v>513.93206278055641</v>
      </c>
      <c r="Y62">
        <f>1/(COUNT(SimData2!$F$9:$F$108)-1)+$Y$61</f>
        <v>0.56565656565656564</v>
      </c>
    </row>
    <row r="63" spans="1:25">
      <c r="A63">
        <v>55</v>
      </c>
      <c r="B63">
        <v>450.54512230893943</v>
      </c>
      <c r="C63">
        <v>489.27651072378495</v>
      </c>
      <c r="D63">
        <v>557.46473488117601</v>
      </c>
      <c r="E63">
        <v>557.46473488117601</v>
      </c>
      <c r="F63" s="4">
        <v>500.54803651994649</v>
      </c>
      <c r="P63">
        <f>SMALL(SimData2!$B$9:$B$108,58)</f>
        <v>494.81143733322199</v>
      </c>
      <c r="Q63">
        <f>1/(COUNT(SimData2!$B$9:$B$108)-1)+$Q$62</f>
        <v>0.57575757575757569</v>
      </c>
      <c r="R63">
        <f>SMALL(SimData2!$C$9:$C$108,58)</f>
        <v>504.73775849015681</v>
      </c>
      <c r="S63">
        <f>1/(COUNT(SimData2!$C$9:$C$108)-1)+$S$62</f>
        <v>0.57575757575757569</v>
      </c>
      <c r="T63">
        <f>SMALL(SimData2!$D$9:$D$108,58)</f>
        <v>549.88266844069699</v>
      </c>
      <c r="U63">
        <f>1/(COUNT(SimData2!$D$9:$D$108)-1)+$U$62</f>
        <v>0.57575757575757569</v>
      </c>
      <c r="V63">
        <f>SMALL(SimData2!$E$9:$E$108,58)</f>
        <v>578.22110243732664</v>
      </c>
      <c r="W63">
        <f>1/(COUNT(SimData2!$E$9:$E$108)-1)+$W$62</f>
        <v>0.57575757575757569</v>
      </c>
      <c r="X63">
        <f>SMALL(SimData2!$F$9:$F$108,58)</f>
        <v>514.08578054311772</v>
      </c>
      <c r="Y63">
        <f>1/(COUNT(SimData2!$F$9:$F$108)-1)+$Y$62</f>
        <v>0.57575757575757569</v>
      </c>
    </row>
    <row r="64" spans="1:25">
      <c r="A64">
        <v>56</v>
      </c>
      <c r="B64">
        <v>468.7500005218975</v>
      </c>
      <c r="C64">
        <v>468.7500005218975</v>
      </c>
      <c r="D64">
        <v>502.12511516766165</v>
      </c>
      <c r="E64">
        <v>577.76511114072139</v>
      </c>
      <c r="F64" s="4">
        <v>503.08539111618302</v>
      </c>
      <c r="P64">
        <f>SMALL(SimData2!$B$9:$B$108,59)</f>
        <v>495.27189972582789</v>
      </c>
      <c r="Q64">
        <f>1/(COUNT(SimData2!$B$9:$B$108)-1)+$Q$63</f>
        <v>0.58585858585858575</v>
      </c>
      <c r="R64">
        <f>SMALL(SimData2!$C$9:$C$108,59)</f>
        <v>505.11848678566309</v>
      </c>
      <c r="S64">
        <f>1/(COUNT(SimData2!$C$9:$C$108)-1)+$S$63</f>
        <v>0.58585858585858575</v>
      </c>
      <c r="T64">
        <f>SMALL(SimData2!$D$9:$D$108,59)</f>
        <v>550.10673443781945</v>
      </c>
      <c r="U64">
        <f>1/(COUNT(SimData2!$D$9:$D$108)-1)+$U$63</f>
        <v>0.58585858585858575</v>
      </c>
      <c r="V64">
        <f>SMALL(SimData2!$E$9:$E$108,59)</f>
        <v>579.8008575196427</v>
      </c>
      <c r="W64">
        <f>1/(COUNT(SimData2!$E$9:$E$108)-1)+$W$63</f>
        <v>0.58585858585858575</v>
      </c>
      <c r="X64">
        <f>SMALL(SimData2!$F$9:$F$108,59)</f>
        <v>514.42083763925064</v>
      </c>
      <c r="Y64">
        <f>1/(COUNT(SimData2!$F$9:$F$108)-1)+$Y$63</f>
        <v>0.58585858585858575</v>
      </c>
    </row>
    <row r="65" spans="1:25">
      <c r="A65">
        <v>57</v>
      </c>
      <c r="B65">
        <v>473.31407427560691</v>
      </c>
      <c r="C65">
        <v>514.36603122627901</v>
      </c>
      <c r="D65">
        <v>504.20110444452865</v>
      </c>
      <c r="E65">
        <v>572.59099317898335</v>
      </c>
      <c r="F65" s="4">
        <v>491.72314429277321</v>
      </c>
      <c r="P65">
        <f>SMALL(SimData2!$B$9:$B$108,60)</f>
        <v>496.62335678576221</v>
      </c>
      <c r="Q65">
        <f>1/(COUNT(SimData2!$B$9:$B$108)-1)+$Q$64</f>
        <v>0.5959595959595958</v>
      </c>
      <c r="R65">
        <f>SMALL(SimData2!$C$9:$C$108,60)</f>
        <v>505.8230193886202</v>
      </c>
      <c r="S65">
        <f>1/(COUNT(SimData2!$C$9:$C$108)-1)+$S$64</f>
        <v>0.5959595959595958</v>
      </c>
      <c r="T65">
        <f>SMALL(SimData2!$D$9:$D$108,60)</f>
        <v>550.4025588087959</v>
      </c>
      <c r="U65">
        <f>1/(COUNT(SimData2!$D$9:$D$108)-1)+$U$64</f>
        <v>0.5959595959595958</v>
      </c>
      <c r="V65">
        <f>SMALL(SimData2!$E$9:$E$108,60)</f>
        <v>579.98529699122685</v>
      </c>
      <c r="W65">
        <f>1/(COUNT(SimData2!$E$9:$E$108)-1)+$W$64</f>
        <v>0.5959595959595958</v>
      </c>
      <c r="X65">
        <f>SMALL(SimData2!$F$9:$F$108,60)</f>
        <v>514.65812122843033</v>
      </c>
      <c r="Y65">
        <f>1/(COUNT(SimData2!$F$9:$F$108)-1)+$Y$64</f>
        <v>0.5959595959595958</v>
      </c>
    </row>
    <row r="66" spans="1:25">
      <c r="A66">
        <v>58</v>
      </c>
      <c r="B66">
        <v>488.3829137949653</v>
      </c>
      <c r="C66">
        <v>509.18250307598402</v>
      </c>
      <c r="D66">
        <v>501.39033377178464</v>
      </c>
      <c r="E66">
        <v>570.0836261903429</v>
      </c>
      <c r="F66" s="4">
        <v>506.875228167491</v>
      </c>
      <c r="P66">
        <f>SMALL(SimData2!$B$9:$B$108,61)</f>
        <v>496.73689068452342</v>
      </c>
      <c r="Q66">
        <f>1/(COUNT(SimData2!$B$9:$B$108)-1)+$Q$65</f>
        <v>0.60606060606060586</v>
      </c>
      <c r="R66">
        <f>SMALL(SimData2!$C$9:$C$108,61)</f>
        <v>505.88062898512516</v>
      </c>
      <c r="S66">
        <f>1/(COUNT(SimData2!$C$9:$C$108)-1)+$S$65</f>
        <v>0.60606060606060586</v>
      </c>
      <c r="T66">
        <f>SMALL(SimData2!$D$9:$D$108,61)</f>
        <v>552.00402172908412</v>
      </c>
      <c r="U66">
        <f>1/(COUNT(SimData2!$D$9:$D$108)-1)+$U$65</f>
        <v>0.60606060606060586</v>
      </c>
      <c r="V66">
        <f>SMALL(SimData2!$E$9:$E$108,61)</f>
        <v>580.08442589766685</v>
      </c>
      <c r="W66">
        <f>1/(COUNT(SimData2!$E$9:$E$108)-1)+$W$65</f>
        <v>0.60606060606060586</v>
      </c>
      <c r="X66">
        <f>SMALL(SimData2!$F$9:$F$108,61)</f>
        <v>515.04584363476806</v>
      </c>
      <c r="Y66">
        <f>1/(COUNT(SimData2!$F$9:$F$108)-1)+$Y$65</f>
        <v>0.60606060606060586</v>
      </c>
    </row>
    <row r="67" spans="1:25">
      <c r="A67">
        <v>59</v>
      </c>
      <c r="B67">
        <v>492.15401310667619</v>
      </c>
      <c r="C67">
        <v>492.15401310667619</v>
      </c>
      <c r="D67">
        <v>552.77785093245348</v>
      </c>
      <c r="E67">
        <v>552.77785093245348</v>
      </c>
      <c r="F67" s="4">
        <v>524.61018846199931</v>
      </c>
      <c r="P67">
        <f>SMALL(SimData2!$B$9:$B$108,62)</f>
        <v>496.76629005257638</v>
      </c>
      <c r="Q67">
        <f>1/(COUNT(SimData2!$B$9:$B$108)-1)+$Q$66</f>
        <v>0.61616161616161591</v>
      </c>
      <c r="R67">
        <f>SMALL(SimData2!$C$9:$C$108,62)</f>
        <v>506.87515328874071</v>
      </c>
      <c r="S67">
        <f>1/(COUNT(SimData2!$C$9:$C$108)-1)+$S$66</f>
        <v>0.61616161616161591</v>
      </c>
      <c r="T67">
        <f>SMALL(SimData2!$D$9:$D$108,62)</f>
        <v>552.13477263043887</v>
      </c>
      <c r="U67">
        <f>1/(COUNT(SimData2!$D$9:$D$108)-1)+$U$66</f>
        <v>0.61616161616161591</v>
      </c>
      <c r="V67">
        <f>SMALL(SimData2!$E$9:$E$108,62)</f>
        <v>580.48468542421745</v>
      </c>
      <c r="W67">
        <f>1/(COUNT(SimData2!$E$9:$E$108)-1)+$W$66</f>
        <v>0.61616161616161591</v>
      </c>
      <c r="X67">
        <f>SMALL(SimData2!$F$9:$F$108,62)</f>
        <v>515.143903347275</v>
      </c>
      <c r="Y67">
        <f>1/(COUNT(SimData2!$F$9:$F$108)-1)+$Y$66</f>
        <v>0.61616161616161591</v>
      </c>
    </row>
    <row r="68" spans="1:25">
      <c r="A68">
        <v>60</v>
      </c>
      <c r="B68">
        <v>470.95649403312234</v>
      </c>
      <c r="C68">
        <v>490.19089504550249</v>
      </c>
      <c r="D68">
        <v>568.83371679390109</v>
      </c>
      <c r="E68">
        <v>568.83371679390109</v>
      </c>
      <c r="F68" s="4">
        <v>520.25811777961178</v>
      </c>
      <c r="P68">
        <f>SMALL(SimData2!$B$9:$B$108,63)</f>
        <v>499.011995256923</v>
      </c>
      <c r="Q68">
        <f>1/(COUNT(SimData2!$B$9:$B$108)-1)+$Q$67</f>
        <v>0.62626262626262597</v>
      </c>
      <c r="R68">
        <f>SMALL(SimData2!$C$9:$C$108,63)</f>
        <v>508.03333270406637</v>
      </c>
      <c r="S68">
        <f>1/(COUNT(SimData2!$C$9:$C$108)-1)+$S$67</f>
        <v>0.62626262626262597</v>
      </c>
      <c r="T68">
        <f>SMALL(SimData2!$D$9:$D$108,63)</f>
        <v>552.21655154945563</v>
      </c>
      <c r="U68">
        <f>1/(COUNT(SimData2!$D$9:$D$108)-1)+$U$67</f>
        <v>0.62626262626262597</v>
      </c>
      <c r="V68">
        <f>SMALL(SimData2!$E$9:$E$108,63)</f>
        <v>580.85470876403645</v>
      </c>
      <c r="W68">
        <f>1/(COUNT(SimData2!$E$9:$E$108)-1)+$W$67</f>
        <v>0.62626262626262597</v>
      </c>
      <c r="X68">
        <f>SMALL(SimData2!$F$9:$F$108,63)</f>
        <v>515.31680997680212</v>
      </c>
      <c r="Y68">
        <f>1/(COUNT(SimData2!$F$9:$F$108)-1)+$Y$67</f>
        <v>0.62626262626262597</v>
      </c>
    </row>
    <row r="69" spans="1:25">
      <c r="A69">
        <v>61</v>
      </c>
      <c r="B69">
        <v>492.96267576561331</v>
      </c>
      <c r="C69">
        <v>503.73609028728345</v>
      </c>
      <c r="D69">
        <v>503.73609028728345</v>
      </c>
      <c r="E69">
        <v>599.70477384958429</v>
      </c>
      <c r="F69" s="4">
        <v>510.06620205989321</v>
      </c>
      <c r="P69">
        <f>SMALL(SimData2!$B$9:$B$108,64)</f>
        <v>499.03169092717525</v>
      </c>
      <c r="Q69">
        <f>1/(COUNT(SimData2!$B$9:$B$108)-1)+$Q$68</f>
        <v>0.63636363636363602</v>
      </c>
      <c r="R69">
        <f>SMALL(SimData2!$C$9:$C$108,64)</f>
        <v>508.04131862571285</v>
      </c>
      <c r="S69">
        <f>1/(COUNT(SimData2!$C$9:$C$108)-1)+$S$68</f>
        <v>0.63636363636363602</v>
      </c>
      <c r="T69">
        <f>SMALL(SimData2!$D$9:$D$108,64)</f>
        <v>552.77785093245348</v>
      </c>
      <c r="U69">
        <f>1/(COUNT(SimData2!$D$9:$D$108)-1)+$U$68</f>
        <v>0.63636363636363602</v>
      </c>
      <c r="V69">
        <f>SMALL(SimData2!$E$9:$E$108,64)</f>
        <v>581.48103843525837</v>
      </c>
      <c r="W69">
        <f>1/(COUNT(SimData2!$E$9:$E$108)-1)+$W$68</f>
        <v>0.63636363636363602</v>
      </c>
      <c r="X69">
        <f>SMALL(SimData2!$F$9:$F$108,64)</f>
        <v>516.24669924422903</v>
      </c>
      <c r="Y69">
        <f>1/(COUNT(SimData2!$F$9:$F$108)-1)+$Y$68</f>
        <v>0.63636363636363602</v>
      </c>
    </row>
    <row r="70" spans="1:25">
      <c r="A70">
        <v>62</v>
      </c>
      <c r="B70">
        <v>506.87515328874071</v>
      </c>
      <c r="C70">
        <v>506.87515328874071</v>
      </c>
      <c r="D70">
        <v>547.35012308128557</v>
      </c>
      <c r="E70">
        <v>589.87654853088407</v>
      </c>
      <c r="F70" s="4">
        <v>509.52321084290708</v>
      </c>
      <c r="P70">
        <f>SMALL(SimData2!$B$9:$B$108,65)</f>
        <v>500.8878086773272</v>
      </c>
      <c r="Q70">
        <f>1/(COUNT(SimData2!$B$9:$B$108)-1)+$Q$69</f>
        <v>0.64646464646464608</v>
      </c>
      <c r="R70">
        <f>SMALL(SimData2!$C$9:$C$108,65)</f>
        <v>508.17524782243527</v>
      </c>
      <c r="S70">
        <f>1/(COUNT(SimData2!$C$9:$C$108)-1)+$S$69</f>
        <v>0.64646464646464608</v>
      </c>
      <c r="T70">
        <f>SMALL(SimData2!$D$9:$D$108,65)</f>
        <v>553.14433405856312</v>
      </c>
      <c r="U70">
        <f>1/(COUNT(SimData2!$D$9:$D$108)-1)+$U$69</f>
        <v>0.64646464646464608</v>
      </c>
      <c r="V70">
        <f>SMALL(SimData2!$E$9:$E$108,65)</f>
        <v>581.91229412703012</v>
      </c>
      <c r="W70">
        <f>1/(COUNT(SimData2!$E$9:$E$108)-1)+$W$69</f>
        <v>0.64646464646464608</v>
      </c>
      <c r="X70">
        <f>SMALL(SimData2!$F$9:$F$108,65)</f>
        <v>517.06516280855897</v>
      </c>
      <c r="Y70">
        <f>1/(COUNT(SimData2!$F$9:$F$108)-1)+$Y$69</f>
        <v>0.64646464646464608</v>
      </c>
    </row>
    <row r="71" spans="1:25">
      <c r="A71">
        <v>63</v>
      </c>
      <c r="B71">
        <v>528.94127763790777</v>
      </c>
      <c r="C71">
        <v>557.94839810466124</v>
      </c>
      <c r="D71">
        <v>557.94839810466124</v>
      </c>
      <c r="E71">
        <v>600.70040170440518</v>
      </c>
      <c r="F71" s="4">
        <v>509.23733129929616</v>
      </c>
      <c r="P71">
        <f>SMALL(SimData2!$B$9:$B$108,66)</f>
        <v>503.74140647114154</v>
      </c>
      <c r="Q71">
        <f>1/(COUNT(SimData2!$B$9:$B$108)-1)+$Q$70</f>
        <v>0.65656565656565613</v>
      </c>
      <c r="R71">
        <f>SMALL(SimData2!$C$9:$C$108,66)</f>
        <v>508.99969679333316</v>
      </c>
      <c r="S71">
        <f>1/(COUNT(SimData2!$C$9:$C$108)-1)+$S$70</f>
        <v>0.65656565656565613</v>
      </c>
      <c r="T71">
        <f>SMALL(SimData2!$D$9:$D$108,66)</f>
        <v>553.46606610754816</v>
      </c>
      <c r="U71">
        <f>1/(COUNT(SimData2!$D$9:$D$108)-1)+$U$70</f>
        <v>0.65656565656565613</v>
      </c>
      <c r="V71">
        <f>SMALL(SimData2!$E$9:$E$108,66)</f>
        <v>582.3266056278153</v>
      </c>
      <c r="W71">
        <f>1/(COUNT(SimData2!$E$9:$E$108)-1)+$W$70</f>
        <v>0.65656565656565613</v>
      </c>
      <c r="X71">
        <f>SMALL(SimData2!$F$9:$F$108,66)</f>
        <v>518.35151046523072</v>
      </c>
      <c r="Y71">
        <f>1/(COUNT(SimData2!$F$9:$F$108)-1)+$Y$70</f>
        <v>0.65656565656565613</v>
      </c>
    </row>
    <row r="72" spans="1:25">
      <c r="A72">
        <v>64</v>
      </c>
      <c r="B72">
        <v>516.25466325771026</v>
      </c>
      <c r="C72">
        <v>516.25466325771026</v>
      </c>
      <c r="D72">
        <v>599.07657715402934</v>
      </c>
      <c r="E72">
        <v>599.07657715402934</v>
      </c>
      <c r="F72" s="4">
        <v>515.04584363476806</v>
      </c>
      <c r="P72">
        <f>SMALL(SimData2!$B$9:$B$108,67)</f>
        <v>504.71417299368966</v>
      </c>
      <c r="Q72">
        <f>1/(COUNT(SimData2!$B$9:$B$108)-1)+$Q$71</f>
        <v>0.66666666666666619</v>
      </c>
      <c r="R72">
        <f>SMALL(SimData2!$C$9:$C$108,67)</f>
        <v>509.18250307598402</v>
      </c>
      <c r="S72">
        <f>1/(COUNT(SimData2!$C$9:$C$108)-1)+$S$71</f>
        <v>0.66666666666666619</v>
      </c>
      <c r="T72">
        <f>SMALL(SimData2!$D$9:$D$108,67)</f>
        <v>553.58462036487686</v>
      </c>
      <c r="U72">
        <f>1/(COUNT(SimData2!$D$9:$D$108)-1)+$U$71</f>
        <v>0.66666666666666619</v>
      </c>
      <c r="V72">
        <f>SMALL(SimData2!$E$9:$E$108,67)</f>
        <v>582.77798861873657</v>
      </c>
      <c r="W72">
        <f>1/(COUNT(SimData2!$E$9:$E$108)-1)+$W$71</f>
        <v>0.66666666666666619</v>
      </c>
      <c r="X72">
        <f>SMALL(SimData2!$F$9:$F$108,67)</f>
        <v>518.73735142127873</v>
      </c>
      <c r="Y72">
        <f>1/(COUNT(SimData2!$F$9:$F$108)-1)+$Y$71</f>
        <v>0.66666666666666619</v>
      </c>
    </row>
    <row r="73" spans="1:25">
      <c r="A73">
        <v>65</v>
      </c>
      <c r="B73">
        <v>453.09483097023184</v>
      </c>
      <c r="C73">
        <v>510.45516225939957</v>
      </c>
      <c r="D73">
        <v>555.93076467831725</v>
      </c>
      <c r="E73">
        <v>555.93076467831725</v>
      </c>
      <c r="F73" s="4">
        <v>521.94693348022963</v>
      </c>
      <c r="P73">
        <f>SMALL(SimData2!$B$9:$B$108,68)</f>
        <v>504.73775849015681</v>
      </c>
      <c r="Q73">
        <f>1/(COUNT(SimData2!$B$9:$B$108)-1)+$Q$72</f>
        <v>0.67676767676767624</v>
      </c>
      <c r="R73">
        <f>SMALL(SimData2!$C$9:$C$108,68)</f>
        <v>509.50240415148858</v>
      </c>
      <c r="S73">
        <f>1/(COUNT(SimData2!$C$9:$C$108)-1)+$S$72</f>
        <v>0.67676767676767624</v>
      </c>
      <c r="T73">
        <f>SMALL(SimData2!$D$9:$D$108,68)</f>
        <v>554.28062985186466</v>
      </c>
      <c r="U73">
        <f>1/(COUNT(SimData2!$D$9:$D$108)-1)+$U$72</f>
        <v>0.67676767676767624</v>
      </c>
      <c r="V73">
        <f>SMALL(SimData2!$E$9:$E$108,68)</f>
        <v>583.91670216179386</v>
      </c>
      <c r="W73">
        <f>1/(COUNT(SimData2!$E$9:$E$108)-1)+$W$72</f>
        <v>0.67676767676767624</v>
      </c>
      <c r="X73">
        <f>SMALL(SimData2!$F$9:$F$108,68)</f>
        <v>518.85276962178659</v>
      </c>
      <c r="Y73">
        <f>1/(COUNT(SimData2!$F$9:$F$108)-1)+$Y$72</f>
        <v>0.67676767676767624</v>
      </c>
    </row>
    <row r="74" spans="1:25">
      <c r="A74">
        <v>66</v>
      </c>
      <c r="B74">
        <v>482.99741025255173</v>
      </c>
      <c r="C74">
        <v>482.99741025255173</v>
      </c>
      <c r="D74">
        <v>493.21256542243765</v>
      </c>
      <c r="E74">
        <v>543.10365854503721</v>
      </c>
      <c r="F74" s="4">
        <v>511.90705361478166</v>
      </c>
      <c r="P74">
        <f>SMALL(SimData2!$B$9:$B$108,69)</f>
        <v>505.11848678566309</v>
      </c>
      <c r="Q74">
        <f>1/(COUNT(SimData2!$B$9:$B$108)-1)+$Q$73</f>
        <v>0.6868686868686863</v>
      </c>
      <c r="R74">
        <f>SMALL(SimData2!$C$9:$C$108,69)</f>
        <v>509.59119850643094</v>
      </c>
      <c r="S74">
        <f>1/(COUNT(SimData2!$C$9:$C$108)-1)+$S$73</f>
        <v>0.6868686868686863</v>
      </c>
      <c r="T74">
        <f>SMALL(SimData2!$D$9:$D$108,69)</f>
        <v>555.26155617187158</v>
      </c>
      <c r="U74">
        <f>1/(COUNT(SimData2!$D$9:$D$108)-1)+$U$73</f>
        <v>0.6868686868686863</v>
      </c>
      <c r="V74">
        <f>SMALL(SimData2!$E$9:$E$108,69)</f>
        <v>584.64992660730513</v>
      </c>
      <c r="W74">
        <f>1/(COUNT(SimData2!$E$9:$E$108)-1)+$W$73</f>
        <v>0.6868686868686863</v>
      </c>
      <c r="X74">
        <f>SMALL(SimData2!$F$9:$F$108,69)</f>
        <v>520.20411527147246</v>
      </c>
      <c r="Y74">
        <f>1/(COUNT(SimData2!$F$9:$F$108)-1)+$Y$73</f>
        <v>0.6868686868686863</v>
      </c>
    </row>
    <row r="75" spans="1:25">
      <c r="A75">
        <v>67</v>
      </c>
      <c r="B75">
        <v>531.97970488027045</v>
      </c>
      <c r="C75">
        <v>531.97970488027045</v>
      </c>
      <c r="D75">
        <v>531.97970488027045</v>
      </c>
      <c r="E75">
        <v>579.98529699122685</v>
      </c>
      <c r="F75" s="4">
        <v>518.35151046523072</v>
      </c>
      <c r="P75">
        <f>SMALL(SimData2!$B$9:$B$108,70)</f>
        <v>505.88062898512516</v>
      </c>
      <c r="Q75">
        <f>1/(COUNT(SimData2!$B$9:$B$108)-1)+$Q$74</f>
        <v>0.69696969696969635</v>
      </c>
      <c r="R75">
        <f>SMALL(SimData2!$C$9:$C$108,70)</f>
        <v>509.90614040016663</v>
      </c>
      <c r="S75">
        <f>1/(COUNT(SimData2!$C$9:$C$108)-1)+$S$74</f>
        <v>0.69696969696969635</v>
      </c>
      <c r="T75">
        <f>SMALL(SimData2!$D$9:$D$108,70)</f>
        <v>555.93076467831725</v>
      </c>
      <c r="U75">
        <f>1/(COUNT(SimData2!$D$9:$D$108)-1)+$U$74</f>
        <v>0.69696969696969635</v>
      </c>
      <c r="V75">
        <f>SMALL(SimData2!$E$9:$E$108,70)</f>
        <v>585.11778960861977</v>
      </c>
      <c r="W75">
        <f>1/(COUNT(SimData2!$E$9:$E$108)-1)+$W$74</f>
        <v>0.69696969696969635</v>
      </c>
      <c r="X75">
        <f>SMALL(SimData2!$F$9:$F$108,70)</f>
        <v>520.25811777961178</v>
      </c>
      <c r="Y75">
        <f>1/(COUNT(SimData2!$F$9:$F$108)-1)+$Y$74</f>
        <v>0.69696969696969635</v>
      </c>
    </row>
    <row r="76" spans="1:25">
      <c r="A76">
        <v>68</v>
      </c>
      <c r="B76">
        <v>477.62913127948798</v>
      </c>
      <c r="C76">
        <v>477.62913127948798</v>
      </c>
      <c r="D76">
        <v>543.67130873002122</v>
      </c>
      <c r="E76">
        <v>543.67130873002122</v>
      </c>
      <c r="F76" s="4">
        <v>499.9684911624268</v>
      </c>
      <c r="P76">
        <f>SMALL(SimData2!$B$9:$B$108,71)</f>
        <v>506.87515328874071</v>
      </c>
      <c r="Q76">
        <f>1/(COUNT(SimData2!$B$9:$B$108)-1)+$Q$75</f>
        <v>0.70707070707070641</v>
      </c>
      <c r="R76">
        <f>SMALL(SimData2!$C$9:$C$108,71)</f>
        <v>510.45516225939957</v>
      </c>
      <c r="S76">
        <f>1/(COUNT(SimData2!$C$9:$C$108)-1)+$S$75</f>
        <v>0.70707070707070641</v>
      </c>
      <c r="T76">
        <f>SMALL(SimData2!$D$9:$D$108,71)</f>
        <v>556.54605148749329</v>
      </c>
      <c r="U76">
        <f>1/(COUNT(SimData2!$D$9:$D$108)-1)+$U$75</f>
        <v>0.70707070707070641</v>
      </c>
      <c r="V76">
        <f>SMALL(SimData2!$E$9:$E$108,71)</f>
        <v>585.23890343288167</v>
      </c>
      <c r="W76">
        <f>1/(COUNT(SimData2!$E$9:$E$108)-1)+$W$75</f>
        <v>0.70707070707070641</v>
      </c>
      <c r="X76">
        <f>SMALL(SimData2!$F$9:$F$108,71)</f>
        <v>520.46109131719709</v>
      </c>
      <c r="Y76">
        <f>1/(COUNT(SimData2!$F$9:$F$108)-1)+$Y$75</f>
        <v>0.70707070707070641</v>
      </c>
    </row>
    <row r="77" spans="1:25">
      <c r="A77">
        <v>69</v>
      </c>
      <c r="B77">
        <v>477.43502650824649</v>
      </c>
      <c r="C77">
        <v>528.5797330047975</v>
      </c>
      <c r="D77">
        <v>573.73029194250853</v>
      </c>
      <c r="E77">
        <v>573.73029194250853</v>
      </c>
      <c r="F77" s="4">
        <v>511.04786948785392</v>
      </c>
      <c r="P77">
        <f>SMALL(SimData2!$B$9:$B$108,72)</f>
        <v>507.86012496135118</v>
      </c>
      <c r="Q77">
        <f>1/(COUNT(SimData2!$B$9:$B$108)-1)+$Q$76</f>
        <v>0.71717171717171646</v>
      </c>
      <c r="R77">
        <f>SMALL(SimData2!$C$9:$C$108,72)</f>
        <v>511.05715871357143</v>
      </c>
      <c r="S77">
        <f>1/(COUNT(SimData2!$C$9:$C$108)-1)+$S$76</f>
        <v>0.71717171717171646</v>
      </c>
      <c r="T77">
        <f>SMALL(SimData2!$D$9:$D$108,72)</f>
        <v>557.00089881600968</v>
      </c>
      <c r="U77">
        <f>1/(COUNT(SimData2!$D$9:$D$108)-1)+$U$76</f>
        <v>0.71717171717171646</v>
      </c>
      <c r="V77">
        <f>SMALL(SimData2!$E$9:$E$108,72)</f>
        <v>585.86612883834118</v>
      </c>
      <c r="W77">
        <f>1/(COUNT(SimData2!$E$9:$E$108)-1)+$W$76</f>
        <v>0.71717171717171646</v>
      </c>
      <c r="X77">
        <f>SMALL(SimData2!$F$9:$F$108,72)</f>
        <v>520.70237981573246</v>
      </c>
      <c r="Y77">
        <f>1/(COUNT(SimData2!$F$9:$F$108)-1)+$Y$76</f>
        <v>0.71717171717171646</v>
      </c>
    </row>
    <row r="78" spans="1:25">
      <c r="A78">
        <v>70</v>
      </c>
      <c r="B78">
        <v>463.99828736244871</v>
      </c>
      <c r="C78">
        <v>521.47446694758059</v>
      </c>
      <c r="D78">
        <v>564.43119138296947</v>
      </c>
      <c r="E78">
        <v>564.43119138296947</v>
      </c>
      <c r="F78" s="4">
        <v>528.75103304216555</v>
      </c>
      <c r="P78">
        <f>SMALL(SimData2!$B$9:$B$108,73)</f>
        <v>508.04131862571285</v>
      </c>
      <c r="Q78">
        <f>1/(COUNT(SimData2!$B$9:$B$108)-1)+$Q$77</f>
        <v>0.72727272727272652</v>
      </c>
      <c r="R78">
        <f>SMALL(SimData2!$C$9:$C$108,73)</f>
        <v>511.61517769945539</v>
      </c>
      <c r="S78">
        <f>1/(COUNT(SimData2!$C$9:$C$108)-1)+$S$77</f>
        <v>0.72727272727272652</v>
      </c>
      <c r="T78">
        <f>SMALL(SimData2!$D$9:$D$108,73)</f>
        <v>557.46473488117601</v>
      </c>
      <c r="U78">
        <f>1/(COUNT(SimData2!$D$9:$D$108)-1)+$U$77</f>
        <v>0.72727272727272652</v>
      </c>
      <c r="V78">
        <f>SMALL(SimData2!$E$9:$E$108,73)</f>
        <v>587.1008986260241</v>
      </c>
      <c r="W78">
        <f>1/(COUNT(SimData2!$E$9:$E$108)-1)+$W$77</f>
        <v>0.72727272727272652</v>
      </c>
      <c r="X78">
        <f>SMALL(SimData2!$F$9:$F$108,73)</f>
        <v>520.93123159841252</v>
      </c>
      <c r="Y78">
        <f>1/(COUNT(SimData2!$F$9:$F$108)-1)+$Y$77</f>
        <v>0.72727272727272652</v>
      </c>
    </row>
    <row r="79" spans="1:25">
      <c r="A79">
        <v>71</v>
      </c>
      <c r="B79">
        <v>477.67617712561889</v>
      </c>
      <c r="C79">
        <v>505.8230193886202</v>
      </c>
      <c r="D79">
        <v>561.43045609651347</v>
      </c>
      <c r="E79">
        <v>561.43045609651347</v>
      </c>
      <c r="F79" s="4">
        <v>513.60858231551799</v>
      </c>
      <c r="P79">
        <f>SMALL(SimData2!$B$9:$B$108,74)</f>
        <v>508.19267558289795</v>
      </c>
      <c r="Q79">
        <f>1/(COUNT(SimData2!$B$9:$B$108)-1)+$Q$78</f>
        <v>0.73737373737373657</v>
      </c>
      <c r="R79">
        <f>SMALL(SimData2!$C$9:$C$108,74)</f>
        <v>511.98610686873587</v>
      </c>
      <c r="S79">
        <f>1/(COUNT(SimData2!$C$9:$C$108)-1)+$S$78</f>
        <v>0.73737373737373657</v>
      </c>
      <c r="T79">
        <f>SMALL(SimData2!$D$9:$D$108,74)</f>
        <v>557.70872144838245</v>
      </c>
      <c r="U79">
        <f>1/(COUNT(SimData2!$D$9:$D$108)-1)+$U$78</f>
        <v>0.73737373737373657</v>
      </c>
      <c r="V79">
        <f>SMALL(SimData2!$E$9:$E$108,74)</f>
        <v>587.6706876625118</v>
      </c>
      <c r="W79">
        <f>1/(COUNT(SimData2!$E$9:$E$108)-1)+$W$78</f>
        <v>0.73737373737373657</v>
      </c>
      <c r="X79">
        <f>SMALL(SimData2!$F$9:$F$108,74)</f>
        <v>521.94693348022963</v>
      </c>
      <c r="Y79">
        <f>1/(COUNT(SimData2!$F$9:$F$108)-1)+$Y$78</f>
        <v>0.73737373737373657</v>
      </c>
    </row>
    <row r="80" spans="1:25">
      <c r="A80">
        <v>72</v>
      </c>
      <c r="B80">
        <v>485.65878809476862</v>
      </c>
      <c r="C80">
        <v>485.65878809476862</v>
      </c>
      <c r="D80">
        <v>497.00942639961357</v>
      </c>
      <c r="E80">
        <v>594.06275064810927</v>
      </c>
      <c r="F80" s="4">
        <v>527.81539078390142</v>
      </c>
      <c r="P80">
        <f>SMALL(SimData2!$B$9:$B$108,75)</f>
        <v>509.44684393524369</v>
      </c>
      <c r="Q80">
        <f>1/(COUNT(SimData2!$B$9:$B$108)-1)+$Q$79</f>
        <v>0.74747474747474663</v>
      </c>
      <c r="R80">
        <f>SMALL(SimData2!$C$9:$C$108,75)</f>
        <v>512.02087080479919</v>
      </c>
      <c r="S80">
        <f>1/(COUNT(SimData2!$C$9:$C$108)-1)+$S$79</f>
        <v>0.74747474747474663</v>
      </c>
      <c r="T80">
        <f>SMALL(SimData2!$D$9:$D$108,75)</f>
        <v>557.94839810466124</v>
      </c>
      <c r="U80">
        <f>1/(COUNT(SimData2!$D$9:$D$108)-1)+$U$79</f>
        <v>0.74747474747474663</v>
      </c>
      <c r="V80">
        <f>SMALL(SimData2!$E$9:$E$108,75)</f>
        <v>587.98553244945322</v>
      </c>
      <c r="W80">
        <f>1/(COUNT(SimData2!$E$9:$E$108)-1)+$W$79</f>
        <v>0.74747474747474663</v>
      </c>
      <c r="X80">
        <f>SMALL(SimData2!$F$9:$F$108,75)</f>
        <v>523.57860198771743</v>
      </c>
      <c r="Y80">
        <f>1/(COUNT(SimData2!$F$9:$F$108)-1)+$Y$79</f>
        <v>0.74747474747474663</v>
      </c>
    </row>
    <row r="81" spans="1:25">
      <c r="A81">
        <v>73</v>
      </c>
      <c r="B81">
        <v>487.23848273621149</v>
      </c>
      <c r="C81">
        <v>487.23848273621149</v>
      </c>
      <c r="D81">
        <v>511.70289761530631</v>
      </c>
      <c r="E81">
        <v>589.29844362247081</v>
      </c>
      <c r="F81" s="4">
        <v>537.80519453981572</v>
      </c>
      <c r="P81">
        <f>SMALL(SimData2!$B$9:$B$108,76)</f>
        <v>509.50240415148858</v>
      </c>
      <c r="Q81">
        <f>1/(COUNT(SimData2!$B$9:$B$108)-1)+$Q$80</f>
        <v>0.75757575757575668</v>
      </c>
      <c r="R81">
        <f>SMALL(SimData2!$C$9:$C$108,76)</f>
        <v>512.81298496797672</v>
      </c>
      <c r="S81">
        <f>1/(COUNT(SimData2!$C$9:$C$108)-1)+$S$80</f>
        <v>0.75757575757575668</v>
      </c>
      <c r="T81">
        <f>SMALL(SimData2!$D$9:$D$108,76)</f>
        <v>558.65659859849188</v>
      </c>
      <c r="U81">
        <f>1/(COUNT(SimData2!$D$9:$D$108)-1)+$U$80</f>
        <v>0.75757575757575668</v>
      </c>
      <c r="V81">
        <f>SMALL(SimData2!$E$9:$E$108,76)</f>
        <v>588.85943918933413</v>
      </c>
      <c r="W81">
        <f>1/(COUNT(SimData2!$E$9:$E$108)-1)+$W$80</f>
        <v>0.75757575757575668</v>
      </c>
      <c r="X81">
        <f>SMALL(SimData2!$F$9:$F$108,76)</f>
        <v>523.71689108815826</v>
      </c>
      <c r="Y81">
        <f>1/(COUNT(SimData2!$F$9:$F$108)-1)+$Y$80</f>
        <v>0.75757575757575668</v>
      </c>
    </row>
    <row r="82" spans="1:25">
      <c r="A82">
        <v>74</v>
      </c>
      <c r="B82">
        <v>508.04131862571285</v>
      </c>
      <c r="C82">
        <v>508.04131862571285</v>
      </c>
      <c r="D82">
        <v>535.54290918531115</v>
      </c>
      <c r="E82">
        <v>579.8008575196427</v>
      </c>
      <c r="F82" s="4">
        <v>525.69523386089713</v>
      </c>
      <c r="P82">
        <f>SMALL(SimData2!$B$9:$B$108,77)</f>
        <v>509.59119850643094</v>
      </c>
      <c r="Q82">
        <f>1/(COUNT(SimData2!$B$9:$B$108)-1)+$Q$81</f>
        <v>0.76767676767676674</v>
      </c>
      <c r="R82">
        <f>SMALL(SimData2!$C$9:$C$108,77)</f>
        <v>514.36603122627901</v>
      </c>
      <c r="S82">
        <f>1/(COUNT(SimData2!$C$9:$C$108)-1)+$S$81</f>
        <v>0.76767676767676674</v>
      </c>
      <c r="T82">
        <f>SMALL(SimData2!$D$9:$D$108,77)</f>
        <v>559.08037969372003</v>
      </c>
      <c r="U82">
        <f>1/(COUNT(SimData2!$D$9:$D$108)-1)+$U$81</f>
        <v>0.76767676767676674</v>
      </c>
      <c r="V82">
        <f>SMALL(SimData2!$E$9:$E$108,77)</f>
        <v>589.29844362247081</v>
      </c>
      <c r="W82">
        <f>1/(COUNT(SimData2!$E$9:$E$108)-1)+$W$81</f>
        <v>0.76767676767676674</v>
      </c>
      <c r="X82">
        <f>SMALL(SimData2!$F$9:$F$108,77)</f>
        <v>524.07566869186292</v>
      </c>
      <c r="Y82">
        <f>1/(COUNT(SimData2!$F$9:$F$108)-1)+$Y$81</f>
        <v>0.76767676767676674</v>
      </c>
    </row>
    <row r="83" spans="1:25">
      <c r="A83">
        <v>75</v>
      </c>
      <c r="B83">
        <v>492.44593976513505</v>
      </c>
      <c r="C83">
        <v>492.44593976513505</v>
      </c>
      <c r="D83">
        <v>550.4025588087959</v>
      </c>
      <c r="E83">
        <v>580.48468542421745</v>
      </c>
      <c r="F83" s="4">
        <v>533.79059732045039</v>
      </c>
      <c r="P83">
        <f>SMALL(SimData2!$B$9:$B$108,78)</f>
        <v>510.66372885057763</v>
      </c>
      <c r="Q83">
        <f>1/(COUNT(SimData2!$B$9:$B$108)-1)+$Q$82</f>
        <v>0.77777777777777679</v>
      </c>
      <c r="R83">
        <f>SMALL(SimData2!$C$9:$C$108,78)</f>
        <v>514.79939626893861</v>
      </c>
      <c r="S83">
        <f>1/(COUNT(SimData2!$C$9:$C$108)-1)+$S$82</f>
        <v>0.77777777777777679</v>
      </c>
      <c r="T83">
        <f>SMALL(SimData2!$D$9:$D$108,78)</f>
        <v>559.15476322196196</v>
      </c>
      <c r="U83">
        <f>1/(COUNT(SimData2!$D$9:$D$108)-1)+$U$82</f>
        <v>0.77777777777777679</v>
      </c>
      <c r="V83">
        <f>SMALL(SimData2!$E$9:$E$108,78)</f>
        <v>589.55007906463618</v>
      </c>
      <c r="W83">
        <f>1/(COUNT(SimData2!$E$9:$E$108)-1)+$W$82</f>
        <v>0.77777777777777679</v>
      </c>
      <c r="X83">
        <f>SMALL(SimData2!$F$9:$F$108,78)</f>
        <v>524.53061216960225</v>
      </c>
      <c r="Y83">
        <f>1/(COUNT(SimData2!$F$9:$F$108)-1)+$Y$82</f>
        <v>0.77777777777777679</v>
      </c>
    </row>
    <row r="84" spans="1:25">
      <c r="A84">
        <v>76</v>
      </c>
      <c r="B84">
        <v>484.65280656505058</v>
      </c>
      <c r="C84">
        <v>512.81298496797672</v>
      </c>
      <c r="D84">
        <v>512.81298496797672</v>
      </c>
      <c r="E84">
        <v>550.81769795643663</v>
      </c>
      <c r="F84" s="4">
        <v>510.6960469268447</v>
      </c>
      <c r="P84">
        <f>SMALL(SimData2!$B$9:$B$108,79)</f>
        <v>511.33151851991704</v>
      </c>
      <c r="Q84">
        <f>1/(COUNT(SimData2!$B$9:$B$108)-1)+$Q$83</f>
        <v>0.78787878787878685</v>
      </c>
      <c r="R84">
        <f>SMALL(SimData2!$C$9:$C$108,79)</f>
        <v>516.04446876388329</v>
      </c>
      <c r="S84">
        <f>1/(COUNT(SimData2!$C$9:$C$108)-1)+$S$83</f>
        <v>0.78787878787878685</v>
      </c>
      <c r="T84">
        <f>SMALL(SimData2!$D$9:$D$108,79)</f>
        <v>559.70238446411645</v>
      </c>
      <c r="U84">
        <f>1/(COUNT(SimData2!$D$9:$D$108)-1)+$U$83</f>
        <v>0.78787878787878685</v>
      </c>
      <c r="V84">
        <f>SMALL(SimData2!$E$9:$E$108,79)</f>
        <v>589.87654853088407</v>
      </c>
      <c r="W84">
        <f>1/(COUNT(SimData2!$E$9:$E$108)-1)+$W$83</f>
        <v>0.78787878787878685</v>
      </c>
      <c r="X84">
        <f>SMALL(SimData2!$F$9:$F$108,79)</f>
        <v>524.61018846199931</v>
      </c>
      <c r="Y84">
        <f>1/(COUNT(SimData2!$F$9:$F$108)-1)+$Y$83</f>
        <v>0.78787878787878685</v>
      </c>
    </row>
    <row r="85" spans="1:25">
      <c r="A85">
        <v>77</v>
      </c>
      <c r="B85">
        <v>519.88882401734679</v>
      </c>
      <c r="C85">
        <v>509.90614040016663</v>
      </c>
      <c r="D85">
        <v>555.26155617187158</v>
      </c>
      <c r="E85">
        <v>605.65921039617729</v>
      </c>
      <c r="F85" s="4">
        <v>500.51513581660828</v>
      </c>
      <c r="P85">
        <f>SMALL(SimData2!$B$9:$B$108,80)</f>
        <v>511.98610686873587</v>
      </c>
      <c r="Q85">
        <f>1/(COUNT(SimData2!$B$9:$B$108)-1)+$Q$84</f>
        <v>0.7979797979797969</v>
      </c>
      <c r="R85">
        <f>SMALL(SimData2!$C$9:$C$108,80)</f>
        <v>516.25466325771026</v>
      </c>
      <c r="S85">
        <f>1/(COUNT(SimData2!$C$9:$C$108)-1)+$S$84</f>
        <v>0.7979797979797969</v>
      </c>
      <c r="T85">
        <f>SMALL(SimData2!$D$9:$D$108,80)</f>
        <v>560.93429587093283</v>
      </c>
      <c r="U85">
        <f>1/(COUNT(SimData2!$D$9:$D$108)-1)+$U$84</f>
        <v>0.7979797979797969</v>
      </c>
      <c r="V85">
        <f>SMALL(SimData2!$E$9:$E$108,80)</f>
        <v>590.99383100258569</v>
      </c>
      <c r="W85">
        <f>1/(COUNT(SimData2!$E$9:$E$108)-1)+$W$84</f>
        <v>0.7979797979797969</v>
      </c>
      <c r="X85">
        <f>SMALL(SimData2!$F$9:$F$108,80)</f>
        <v>524.71190985671399</v>
      </c>
      <c r="Y85">
        <f>1/(COUNT(SimData2!$F$9:$F$108)-1)+$Y$84</f>
        <v>0.7979797979797969</v>
      </c>
    </row>
    <row r="86" spans="1:25">
      <c r="A86">
        <v>78</v>
      </c>
      <c r="B86">
        <v>482.99302138854989</v>
      </c>
      <c r="C86">
        <v>482.99302138854989</v>
      </c>
      <c r="D86">
        <v>536.77365815353642</v>
      </c>
      <c r="E86">
        <v>580.08442589766685</v>
      </c>
      <c r="F86" s="4">
        <v>483.03805838741346</v>
      </c>
      <c r="P86">
        <f>SMALL(SimData2!$B$9:$B$108,81)</f>
        <v>512.02087080479919</v>
      </c>
      <c r="Q86">
        <f>1/(COUNT(SimData2!$B$9:$B$108)-1)+$Q$85</f>
        <v>0.80808080808080696</v>
      </c>
      <c r="R86">
        <f>SMALL(SimData2!$C$9:$C$108,81)</f>
        <v>518.14691875382823</v>
      </c>
      <c r="S86">
        <f>1/(COUNT(SimData2!$C$9:$C$108)-1)+$S$85</f>
        <v>0.80808080808080696</v>
      </c>
      <c r="T86">
        <f>SMALL(SimData2!$D$9:$D$108,81)</f>
        <v>561.06392241922617</v>
      </c>
      <c r="U86">
        <f>1/(COUNT(SimData2!$D$9:$D$108)-1)+$U$85</f>
        <v>0.80808080808080696</v>
      </c>
      <c r="V86">
        <f>SMALL(SimData2!$E$9:$E$108,81)</f>
        <v>591.20087109152814</v>
      </c>
      <c r="W86">
        <f>1/(COUNT(SimData2!$E$9:$E$108)-1)+$W$85</f>
        <v>0.80808080808080696</v>
      </c>
      <c r="X86">
        <f>SMALL(SimData2!$F$9:$F$108,81)</f>
        <v>524.84246190639919</v>
      </c>
      <c r="Y86">
        <f>1/(COUNT(SimData2!$F$9:$F$108)-1)+$Y$85</f>
        <v>0.80808080808080696</v>
      </c>
    </row>
    <row r="87" spans="1:25">
      <c r="A87">
        <v>79</v>
      </c>
      <c r="B87">
        <v>484.97394272581187</v>
      </c>
      <c r="C87">
        <v>500.89773200449935</v>
      </c>
      <c r="D87">
        <v>549.56128212766748</v>
      </c>
      <c r="E87">
        <v>583.91670216179386</v>
      </c>
      <c r="F87" s="4">
        <v>482.77276266163375</v>
      </c>
      <c r="P87">
        <f>SMALL(SimData2!$B$9:$B$108,82)</f>
        <v>512.61272561538158</v>
      </c>
      <c r="Q87">
        <f>1/(COUNT(SimData2!$B$9:$B$108)-1)+$Q$86</f>
        <v>0.81818181818181701</v>
      </c>
      <c r="R87">
        <f>SMALL(SimData2!$C$9:$C$108,82)</f>
        <v>518.16665554015572</v>
      </c>
      <c r="S87">
        <f>1/(COUNT(SimData2!$C$9:$C$108)-1)+$S$86</f>
        <v>0.81818181818181701</v>
      </c>
      <c r="T87">
        <f>SMALL(SimData2!$D$9:$D$108,82)</f>
        <v>561.43045609651347</v>
      </c>
      <c r="U87">
        <f>1/(COUNT(SimData2!$D$9:$D$108)-1)+$U$86</f>
        <v>0.81818181818181701</v>
      </c>
      <c r="V87">
        <f>SMALL(SimData2!$E$9:$E$108,82)</f>
        <v>591.79519470872265</v>
      </c>
      <c r="W87">
        <f>1/(COUNT(SimData2!$E$9:$E$108)-1)+$W$86</f>
        <v>0.81818181818181701</v>
      </c>
      <c r="X87">
        <f>SMALL(SimData2!$F$9:$F$108,82)</f>
        <v>525.69523386089713</v>
      </c>
      <c r="Y87">
        <f>1/(COUNT(SimData2!$F$9:$F$108)-1)+$Y$86</f>
        <v>0.81818181818181701</v>
      </c>
    </row>
    <row r="88" spans="1:25">
      <c r="A88">
        <v>80</v>
      </c>
      <c r="B88">
        <v>489.332764939588</v>
      </c>
      <c r="C88">
        <v>489.332764939588</v>
      </c>
      <c r="D88">
        <v>544.76515082469848</v>
      </c>
      <c r="E88">
        <v>550.31369112411426</v>
      </c>
      <c r="F88" s="4">
        <v>527.15483011703543</v>
      </c>
      <c r="P88">
        <f>SMALL(SimData2!$B$9:$B$108,83)</f>
        <v>512.63838142249006</v>
      </c>
      <c r="Q88">
        <f>1/(COUNT(SimData2!$B$9:$B$108)-1)+$Q$87</f>
        <v>0.82828282828282707</v>
      </c>
      <c r="R88">
        <f>SMALL(SimData2!$C$9:$C$108,83)</f>
        <v>520.65259696744897</v>
      </c>
      <c r="S88">
        <f>1/(COUNT(SimData2!$C$9:$C$108)-1)+$S$87</f>
        <v>0.82828282828282707</v>
      </c>
      <c r="T88">
        <f>SMALL(SimData2!$D$9:$D$108,83)</f>
        <v>561.61406767554433</v>
      </c>
      <c r="U88">
        <f>1/(COUNT(SimData2!$D$9:$D$108)-1)+$U$87</f>
        <v>0.82828282828282707</v>
      </c>
      <c r="V88">
        <f>SMALL(SimData2!$E$9:$E$108,83)</f>
        <v>591.92073073756524</v>
      </c>
      <c r="W88">
        <f>1/(COUNT(SimData2!$E$9:$E$108)-1)+$W$87</f>
        <v>0.82828282828282707</v>
      </c>
      <c r="X88">
        <f>SMALL(SimData2!$F$9:$F$108,83)</f>
        <v>526.43140018913346</v>
      </c>
      <c r="Y88">
        <f>1/(COUNT(SimData2!$F$9:$F$108)-1)+$Y$87</f>
        <v>0.82828282828282707</v>
      </c>
    </row>
    <row r="89" spans="1:25">
      <c r="A89">
        <v>81</v>
      </c>
      <c r="B89">
        <v>504.73775849015681</v>
      </c>
      <c r="C89">
        <v>504.73775849015681</v>
      </c>
      <c r="D89">
        <v>544.60117342214653</v>
      </c>
      <c r="E89">
        <v>591.92073073756524</v>
      </c>
      <c r="F89" s="4">
        <v>518.85276962178659</v>
      </c>
      <c r="P89">
        <f>SMALL(SimData2!$B$9:$B$108,84)</f>
        <v>513.98006632156671</v>
      </c>
      <c r="Q89">
        <f>1/(COUNT(SimData2!$B$9:$B$108)-1)+$Q$88</f>
        <v>0.83838383838383712</v>
      </c>
      <c r="R89">
        <f>SMALL(SimData2!$C$9:$C$108,84)</f>
        <v>521.47446694758059</v>
      </c>
      <c r="S89">
        <f>1/(COUNT(SimData2!$C$9:$C$108)-1)+$S$88</f>
        <v>0.83838383838383712</v>
      </c>
      <c r="T89">
        <f>SMALL(SimData2!$D$9:$D$108,84)</f>
        <v>561.86680885882106</v>
      </c>
      <c r="U89">
        <f>1/(COUNT(SimData2!$D$9:$D$108)-1)+$U$88</f>
        <v>0.83838383838383712</v>
      </c>
      <c r="V89">
        <f>SMALL(SimData2!$E$9:$E$108,84)</f>
        <v>593.9753654350236</v>
      </c>
      <c r="W89">
        <f>1/(COUNT(SimData2!$E$9:$E$108)-1)+$W$88</f>
        <v>0.83838383838383712</v>
      </c>
      <c r="X89">
        <f>SMALL(SimData2!$F$9:$F$108,84)</f>
        <v>527.15483011703543</v>
      </c>
      <c r="Y89">
        <f>1/(COUNT(SimData2!$F$9:$F$108)-1)+$Y$88</f>
        <v>0.83838383838383712</v>
      </c>
    </row>
    <row r="90" spans="1:25">
      <c r="A90">
        <v>82</v>
      </c>
      <c r="B90">
        <v>486.62039122959425</v>
      </c>
      <c r="C90">
        <v>486.62039122959425</v>
      </c>
      <c r="D90">
        <v>496.38874492842262</v>
      </c>
      <c r="E90">
        <v>585.86612883834118</v>
      </c>
      <c r="F90" s="4">
        <v>501.25634957595406</v>
      </c>
      <c r="P90">
        <f>SMALL(SimData2!$B$9:$B$108,85)</f>
        <v>515.98027241624095</v>
      </c>
      <c r="Q90">
        <f>1/(COUNT(SimData2!$B$9:$B$108)-1)+$Q$89</f>
        <v>0.84848484848484718</v>
      </c>
      <c r="R90">
        <f>SMALL(SimData2!$C$9:$C$108,85)</f>
        <v>522.57747806105181</v>
      </c>
      <c r="S90">
        <f>1/(COUNT(SimData2!$C$9:$C$108)-1)+$S$89</f>
        <v>0.84848484848484718</v>
      </c>
      <c r="T90">
        <f>SMALL(SimData2!$D$9:$D$108,85)</f>
        <v>562.91756519752039</v>
      </c>
      <c r="U90">
        <f>1/(COUNT(SimData2!$D$9:$D$108)-1)+$U$89</f>
        <v>0.84848484848484718</v>
      </c>
      <c r="V90">
        <f>SMALL(SimData2!$E$9:$E$108,85)</f>
        <v>594.06275064810927</v>
      </c>
      <c r="W90">
        <f>1/(COUNT(SimData2!$E$9:$E$108)-1)+$W$89</f>
        <v>0.84848484848484718</v>
      </c>
      <c r="X90">
        <f>SMALL(SimData2!$F$9:$F$108,85)</f>
        <v>527.81539078390142</v>
      </c>
      <c r="Y90">
        <f>1/(COUNT(SimData2!$F$9:$F$108)-1)+$Y$89</f>
        <v>0.84848484848484718</v>
      </c>
    </row>
    <row r="91" spans="1:25">
      <c r="A91">
        <v>83</v>
      </c>
      <c r="B91">
        <v>510.66372885057763</v>
      </c>
      <c r="C91">
        <v>544.30462586190902</v>
      </c>
      <c r="D91">
        <v>544.30462586190902</v>
      </c>
      <c r="E91">
        <v>591.79519470872265</v>
      </c>
      <c r="F91" s="4">
        <v>523.57860198771743</v>
      </c>
      <c r="P91">
        <f>SMALL(SimData2!$B$9:$B$108,86)</f>
        <v>516.25466325771026</v>
      </c>
      <c r="Q91">
        <f>1/(COUNT(SimData2!$B$9:$B$108)-1)+$Q$90</f>
        <v>0.85858585858585723</v>
      </c>
      <c r="R91">
        <f>SMALL(SimData2!$C$9:$C$108,86)</f>
        <v>525.43954229689996</v>
      </c>
      <c r="S91">
        <f>1/(COUNT(SimData2!$C$9:$C$108)-1)+$S$90</f>
        <v>0.85858585858585723</v>
      </c>
      <c r="T91">
        <f>SMALL(SimData2!$D$9:$D$108,86)</f>
        <v>562.93400827587902</v>
      </c>
      <c r="U91">
        <f>1/(COUNT(SimData2!$D$9:$D$108)-1)+$U$90</f>
        <v>0.85858585858585723</v>
      </c>
      <c r="V91">
        <f>SMALL(SimData2!$E$9:$E$108,86)</f>
        <v>594.82953324191874</v>
      </c>
      <c r="W91">
        <f>1/(COUNT(SimData2!$E$9:$E$108)-1)+$W$90</f>
        <v>0.85858585858585723</v>
      </c>
      <c r="X91">
        <f>SMALL(SimData2!$F$9:$F$108,86)</f>
        <v>528.38535237367444</v>
      </c>
      <c r="Y91">
        <f>1/(COUNT(SimData2!$F$9:$F$108)-1)+$Y$90</f>
        <v>0.85858585858585723</v>
      </c>
    </row>
    <row r="92" spans="1:25">
      <c r="A92">
        <v>84</v>
      </c>
      <c r="B92">
        <v>468.87778202889848</v>
      </c>
      <c r="C92">
        <v>508.17524782243527</v>
      </c>
      <c r="D92">
        <v>501.29855347348285</v>
      </c>
      <c r="E92">
        <v>565.81974923645305</v>
      </c>
      <c r="F92" s="4">
        <v>509.3462369501118</v>
      </c>
      <c r="P92">
        <f>SMALL(SimData2!$B$9:$B$108,87)</f>
        <v>516.26632712361243</v>
      </c>
      <c r="Q92">
        <f>1/(COUNT(SimData2!$B$9:$B$108)-1)+$Q$91</f>
        <v>0.86868686868686729</v>
      </c>
      <c r="R92">
        <f>SMALL(SimData2!$C$9:$C$108,87)</f>
        <v>526.12060330269446</v>
      </c>
      <c r="S92">
        <f>1/(COUNT(SimData2!$C$9:$C$108)-1)+$S$91</f>
        <v>0.86868686868686729</v>
      </c>
      <c r="T92">
        <f>SMALL(SimData2!$D$9:$D$108,87)</f>
        <v>563.25434361434122</v>
      </c>
      <c r="U92">
        <f>1/(COUNT(SimData2!$D$9:$D$108)-1)+$U$91</f>
        <v>0.86868686868686729</v>
      </c>
      <c r="V92">
        <f>SMALL(SimData2!$E$9:$E$108,87)</f>
        <v>597.33275979636323</v>
      </c>
      <c r="W92">
        <f>1/(COUNT(SimData2!$E$9:$E$108)-1)+$W$91</f>
        <v>0.86868686868686729</v>
      </c>
      <c r="X92">
        <f>SMALL(SimData2!$F$9:$F$108,87)</f>
        <v>528.75103304216555</v>
      </c>
      <c r="Y92">
        <f>1/(COUNT(SimData2!$F$9:$F$108)-1)+$Y$91</f>
        <v>0.86868686868686729</v>
      </c>
    </row>
    <row r="93" spans="1:25">
      <c r="A93">
        <v>85</v>
      </c>
      <c r="B93">
        <v>488.55511239478312</v>
      </c>
      <c r="C93">
        <v>488.55511239478312</v>
      </c>
      <c r="D93">
        <v>486.64841611626559</v>
      </c>
      <c r="E93">
        <v>587.6706876625118</v>
      </c>
      <c r="F93" s="4">
        <v>493.09274131059817</v>
      </c>
      <c r="P93">
        <f>SMALL(SimData2!$B$9:$B$108,88)</f>
        <v>516.85820689027776</v>
      </c>
      <c r="Q93">
        <f>1/(COUNT(SimData2!$B$9:$B$108)-1)+$Q$92</f>
        <v>0.87878787878787734</v>
      </c>
      <c r="R93">
        <f>SMALL(SimData2!$C$9:$C$108,88)</f>
        <v>526.13168482603669</v>
      </c>
      <c r="S93">
        <f>1/(COUNT(SimData2!$C$9:$C$108)-1)+$S$92</f>
        <v>0.87878787878787734</v>
      </c>
      <c r="T93">
        <f>SMALL(SimData2!$D$9:$D$108,88)</f>
        <v>564.43119138296947</v>
      </c>
      <c r="U93">
        <f>1/(COUNT(SimData2!$D$9:$D$108)-1)+$U$92</f>
        <v>0.87878787878787734</v>
      </c>
      <c r="V93">
        <f>SMALL(SimData2!$E$9:$E$108,88)</f>
        <v>597.34274153506078</v>
      </c>
      <c r="W93">
        <f>1/(COUNT(SimData2!$E$9:$E$108)-1)+$W$92</f>
        <v>0.87878787878787734</v>
      </c>
      <c r="X93">
        <f>SMALL(SimData2!$F$9:$F$108,88)</f>
        <v>528.81157686804625</v>
      </c>
      <c r="Y93">
        <f>1/(COUNT(SimData2!$F$9:$F$108)-1)+$Y$92</f>
        <v>0.87878787878787734</v>
      </c>
    </row>
    <row r="94" spans="1:25">
      <c r="A94">
        <v>86</v>
      </c>
      <c r="B94">
        <v>518.12290873006714</v>
      </c>
      <c r="C94">
        <v>486.4596763106855</v>
      </c>
      <c r="D94">
        <v>557.70872144838245</v>
      </c>
      <c r="E94">
        <v>557.70872144838245</v>
      </c>
      <c r="F94" s="4">
        <v>514.08578054311772</v>
      </c>
      <c r="P94">
        <f>SMALL(SimData2!$B$9:$B$108,89)</f>
        <v>518.12290873006714</v>
      </c>
      <c r="Q94">
        <f>1/(COUNT(SimData2!$B$9:$B$108)-1)+$Q$93</f>
        <v>0.8888888888888874</v>
      </c>
      <c r="R94">
        <f>SMALL(SimData2!$C$9:$C$108,89)</f>
        <v>528.5797330047975</v>
      </c>
      <c r="S94">
        <f>1/(COUNT(SimData2!$C$9:$C$108)-1)+$S$93</f>
        <v>0.8888888888888874</v>
      </c>
      <c r="T94">
        <f>SMALL(SimData2!$D$9:$D$108,89)</f>
        <v>568.83371679390109</v>
      </c>
      <c r="U94">
        <f>1/(COUNT(SimData2!$D$9:$D$108)-1)+$U$93</f>
        <v>0.8888888888888874</v>
      </c>
      <c r="V94">
        <f>SMALL(SimData2!$E$9:$E$108,89)</f>
        <v>599.07657715402934</v>
      </c>
      <c r="W94">
        <f>1/(COUNT(SimData2!$E$9:$E$108)-1)+$W$93</f>
        <v>0.8888888888888874</v>
      </c>
      <c r="X94">
        <f>SMALL(SimData2!$F$9:$F$108,89)</f>
        <v>529.74599352584949</v>
      </c>
      <c r="Y94">
        <f>1/(COUNT(SimData2!$F$9:$F$108)-1)+$Y$93</f>
        <v>0.8888888888888874</v>
      </c>
    </row>
    <row r="95" spans="1:25">
      <c r="A95">
        <v>87</v>
      </c>
      <c r="B95">
        <v>509.44684393524369</v>
      </c>
      <c r="C95">
        <v>483.26972731579451</v>
      </c>
      <c r="D95">
        <v>552.13477263043887</v>
      </c>
      <c r="E95">
        <v>552.13477263043887</v>
      </c>
      <c r="F95" s="4">
        <v>501.59235570016523</v>
      </c>
      <c r="P95">
        <f>SMALL(SimData2!$B$9:$B$108,90)</f>
        <v>519.38530537623683</v>
      </c>
      <c r="Q95">
        <f>1/(COUNT(SimData2!$B$9:$B$108)-1)+$Q$94</f>
        <v>0.89898989898989745</v>
      </c>
      <c r="R95">
        <f>SMALL(SimData2!$C$9:$C$108,90)</f>
        <v>529.01333896289384</v>
      </c>
      <c r="S95">
        <f>1/(COUNT(SimData2!$C$9:$C$108)-1)+$S$94</f>
        <v>0.89898989898989745</v>
      </c>
      <c r="T95">
        <f>SMALL(SimData2!$D$9:$D$108,90)</f>
        <v>569.34496044959599</v>
      </c>
      <c r="U95">
        <f>1/(COUNT(SimData2!$D$9:$D$108)-1)+$U$94</f>
        <v>0.89898989898989745</v>
      </c>
      <c r="V95">
        <f>SMALL(SimData2!$E$9:$E$108,90)</f>
        <v>599.59715556336835</v>
      </c>
      <c r="W95">
        <f>1/(COUNT(SimData2!$E$9:$E$108)-1)+$W$94</f>
        <v>0.89898989898989745</v>
      </c>
      <c r="X95">
        <f>SMALL(SimData2!$F$9:$F$108,90)</f>
        <v>530.33173212618908</v>
      </c>
      <c r="Y95">
        <f>1/(COUNT(SimData2!$F$9:$F$108)-1)+$Y$94</f>
        <v>0.89898989898989745</v>
      </c>
    </row>
    <row r="96" spans="1:25">
      <c r="A96">
        <v>88</v>
      </c>
      <c r="B96">
        <v>479.86523434760875</v>
      </c>
      <c r="C96">
        <v>518.16665554015572</v>
      </c>
      <c r="D96">
        <v>578.15821224407227</v>
      </c>
      <c r="E96">
        <v>578.15821224407227</v>
      </c>
      <c r="F96" s="4">
        <v>524.07566869186292</v>
      </c>
      <c r="P96">
        <f>SMALL(SimData2!$B$9:$B$108,91)</f>
        <v>519.88882401734679</v>
      </c>
      <c r="Q96">
        <f>1/(COUNT(SimData2!$B$9:$B$108)-1)+$Q$95</f>
        <v>0.90909090909090751</v>
      </c>
      <c r="R96">
        <f>SMALL(SimData2!$C$9:$C$108,91)</f>
        <v>529.66525877120898</v>
      </c>
      <c r="S96">
        <f>1/(COUNT(SimData2!$C$9:$C$108)-1)+$S$95</f>
        <v>0.90909090909090751</v>
      </c>
      <c r="T96">
        <f>SMALL(SimData2!$D$9:$D$108,91)</f>
        <v>570.58771605882828</v>
      </c>
      <c r="U96">
        <f>1/(COUNT(SimData2!$D$9:$D$108)-1)+$U$95</f>
        <v>0.90909090909090751</v>
      </c>
      <c r="V96">
        <f>SMALL(SimData2!$E$9:$E$108,91)</f>
        <v>599.70477384958429</v>
      </c>
      <c r="W96">
        <f>1/(COUNT(SimData2!$E$9:$E$108)-1)+$W$95</f>
        <v>0.90909090909090751</v>
      </c>
      <c r="X96">
        <f>SMALL(SimData2!$F$9:$F$108,91)</f>
        <v>530.48660131792803</v>
      </c>
      <c r="Y96">
        <f>1/(COUNT(SimData2!$F$9:$F$108)-1)+$Y$95</f>
        <v>0.90909090909090751</v>
      </c>
    </row>
    <row r="97" spans="1:25">
      <c r="A97">
        <v>89</v>
      </c>
      <c r="B97">
        <v>519.38530537623683</v>
      </c>
      <c r="C97">
        <v>540.91601591063863</v>
      </c>
      <c r="D97">
        <v>562.93400827587902</v>
      </c>
      <c r="E97">
        <v>562.93400827587902</v>
      </c>
      <c r="F97" s="4">
        <v>503.37233172507911</v>
      </c>
      <c r="P97">
        <f>SMALL(SimData2!$B$9:$B$108,92)</f>
        <v>520.65259696744897</v>
      </c>
      <c r="Q97">
        <f>1/(COUNT(SimData2!$B$9:$B$108)-1)+$Q$96</f>
        <v>0.91919191919191756</v>
      </c>
      <c r="R97">
        <f>SMALL(SimData2!$C$9:$C$108,92)</f>
        <v>529.93945049003821</v>
      </c>
      <c r="S97">
        <f>1/(COUNT(SimData2!$C$9:$C$108)-1)+$S$96</f>
        <v>0.91919191919191756</v>
      </c>
      <c r="T97">
        <f>SMALL(SimData2!$D$9:$D$108,92)</f>
        <v>572.59946235438144</v>
      </c>
      <c r="U97">
        <f>1/(COUNT(SimData2!$D$9:$D$108)-1)+$U$96</f>
        <v>0.91919191919191756</v>
      </c>
      <c r="V97">
        <f>SMALL(SimData2!$E$9:$E$108,92)</f>
        <v>600.52307102027169</v>
      </c>
      <c r="W97">
        <f>1/(COUNT(SimData2!$E$9:$E$108)-1)+$W$96</f>
        <v>0.91919191919191756</v>
      </c>
      <c r="X97">
        <f>SMALL(SimData2!$F$9:$F$108,92)</f>
        <v>530.61554868316091</v>
      </c>
      <c r="Y97">
        <f>1/(COUNT(SimData2!$F$9:$F$108)-1)+$Y$96</f>
        <v>0.91919191919191756</v>
      </c>
    </row>
    <row r="98" spans="1:25">
      <c r="A98">
        <v>90</v>
      </c>
      <c r="B98">
        <v>479.84384576188165</v>
      </c>
      <c r="C98">
        <v>514.79939626893861</v>
      </c>
      <c r="D98">
        <v>570.58771605882828</v>
      </c>
      <c r="E98">
        <v>570.58771605882828</v>
      </c>
      <c r="F98" s="4">
        <v>509.97763459502227</v>
      </c>
      <c r="P98">
        <f>SMALL(SimData2!$B$9:$B$108,93)</f>
        <v>521.20843112465866</v>
      </c>
      <c r="Q98">
        <f>1/(COUNT(SimData2!$B$9:$B$108)-1)+$Q$97</f>
        <v>0.92929292929292762</v>
      </c>
      <c r="R98">
        <f>SMALL(SimData2!$C$9:$C$108,93)</f>
        <v>531.97970488027045</v>
      </c>
      <c r="S98">
        <f>1/(COUNT(SimData2!$C$9:$C$108)-1)+$S$97</f>
        <v>0.92929292929292762</v>
      </c>
      <c r="T98">
        <f>SMALL(SimData2!$D$9:$D$108,93)</f>
        <v>573.73029194250853</v>
      </c>
      <c r="U98">
        <f>1/(COUNT(SimData2!$D$9:$D$108)-1)+$U$97</f>
        <v>0.92929292929292762</v>
      </c>
      <c r="V98">
        <f>SMALL(SimData2!$E$9:$E$108,93)</f>
        <v>600.70040170440518</v>
      </c>
      <c r="W98">
        <f>1/(COUNT(SimData2!$E$9:$E$108)-1)+$W$97</f>
        <v>0.92929292929292762</v>
      </c>
      <c r="X98">
        <f>SMALL(SimData2!$F$9:$F$108,93)</f>
        <v>533.64059409772915</v>
      </c>
      <c r="Y98">
        <f>1/(COUNT(SimData2!$F$9:$F$108)-1)+$Y$97</f>
        <v>0.92929292929292762</v>
      </c>
    </row>
    <row r="99" spans="1:25">
      <c r="A99">
        <v>91</v>
      </c>
      <c r="B99">
        <v>487.3116228974219</v>
      </c>
      <c r="C99">
        <v>487.3116228974219</v>
      </c>
      <c r="D99">
        <v>557.00089881600968</v>
      </c>
      <c r="E99">
        <v>557.00089881600968</v>
      </c>
      <c r="F99" s="4">
        <v>485.3061324673335</v>
      </c>
      <c r="P99">
        <f>SMALL(SimData2!$B$9:$B$108,94)</f>
        <v>522.57747806105181</v>
      </c>
      <c r="Q99">
        <f>1/(COUNT(SimData2!$B$9:$B$108)-1)+$Q$98</f>
        <v>0.93939393939393767</v>
      </c>
      <c r="R99">
        <f>SMALL(SimData2!$C$9:$C$108,94)</f>
        <v>534.1431776775438</v>
      </c>
      <c r="S99">
        <f>1/(COUNT(SimData2!$C$9:$C$108)-1)+$S$98</f>
        <v>0.93939393939393767</v>
      </c>
      <c r="T99">
        <f>SMALL(SimData2!$D$9:$D$108,94)</f>
        <v>578.15821224407227</v>
      </c>
      <c r="U99">
        <f>1/(COUNT(SimData2!$D$9:$D$108)-1)+$U$98</f>
        <v>0.93939393939393767</v>
      </c>
      <c r="V99">
        <f>SMALL(SimData2!$E$9:$E$108,94)</f>
        <v>601.44849571768805</v>
      </c>
      <c r="W99">
        <f>1/(COUNT(SimData2!$E$9:$E$108)-1)+$W$98</f>
        <v>0.93939393939393767</v>
      </c>
      <c r="X99">
        <f>SMALL(SimData2!$F$9:$F$108,94)</f>
        <v>533.79059732045039</v>
      </c>
      <c r="Y99">
        <f>1/(COUNT(SimData2!$F$9:$F$108)-1)+$Y$98</f>
        <v>0.93939393939393767</v>
      </c>
    </row>
    <row r="100" spans="1:25">
      <c r="A100">
        <v>92</v>
      </c>
      <c r="B100">
        <v>473.45684817827197</v>
      </c>
      <c r="C100">
        <v>473.45684817827197</v>
      </c>
      <c r="D100">
        <v>529.14863740345538</v>
      </c>
      <c r="E100">
        <v>533.86493499094217</v>
      </c>
      <c r="F100" s="4">
        <v>509.74262028724564</v>
      </c>
      <c r="P100">
        <f>SMALL(SimData2!$B$9:$B$108,95)</f>
        <v>523.48006706545061</v>
      </c>
      <c r="Q100">
        <f>1/(COUNT(SimData2!$B$9:$B$108)-1)+$Q$99</f>
        <v>0.94949494949494773</v>
      </c>
      <c r="R100">
        <f>SMALL(SimData2!$C$9:$C$108,95)</f>
        <v>540.91601591063863</v>
      </c>
      <c r="S100">
        <f>1/(COUNT(SimData2!$C$9:$C$108)-1)+$S$99</f>
        <v>0.94949494949494773</v>
      </c>
      <c r="T100">
        <f>SMALL(SimData2!$D$9:$D$108,95)</f>
        <v>578.22110243732664</v>
      </c>
      <c r="U100">
        <f>1/(COUNT(SimData2!$D$9:$D$108)-1)+$U$99</f>
        <v>0.94949494949494773</v>
      </c>
      <c r="V100">
        <f>SMALL(SimData2!$E$9:$E$108,95)</f>
        <v>601.50542024727827</v>
      </c>
      <c r="W100">
        <f>1/(COUNT(SimData2!$E$9:$E$108)-1)+$W$99</f>
        <v>0.94949494949494773</v>
      </c>
      <c r="X100">
        <f>SMALL(SimData2!$F$9:$F$108,95)</f>
        <v>534.088800603452</v>
      </c>
      <c r="Y100">
        <f>1/(COUNT(SimData2!$F$9:$F$108)-1)+$Y$99</f>
        <v>0.94949494949494773</v>
      </c>
    </row>
    <row r="101" spans="1:25">
      <c r="A101">
        <v>93</v>
      </c>
      <c r="B101">
        <v>511.98610686873587</v>
      </c>
      <c r="C101">
        <v>511.98610686873587</v>
      </c>
      <c r="D101">
        <v>544.53626229327119</v>
      </c>
      <c r="E101">
        <v>544.53626229327119</v>
      </c>
      <c r="F101" s="4">
        <v>524.53061216960225</v>
      </c>
      <c r="P101">
        <f>SMALL(SimData2!$B$9:$B$108,96)</f>
        <v>525.43954229689996</v>
      </c>
      <c r="Q101">
        <f>1/(COUNT(SimData2!$B$9:$B$108)-1)+$Q$100</f>
        <v>0.95959595959595778</v>
      </c>
      <c r="R101">
        <f>SMALL(SimData2!$C$9:$C$108,96)</f>
        <v>542.66592726239878</v>
      </c>
      <c r="S101">
        <f>1/(COUNT(SimData2!$C$9:$C$108)-1)+$S$100</f>
        <v>0.95959595959595778</v>
      </c>
      <c r="T101">
        <f>SMALL(SimData2!$D$9:$D$108,96)</f>
        <v>587.1008986260241</v>
      </c>
      <c r="U101">
        <f>1/(COUNT(SimData2!$D$9:$D$108)-1)+$U$100</f>
        <v>0.95959595959595778</v>
      </c>
      <c r="V101">
        <f>SMALL(SimData2!$E$9:$E$108,96)</f>
        <v>603.17091631040273</v>
      </c>
      <c r="W101">
        <f>1/(COUNT(SimData2!$E$9:$E$108)-1)+$W$100</f>
        <v>0.95959595959595778</v>
      </c>
      <c r="X101">
        <f>SMALL(SimData2!$F$9:$F$108,96)</f>
        <v>534.66278615454723</v>
      </c>
      <c r="Y101">
        <f>1/(COUNT(SimData2!$F$9:$F$108)-1)+$Y$100</f>
        <v>0.95959595959595778</v>
      </c>
    </row>
    <row r="102" spans="1:25">
      <c r="A102">
        <v>94</v>
      </c>
      <c r="B102">
        <v>490.55971604098266</v>
      </c>
      <c r="C102">
        <v>526.12060330269446</v>
      </c>
      <c r="D102">
        <v>498.03331617456035</v>
      </c>
      <c r="E102">
        <v>584.64992660730513</v>
      </c>
      <c r="F102" s="4">
        <v>513.19436833475584</v>
      </c>
      <c r="P102">
        <f>SMALL(SimData2!$B$9:$B$108,97)</f>
        <v>526.13168482603669</v>
      </c>
      <c r="Q102">
        <f>1/(COUNT(SimData2!$B$9:$B$108)-1)+$Q$101</f>
        <v>0.96969696969696784</v>
      </c>
      <c r="R102">
        <f>SMALL(SimData2!$C$9:$C$108,97)</f>
        <v>544.30462586190902</v>
      </c>
      <c r="S102">
        <f>1/(COUNT(SimData2!$C$9:$C$108)-1)+$S$101</f>
        <v>0.96969696969696784</v>
      </c>
      <c r="T102">
        <f>SMALL(SimData2!$D$9:$D$108,97)</f>
        <v>588.85943918933413</v>
      </c>
      <c r="U102">
        <f>1/(COUNT(SimData2!$D$9:$D$108)-1)+$U$101</f>
        <v>0.96969696969696784</v>
      </c>
      <c r="V102">
        <f>SMALL(SimData2!$E$9:$E$108,97)</f>
        <v>603.17749791506469</v>
      </c>
      <c r="W102">
        <f>1/(COUNT(SimData2!$E$9:$E$108)-1)+$W$101</f>
        <v>0.96969696969696784</v>
      </c>
      <c r="X102">
        <f>SMALL(SimData2!$F$9:$F$108,97)</f>
        <v>534.77119878795588</v>
      </c>
      <c r="Y102">
        <f>1/(COUNT(SimData2!$F$9:$F$108)-1)+$Y$101</f>
        <v>0.96969696969696784</v>
      </c>
    </row>
    <row r="103" spans="1:25">
      <c r="A103">
        <v>95</v>
      </c>
      <c r="B103">
        <v>509.59119850643094</v>
      </c>
      <c r="C103">
        <v>509.59119850643094</v>
      </c>
      <c r="D103">
        <v>549.88266844069699</v>
      </c>
      <c r="E103">
        <v>549.88266844069699</v>
      </c>
      <c r="F103" s="4">
        <v>514.42083763925064</v>
      </c>
      <c r="P103">
        <f>SMALL(SimData2!$B$9:$B$108,98)</f>
        <v>528.94127763790777</v>
      </c>
      <c r="Q103">
        <f>1/(COUNT(SimData2!$B$9:$B$108)-1)+$Q$102</f>
        <v>0.97979797979797789</v>
      </c>
      <c r="R103">
        <f>SMALL(SimData2!$C$9:$C$108,98)</f>
        <v>554.84301494139913</v>
      </c>
      <c r="S103">
        <f>1/(COUNT(SimData2!$C$9:$C$108)-1)+$S$102</f>
        <v>0.97979797979797789</v>
      </c>
      <c r="T103">
        <f>SMALL(SimData2!$D$9:$D$108,98)</f>
        <v>589.55007906463618</v>
      </c>
      <c r="U103">
        <f>1/(COUNT(SimData2!$D$9:$D$108)-1)+$U$102</f>
        <v>0.97979797979797789</v>
      </c>
      <c r="V103">
        <f>SMALL(SimData2!$E$9:$E$108,98)</f>
        <v>605.65921039617729</v>
      </c>
      <c r="W103">
        <f>1/(COUNT(SimData2!$E$9:$E$108)-1)+$W$102</f>
        <v>0.97979797979797789</v>
      </c>
      <c r="X103">
        <f>SMALL(SimData2!$F$9:$F$108,98)</f>
        <v>535.74470112314248</v>
      </c>
      <c r="Y103">
        <f>1/(COUNT(SimData2!$F$9:$F$108)-1)+$Y$102</f>
        <v>0.97979797979797789</v>
      </c>
    </row>
    <row r="104" spans="1:25">
      <c r="A104">
        <v>96</v>
      </c>
      <c r="B104">
        <v>505.88062898512516</v>
      </c>
      <c r="C104">
        <v>505.88062898512516</v>
      </c>
      <c r="D104">
        <v>587.1008986260241</v>
      </c>
      <c r="E104">
        <v>587.1008986260241</v>
      </c>
      <c r="F104" s="4">
        <v>493.98094162647101</v>
      </c>
      <c r="P104">
        <f>SMALL(SimData2!$B$9:$B$108,99)</f>
        <v>529.93945049003821</v>
      </c>
      <c r="Q104">
        <f>1/(COUNT(SimData2!$B$9:$B$108)-1)+$Q$103</f>
        <v>0.98989898989898795</v>
      </c>
      <c r="R104">
        <f>SMALL(SimData2!$C$9:$C$108,99)</f>
        <v>557.94839810466124</v>
      </c>
      <c r="S104">
        <f>1/(COUNT(SimData2!$C$9:$C$108)-1)+$S$103</f>
        <v>0.98989898989898795</v>
      </c>
      <c r="T104">
        <f>SMALL(SimData2!$D$9:$D$108,99)</f>
        <v>593.9753654350236</v>
      </c>
      <c r="U104">
        <f>1/(COUNT(SimData2!$D$9:$D$108)-1)+$U$103</f>
        <v>0.98989898989898795</v>
      </c>
      <c r="V104">
        <f>SMALL(SimData2!$E$9:$E$108,99)</f>
        <v>607.88723593066516</v>
      </c>
      <c r="W104">
        <f>1/(COUNT(SimData2!$E$9:$E$108)-1)+$W$103</f>
        <v>0.98989898989898795</v>
      </c>
      <c r="X104">
        <f>SMALL(SimData2!$F$9:$F$108,99)</f>
        <v>537.38042894927173</v>
      </c>
      <c r="Y104">
        <f>1/(COUNT(SimData2!$F$9:$F$108)-1)+$Y$103</f>
        <v>0.98989898989898795</v>
      </c>
    </row>
    <row r="105" spans="1:25">
      <c r="A105">
        <v>97</v>
      </c>
      <c r="B105">
        <v>464.76380042750287</v>
      </c>
      <c r="C105">
        <v>508.03333270406637</v>
      </c>
      <c r="D105">
        <v>508.03333270406637</v>
      </c>
      <c r="E105">
        <v>556.32463543116842</v>
      </c>
      <c r="F105" s="4">
        <v>491.80960032412685</v>
      </c>
      <c r="P105">
        <f>SMALL(SimData2!$B$9:$B$108,100)</f>
        <v>531.97970488027045</v>
      </c>
      <c r="Q105">
        <f>1/(COUNT(SimData2!$B$9:$B$108)-1)+$Q$104</f>
        <v>0.999999999999998</v>
      </c>
      <c r="R105">
        <f>SMALL(SimData2!$C$9:$C$108,100)</f>
        <v>558.65659859849188</v>
      </c>
      <c r="S105">
        <f>1/(COUNT(SimData2!$C$9:$C$108)-1)+$S$104</f>
        <v>0.999999999999998</v>
      </c>
      <c r="T105">
        <f>SMALL(SimData2!$D$9:$D$108,100)</f>
        <v>599.07657715402934</v>
      </c>
      <c r="U105">
        <f>1/(COUNT(SimData2!$D$9:$D$108)-1)+$U$104</f>
        <v>0.999999999999998</v>
      </c>
      <c r="V105">
        <f>SMALL(SimData2!$E$9:$E$108,100)</f>
        <v>610.87977761973593</v>
      </c>
      <c r="W105">
        <f>1/(COUNT(SimData2!$E$9:$E$108)-1)+$W$104</f>
        <v>0.999999999999998</v>
      </c>
      <c r="X105">
        <f>SMALL(SimData2!$F$9:$F$108,100)</f>
        <v>537.80519453981572</v>
      </c>
      <c r="Y105">
        <f>1/(COUNT(SimData2!$F$9:$F$108)-1)+$Y$104</f>
        <v>0.999999999999998</v>
      </c>
    </row>
    <row r="106" spans="1:25">
      <c r="A106">
        <v>98</v>
      </c>
      <c r="B106">
        <v>481.91599354669614</v>
      </c>
      <c r="C106">
        <v>499.76321334493684</v>
      </c>
      <c r="D106">
        <v>499.76321334493684</v>
      </c>
      <c r="E106">
        <v>549.37989492043596</v>
      </c>
      <c r="F106" s="4">
        <v>518.73735142127873</v>
      </c>
    </row>
    <row r="107" spans="1:25">
      <c r="A107">
        <v>99</v>
      </c>
      <c r="B107">
        <v>505.11848678566309</v>
      </c>
      <c r="C107">
        <v>505.11848678566309</v>
      </c>
      <c r="D107">
        <v>505.11848678566309</v>
      </c>
      <c r="E107">
        <v>548.29725051913044</v>
      </c>
      <c r="F107" s="4">
        <v>508.17328610934271</v>
      </c>
    </row>
    <row r="108" spans="1:25">
      <c r="A108">
        <v>100</v>
      </c>
      <c r="B108">
        <v>471.33818139862734</v>
      </c>
      <c r="C108">
        <v>529.01333896289384</v>
      </c>
      <c r="D108">
        <v>559.70238446411645</v>
      </c>
      <c r="E108">
        <v>559.70238446411645</v>
      </c>
      <c r="F108" s="4">
        <v>499.4579132279186</v>
      </c>
    </row>
    <row r="110" spans="1:25">
      <c r="A110" t="s">
        <v>25</v>
      </c>
    </row>
    <row r="111" spans="1:25">
      <c r="A111" t="s">
        <v>26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</row>
    <row r="112" spans="1:25">
      <c r="A112" t="s">
        <v>27</v>
      </c>
    </row>
    <row r="113" spans="1:6">
      <c r="A113" t="s">
        <v>28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</row>
    <row r="114" spans="1:6">
      <c r="A114" t="s">
        <v>29</v>
      </c>
    </row>
    <row r="115" spans="1:6">
      <c r="A115" t="s">
        <v>30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</row>
    <row r="116" spans="1:6">
      <c r="A116" t="s">
        <v>31</v>
      </c>
    </row>
    <row r="117" spans="1:6">
      <c r="A117" t="s">
        <v>32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</row>
    <row r="118" spans="1:6">
      <c r="A118" t="s">
        <v>33</v>
      </c>
    </row>
    <row r="119" spans="1:6">
      <c r="A119" t="s">
        <v>34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</row>
  </sheetData>
  <sheetCalcPr fullCalcOnLoad="1"/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6"/>
  <sheetViews>
    <sheetView showGridLines="0" workbookViewId="0">
      <selection activeCell="B4" sqref="B4"/>
    </sheetView>
  </sheetViews>
  <sheetFormatPr defaultRowHeight="12.75"/>
  <sheetData>
    <row r="1" spans="1:14">
      <c r="A1" t="str">
        <f>"Stochastic Efficiency with Respect to A Function (SERF) Under a"&amp;IF($D$4=1," Neg. Exponential",IF($D$4=2," Power",IF($D$4=3,"n Expo-Power",IF($D$4=4," Quadratic",IF($D$4=5," Log",IF($D$4=6,"n Exponent",IF($D$4=7," HARA","")))))))&amp;" Utility Function"</f>
        <v>Stochastic Efficiency with Respect to A Function (SERF) Under a Neg. Exponential Utility Function</v>
      </c>
      <c r="I1" t="str">
        <f>IF($D$4=1,"Neg. Exponential",IF($D$4=2,"Power",IF($D$4=3,"Expo-Power",IF($D$4=4,"Quadratic",IF($D$4=5,"Log",IF($D$4=6,"Exponent",IF($D$4=7,"HARA","")))))))&amp;" Utility Weighted Risk Premiums Relative to "&amp;$I$3</f>
        <v>Neg. Exponential Utility Weighted Risk Premiums Relative to Average Cost: 1</v>
      </c>
    </row>
    <row r="2" spans="1:14">
      <c r="A2" t="s">
        <v>65</v>
      </c>
      <c r="I2" t="s">
        <v>39</v>
      </c>
    </row>
    <row r="3" spans="1:14">
      <c r="A3" t="s">
        <v>37</v>
      </c>
      <c r="B3" s="27">
        <v>0</v>
      </c>
      <c r="D3" t="str">
        <f>$D$4&amp;" = "&amp;IF($D$4=1,"Neg. Exponential",IF($D$4=2,"Power",IF($D$4=3,"Expo-Power",IF($D$4=4,"Quadratic",IF($D$4=5,"Log",IF($D$4=6,"Exponent",IF($D$4=7,"HARA",""))))))&amp;" Utility Function")</f>
        <v>1 = Neg. Exponential</v>
      </c>
      <c r="I3" s="1" t="str">
        <f>$C$11</f>
        <v>Average Cost: 1</v>
      </c>
      <c r="J3" t="s">
        <v>75</v>
      </c>
    </row>
    <row r="4" spans="1:14">
      <c r="A4" t="s">
        <v>38</v>
      </c>
      <c r="B4" s="27">
        <f>4/500</f>
        <v>8.0000000000000002E-3</v>
      </c>
      <c r="D4" s="1">
        <v>1</v>
      </c>
    </row>
    <row r="5" spans="1:14">
      <c r="A5" t="s">
        <v>66</v>
      </c>
      <c r="B5" s="27" t="b">
        <v>1</v>
      </c>
      <c r="D5" t="str">
        <f>"U(x) = "&amp;IF($D$4=1,"-exp(-ARAC*x)",IF($D$4=2,"(1/(1-RRAC))*x^(1-RRAC)",IF($D$4=3,"-exp(-b*x^a)",IF($D$4=4,"a*x-b/2*x^2, a&gt;0",IF($D$4=5,"ln(x+a)",IF($D$4=6,"(x+a)^b",IF($D$4=7,"c/(1-c)*(a+b/c*x)^(1-c)","")))))))</f>
        <v>U(x) = -exp(-ARAC*x)</v>
      </c>
    </row>
    <row r="6" spans="1:14">
      <c r="A6" t="s">
        <v>67</v>
      </c>
      <c r="B6" s="27">
        <v>0</v>
      </c>
    </row>
    <row r="7" spans="1:14">
      <c r="A7" t="s">
        <v>68</v>
      </c>
      <c r="B7" s="27" t="s">
        <v>71</v>
      </c>
      <c r="D7" t="s">
        <v>72</v>
      </c>
    </row>
    <row r="8" spans="1:14">
      <c r="A8" t="s">
        <v>69</v>
      </c>
      <c r="B8" s="27" t="s">
        <v>71</v>
      </c>
      <c r="D8" t="s">
        <v>73</v>
      </c>
      <c r="E8">
        <f>AVERAGE(SimData2!$B$9:$B$108,SimData2!$C$9:$C$108,SimData2!$D$9:$D$108,SimData2!$E$9:$E$108,SimData2!$F$9:$F$108,)</f>
        <v>521.33323951698719</v>
      </c>
    </row>
    <row r="9" spans="1:14">
      <c r="A9" t="s">
        <v>70</v>
      </c>
      <c r="B9" s="27" t="s">
        <v>71</v>
      </c>
      <c r="D9" t="s">
        <v>74</v>
      </c>
      <c r="E9">
        <f>STDEV(SimData2!$B$9:$B$108,SimData2!$C$9:$C$108,SimData2!$D$9:$D$108,SimData2!$E$9:$E$108,SimData2!$F$9:$F$108,)</f>
        <v>42.85087584643901</v>
      </c>
    </row>
    <row r="11" spans="1:14">
      <c r="B11" t="str">
        <f>IF(AND($B$5),"A","R")&amp;"RAC"</f>
        <v>ARAC</v>
      </c>
      <c r="C11" t="str">
        <f>SimData2!$B$8</f>
        <v>Average Cost: 1</v>
      </c>
      <c r="D11" t="str">
        <f>SimData2!$C$8</f>
        <v>Average Cost: 2</v>
      </c>
      <c r="E11" t="str">
        <f>SimData2!$D$8</f>
        <v>Average Cost: 3</v>
      </c>
      <c r="F11" t="str">
        <f>SimData2!$E$8</f>
        <v>Average Cost: 4</v>
      </c>
      <c r="G11" t="str">
        <f>SimData2!$F$8</f>
        <v>Scenario 5</v>
      </c>
      <c r="I11" t="str">
        <f>$B$11</f>
        <v>ARAC</v>
      </c>
      <c r="J11" t="str">
        <f>$C$11</f>
        <v>Average Cost: 1</v>
      </c>
      <c r="K11" t="str">
        <f>$D$11</f>
        <v>Average Cost: 2</v>
      </c>
      <c r="L11" t="str">
        <f>$E$11</f>
        <v>Average Cost: 3</v>
      </c>
      <c r="M11" t="str">
        <f>$F$11</f>
        <v>Average Cost: 4</v>
      </c>
      <c r="N11" t="str">
        <f>$G$11</f>
        <v>Scenario 5</v>
      </c>
    </row>
    <row r="12" spans="1:14">
      <c r="A12">
        <v>1</v>
      </c>
      <c r="B12">
        <f>$B$3</f>
        <v>0</v>
      </c>
      <c r="C12" s="6">
        <f>_xll.CERTEQ(SimData2!$B$9:$B$108,$B$12,$D$4,$B$6,$B$5, $B$7,$B$8,$B$9)</f>
        <v>490.51867457565402</v>
      </c>
      <c r="D12" s="6">
        <f>_xll.CERTEQ(SimData2!$C$9:$C$108,$B$12,$D$4,$B$6,$B$5, $B$7,$B$8,$B$9)</f>
        <v>502.73582110022556</v>
      </c>
      <c r="E12" s="6">
        <f>_xll.CERTEQ(SimData2!$D$9:$D$108,$B$12,$D$4,$B$6,$B$5, $B$7,$B$8,$B$9)</f>
        <v>536.13062348882897</v>
      </c>
      <c r="F12" s="6">
        <f>_xll.CERTEQ(SimData2!$E$9:$E$108,$B$12,$D$4,$B$6,$B$5, $B$7,$B$8,$B$9)</f>
        <v>570.30800813283702</v>
      </c>
      <c r="G12" s="6">
        <f>_xll.CERTEQ(SimData2!$F$9:$F$108,$B$12,$D$4,$B$6,$B$5, $B$7,$B$8,$B$9)</f>
        <v>512.18640268256206</v>
      </c>
      <c r="I12">
        <f>$B$12</f>
        <v>0</v>
      </c>
      <c r="J12" s="7">
        <f>$C$12-HLOOKUP($I$3,$C$11:$G$36,$A$12+1,FALSE)</f>
        <v>0</v>
      </c>
      <c r="K12" s="7">
        <f>$D$12-HLOOKUP($I$3,$C$11:$G$36,$A$12+1,FALSE)</f>
        <v>12.217146524571547</v>
      </c>
      <c r="L12" s="7">
        <f>$E$12-HLOOKUP($I$3,$C$11:$G$36,$A$12+1,FALSE)</f>
        <v>45.611948913174956</v>
      </c>
      <c r="M12" s="7">
        <f>$F$12-HLOOKUP($I$3,$C$11:$G$36,$A$12+1,FALSE)</f>
        <v>79.789333557182999</v>
      </c>
      <c r="N12" s="7">
        <f>$G$12-HLOOKUP($I$3,$C$11:$G$36,$A$12+1,FALSE)</f>
        <v>21.667728106908044</v>
      </c>
    </row>
    <row r="13" spans="1:14">
      <c r="A13">
        <v>2</v>
      </c>
      <c r="B13" s="3">
        <f>$B$12+($B$4-$B$3)/24</f>
        <v>3.3333333333333332E-4</v>
      </c>
      <c r="C13" s="6">
        <f>_xll.CERTEQ(SimData2!$B$9:$B$108,$B$13,$D$4,$B$6,$B$5, $B$7,$B$8,$B$9)</f>
        <v>490.42960324447233</v>
      </c>
      <c r="D13" s="6">
        <f>_xll.CERTEQ(SimData2!$C$9:$C$108,$B$13,$D$4,$B$6,$B$5, $B$7,$B$8,$B$9)</f>
        <v>502.67253110844649</v>
      </c>
      <c r="E13" s="6">
        <f>_xll.CERTEQ(SimData2!$D$9:$D$108,$B$13,$D$4,$B$6,$B$5, $B$7,$B$8,$B$9)</f>
        <v>535.98399989288509</v>
      </c>
      <c r="F13" s="6">
        <f>_xll.CERTEQ(SimData2!$E$9:$E$108,$B$13,$D$4,$B$6,$B$5, $B$7,$B$8,$B$9)</f>
        <v>570.22593848440863</v>
      </c>
      <c r="G13" s="6">
        <f>_xll.CERTEQ(SimData2!$F$9:$F$108,$B$13,$D$4,$B$6,$B$5, $B$7,$B$8,$B$9)</f>
        <v>512.1562118901536</v>
      </c>
      <c r="I13" s="3">
        <f>$B$13</f>
        <v>3.3333333333333332E-4</v>
      </c>
      <c r="J13" s="7">
        <f>$C$13-HLOOKUP($I$3,$C$11:$G$36,$A$13+1,FALSE)</f>
        <v>0</v>
      </c>
      <c r="K13" s="7">
        <f>$D$13-HLOOKUP($I$3,$C$11:$G$36,$A$13+1,FALSE)</f>
        <v>12.24292786397416</v>
      </c>
      <c r="L13" s="7">
        <f>$E$13-HLOOKUP($I$3,$C$11:$G$36,$A$13+1,FALSE)</f>
        <v>45.554396648412762</v>
      </c>
      <c r="M13" s="7">
        <f>$F$13-HLOOKUP($I$3,$C$11:$G$36,$A$13+1,FALSE)</f>
        <v>79.796335239936298</v>
      </c>
      <c r="N13" s="7">
        <f>$G$13-HLOOKUP($I$3,$C$11:$G$36,$A$13+1,FALSE)</f>
        <v>21.726608645681267</v>
      </c>
    </row>
    <row r="14" spans="1:14">
      <c r="A14">
        <v>3</v>
      </c>
      <c r="B14" s="3">
        <f>$B$13+($B$4-$B$3)/24</f>
        <v>6.6666666666666664E-4</v>
      </c>
      <c r="C14" s="6">
        <f>_xll.CERTEQ(SimData2!$B$9:$B$108,$B$14,$D$4,$B$6,$B$5, $B$7,$B$8,$B$9)</f>
        <v>490.34030431581351</v>
      </c>
      <c r="D14" s="6">
        <f>_xll.CERTEQ(SimData2!$C$9:$C$108,$B$14,$D$4,$B$6,$B$5, $B$7,$B$8,$B$9)</f>
        <v>502.6094380999487</v>
      </c>
      <c r="E14" s="6">
        <f>_xll.CERTEQ(SimData2!$D$9:$D$108,$B$14,$D$4,$B$6,$B$5, $B$7,$B$8,$B$9)</f>
        <v>535.83729172477592</v>
      </c>
      <c r="F14" s="6">
        <f>_xll.CERTEQ(SimData2!$E$9:$E$108,$B$14,$D$4,$B$6,$B$5, $B$7,$B$8,$B$9)</f>
        <v>570.14368777873096</v>
      </c>
      <c r="G14" s="6">
        <f>_xll.CERTEQ(SimData2!$F$9:$F$108,$B$14,$D$4,$B$6,$B$5, $B$7,$B$8,$B$9)</f>
        <v>512.12601422910291</v>
      </c>
      <c r="I14" s="3">
        <f>$B$14</f>
        <v>6.6666666666666664E-4</v>
      </c>
      <c r="J14" s="7">
        <f>$C$14-HLOOKUP($I$3,$C$11:$G$36,$A$14+1,FALSE)</f>
        <v>0</v>
      </c>
      <c r="K14" s="7">
        <f>$D$14-HLOOKUP($I$3,$C$11:$G$36,$A$14+1,FALSE)</f>
        <v>12.269133784135192</v>
      </c>
      <c r="L14" s="7">
        <f>$E$14-HLOOKUP($I$3,$C$11:$G$36,$A$14+1,FALSE)</f>
        <v>45.496987408962411</v>
      </c>
      <c r="M14" s="7">
        <f>$F$14-HLOOKUP($I$3,$C$11:$G$36,$A$14+1,FALSE)</f>
        <v>79.803383462917452</v>
      </c>
      <c r="N14" s="7">
        <f>$G$14-HLOOKUP($I$3,$C$11:$G$36,$A$14+1,FALSE)</f>
        <v>21.785709913289395</v>
      </c>
    </row>
    <row r="15" spans="1:14">
      <c r="A15">
        <v>4</v>
      </c>
      <c r="B15" s="3">
        <f>$B$14+($B$4-$B$3)/24</f>
        <v>1E-3</v>
      </c>
      <c r="C15" s="6">
        <f>_xll.CERTEQ(SimData2!$B$9:$B$108,$B$15,$D$4,$B$6,$B$5, $B$7,$B$8,$B$9)</f>
        <v>490.25077785067759</v>
      </c>
      <c r="D15" s="6">
        <f>_xll.CERTEQ(SimData2!$C$9:$C$108,$B$15,$D$4,$B$6,$B$5, $B$7,$B$8,$B$9)</f>
        <v>502.54654156604596</v>
      </c>
      <c r="E15" s="6">
        <f>_xll.CERTEQ(SimData2!$D$9:$D$108,$B$15,$D$4,$B$6,$B$5, $B$7,$B$8,$B$9)</f>
        <v>535.69050739956253</v>
      </c>
      <c r="F15" s="6">
        <f>_xll.CERTEQ(SimData2!$E$9:$E$108,$B$15,$D$4,$B$6,$B$5, $B$7,$B$8,$B$9)</f>
        <v>570.06125537865262</v>
      </c>
      <c r="G15" s="6">
        <f>_xll.CERTEQ(SimData2!$F$9:$F$108,$B$15,$D$4,$B$6,$B$5, $B$7,$B$8,$B$9)</f>
        <v>512.09580991625137</v>
      </c>
      <c r="I15" s="3">
        <f>$B$15</f>
        <v>1E-3</v>
      </c>
      <c r="J15" s="7">
        <f>$C$15-HLOOKUP($I$3,$C$11:$G$36,$A$15+1,FALSE)</f>
        <v>0</v>
      </c>
      <c r="K15" s="7">
        <f>$D$15-HLOOKUP($I$3,$C$11:$G$36,$A$15+1,FALSE)</f>
        <v>12.295763715368366</v>
      </c>
      <c r="L15" s="7">
        <f>$E$15-HLOOKUP($I$3,$C$11:$G$36,$A$15+1,FALSE)</f>
        <v>45.439729548884941</v>
      </c>
      <c r="M15" s="7">
        <f>$F$15-HLOOKUP($I$3,$C$11:$G$36,$A$15+1,FALSE)</f>
        <v>79.810477527975024</v>
      </c>
      <c r="N15" s="7">
        <f>$G$15-HLOOKUP($I$3,$C$11:$G$36,$A$15+1,FALSE)</f>
        <v>21.845032065573776</v>
      </c>
    </row>
    <row r="16" spans="1:14">
      <c r="A16">
        <v>5</v>
      </c>
      <c r="B16" s="3">
        <f>$B$15+($B$4-$B$3)/24</f>
        <v>1.3333333333333333E-3</v>
      </c>
      <c r="C16" s="6">
        <f>_xll.CERTEQ(SimData2!$B$9:$B$108,$B$16,$D$4,$B$6,$B$5, $B$7,$B$8,$B$9)</f>
        <v>490.16102392232682</v>
      </c>
      <c r="D16" s="6">
        <f>_xll.CERTEQ(SimData2!$C$9:$C$108,$B$16,$D$4,$B$6,$B$5, $B$7,$B$8,$B$9)</f>
        <v>502.48384098829234</v>
      </c>
      <c r="E16" s="6">
        <f>_xll.CERTEQ(SimData2!$D$9:$D$108,$B$16,$D$4,$B$6,$B$5, $B$7,$B$8,$B$9)</f>
        <v>535.54365539671699</v>
      </c>
      <c r="F16" s="6">
        <f>_xll.CERTEQ(SimData2!$E$9:$E$108,$B$16,$D$4,$B$6,$B$5, $B$7,$B$8,$B$9)</f>
        <v>569.9786406231608</v>
      </c>
      <c r="G16" s="6">
        <f>_xll.CERTEQ(SimData2!$F$9:$F$108,$B$16,$D$4,$B$6,$B$5, $B$7,$B$8,$B$9)</f>
        <v>512.06559916855724</v>
      </c>
      <c r="I16" s="3">
        <f>$B$16</f>
        <v>1.3333333333333333E-3</v>
      </c>
      <c r="J16" s="7">
        <f>$C$16-HLOOKUP($I$3,$C$11:$G$36,$A$16+1,FALSE)</f>
        <v>0</v>
      </c>
      <c r="K16" s="7">
        <f>$D$16-HLOOKUP($I$3,$C$11:$G$36,$A$16+1,FALSE)</f>
        <v>12.322817065965523</v>
      </c>
      <c r="L16" s="7">
        <f>$E$16-HLOOKUP($I$3,$C$11:$G$36,$A$16+1,FALSE)</f>
        <v>45.382631474390166</v>
      </c>
      <c r="M16" s="7">
        <f>$F$16-HLOOKUP($I$3,$C$11:$G$36,$A$16+1,FALSE)</f>
        <v>79.81761670083398</v>
      </c>
      <c r="N16" s="7">
        <f>$G$16-HLOOKUP($I$3,$C$11:$G$36,$A$16+1,FALSE)</f>
        <v>21.904575246230422</v>
      </c>
    </row>
    <row r="17" spans="1:14">
      <c r="A17">
        <v>6</v>
      </c>
      <c r="B17" s="3">
        <f>$B$16+($B$4-$B$3)/24</f>
        <v>1.6666666666666666E-3</v>
      </c>
      <c r="C17" s="6">
        <f>_xll.CERTEQ(SimData2!$B$9:$B$108,$B$17,$D$4,$B$6,$B$5, $B$7,$B$8,$B$9)</f>
        <v>490.07104261655024</v>
      </c>
      <c r="D17" s="6">
        <f>_xll.CERTEQ(SimData2!$C$9:$C$108,$B$17,$D$4,$B$6,$B$5, $B$7,$B$8,$B$9)</f>
        <v>502.42133583874448</v>
      </c>
      <c r="E17" s="6">
        <f>_xll.CERTEQ(SimData2!$D$9:$D$108,$B$17,$D$4,$B$6,$B$5, $B$7,$B$8,$B$9)</f>
        <v>535.39674425679971</v>
      </c>
      <c r="F17" s="6">
        <f>_xll.CERTEQ(SimData2!$E$9:$E$108,$B$17,$D$4,$B$6,$B$5, $B$7,$B$8,$B$9)</f>
        <v>569.89584282711428</v>
      </c>
      <c r="G17" s="6">
        <f>_xll.CERTEQ(SimData2!$F$9:$F$108,$B$17,$D$4,$B$6,$B$5, $B$7,$B$8,$B$9)</f>
        <v>512.03538220308724</v>
      </c>
      <c r="I17" s="3">
        <f>$B$17</f>
        <v>1.6666666666666666E-3</v>
      </c>
      <c r="J17" s="7">
        <f>$C$17-HLOOKUP($I$3,$C$11:$G$36,$A$17+1,FALSE)</f>
        <v>0</v>
      </c>
      <c r="K17" s="7">
        <f>$D$17-HLOOKUP($I$3,$C$11:$G$36,$A$17+1,FALSE)</f>
        <v>12.350293222194239</v>
      </c>
      <c r="L17" s="7">
        <f>$E$17-HLOOKUP($I$3,$C$11:$G$36,$A$17+1,FALSE)</f>
        <v>45.325701640249463</v>
      </c>
      <c r="M17" s="7">
        <f>$F$17-HLOOKUP($I$3,$C$11:$G$36,$A$17+1,FALSE)</f>
        <v>79.824800210564035</v>
      </c>
      <c r="N17" s="7">
        <f>$G$17-HLOOKUP($I$3,$C$11:$G$36,$A$17+1,FALSE)</f>
        <v>21.964339586536994</v>
      </c>
    </row>
    <row r="18" spans="1:14">
      <c r="A18">
        <v>7</v>
      </c>
      <c r="B18" s="3">
        <f>$B$17+($B$4-$B$3)/24</f>
        <v>2E-3</v>
      </c>
      <c r="C18" s="6">
        <f>_xll.CERTEQ(SimData2!$B$9:$B$108,$B$18,$D$4,$B$6,$B$5, $B$7,$B$8,$B$9)</f>
        <v>489.98083403191634</v>
      </c>
      <c r="D18" s="6">
        <f>_xll.CERTEQ(SimData2!$C$9:$C$108,$B$18,$D$4,$B$6,$B$5, $B$7,$B$8,$B$9)</f>
        <v>502.35902558021269</v>
      </c>
      <c r="E18" s="6">
        <f>_xll.CERTEQ(SimData2!$D$9:$D$108,$B$18,$D$4,$B$6,$B$5, $B$7,$B$8,$B$9)</f>
        <v>535.2497825780697</v>
      </c>
      <c r="F18" s="6">
        <f>_xll.CERTEQ(SimData2!$E$9:$E$108,$B$18,$D$4,$B$6,$B$5, $B$7,$B$8,$B$9)</f>
        <v>569.81286128098293</v>
      </c>
      <c r="G18" s="6">
        <f>_xll.CERTEQ(SimData2!$F$9:$F$108,$B$18,$D$4,$B$6,$B$5, $B$7,$B$8,$B$9)</f>
        <v>512.00515923700323</v>
      </c>
      <c r="I18" s="3">
        <f>$B$18</f>
        <v>2E-3</v>
      </c>
      <c r="J18" s="7">
        <f>$C$18-HLOOKUP($I$3,$C$11:$G$36,$A$18+1,FALSE)</f>
        <v>0</v>
      </c>
      <c r="K18" s="7">
        <f>$D$18-HLOOKUP($I$3,$C$11:$G$36,$A$18+1,FALSE)</f>
        <v>12.378191548296343</v>
      </c>
      <c r="L18" s="7">
        <f>$E$18-HLOOKUP($I$3,$C$11:$G$36,$A$18+1,FALSE)</f>
        <v>45.268948546153354</v>
      </c>
      <c r="M18" s="7">
        <f>$F$18-HLOOKUP($I$3,$C$11:$G$36,$A$18+1,FALSE)</f>
        <v>79.832027249066584</v>
      </c>
      <c r="N18" s="7">
        <f>$G$18-HLOOKUP($I$3,$C$11:$G$36,$A$18+1,FALSE)</f>
        <v>22.024325205086882</v>
      </c>
    </row>
    <row r="19" spans="1:14">
      <c r="A19">
        <v>8</v>
      </c>
      <c r="B19" s="3">
        <f>$B$18+($B$4-$B$3)/24</f>
        <v>2.3333333333333335E-3</v>
      </c>
      <c r="C19" s="6">
        <f>_xll.CERTEQ(SimData2!$B$9:$B$108,$B$19,$D$4,$B$6,$B$5, $B$7,$B$8,$B$9)</f>
        <v>489.89039828003791</v>
      </c>
      <c r="D19" s="6">
        <f>_xll.CERTEQ(SimData2!$C$9:$C$108,$B$19,$D$4,$B$6,$B$5, $B$7,$B$8,$B$9)</f>
        <v>502.29690966650804</v>
      </c>
      <c r="E19" s="6">
        <f>_xll.CERTEQ(SimData2!$D$9:$D$108,$B$19,$D$4,$B$6,$B$5, $B$7,$B$8,$B$9)</f>
        <v>535.10277901303584</v>
      </c>
      <c r="F19" s="6">
        <f>_xll.CERTEQ(SimData2!$E$9:$E$108,$B$19,$D$4,$B$6,$B$5, $B$7,$B$8,$B$9)</f>
        <v>569.72969525060057</v>
      </c>
      <c r="G19" s="6">
        <f>_xll.CERTEQ(SimData2!$F$9:$F$108,$B$19,$D$4,$B$6,$B$5, $B$7,$B$8,$B$9)</f>
        <v>511.97493048755592</v>
      </c>
      <c r="I19" s="3">
        <f>$B$19</f>
        <v>2.3333333333333335E-3</v>
      </c>
      <c r="J19" s="7">
        <f>$C$19-HLOOKUP($I$3,$C$11:$G$36,$A$19+1,FALSE)</f>
        <v>0</v>
      </c>
      <c r="K19" s="7">
        <f>$D$19-HLOOKUP($I$3,$C$11:$G$36,$A$19+1,FALSE)</f>
        <v>12.406511386470129</v>
      </c>
      <c r="L19" s="7">
        <f>$E$19-HLOOKUP($I$3,$C$11:$G$36,$A$19+1,FALSE)</f>
        <v>45.212380732997929</v>
      </c>
      <c r="M19" s="7">
        <f>$F$19-HLOOKUP($I$3,$C$11:$G$36,$A$19+1,FALSE)</f>
        <v>79.839296970562657</v>
      </c>
      <c r="N19" s="7">
        <f>$G$19-HLOOKUP($I$3,$C$11:$G$36,$A$19+1,FALSE)</f>
        <v>22.084532207518009</v>
      </c>
    </row>
    <row r="20" spans="1:14">
      <c r="A20">
        <v>9</v>
      </c>
      <c r="B20" s="3">
        <f>$B$19+($B$4-$B$3)/24</f>
        <v>2.666666666666667E-3</v>
      </c>
      <c r="C20" s="6">
        <f>_xll.CERTEQ(SimData2!$B$9:$B$108,$B$20,$D$4,$B$6,$B$5, $B$7,$B$8,$B$9)</f>
        <v>489.79973548583598</v>
      </c>
      <c r="D20" s="6">
        <f>_xll.CERTEQ(SimData2!$C$9:$C$108,$B$20,$D$4,$B$6,$B$5, $B$7,$B$8,$B$9)</f>
        <v>502.2349875426911</v>
      </c>
      <c r="E20" s="6">
        <f>_xll.CERTEQ(SimData2!$D$9:$D$108,$B$20,$D$4,$B$6,$B$5, $B$7,$B$8,$B$9)</f>
        <v>534.95574226495989</v>
      </c>
      <c r="F20" s="6">
        <f>_xll.CERTEQ(SimData2!$E$9:$E$108,$B$20,$D$4,$B$6,$B$5, $B$7,$B$8,$B$9)</f>
        <v>569.64634397692339</v>
      </c>
      <c r="G20" s="6">
        <f>_xll.CERTEQ(SimData2!$F$9:$F$108,$B$20,$D$4,$B$6,$B$5, $B$7,$B$8,$B$9)</f>
        <v>511.94469617207034</v>
      </c>
      <c r="I20" s="3">
        <f>$B$20</f>
        <v>2.666666666666667E-3</v>
      </c>
      <c r="J20" s="7">
        <f>$C$20-HLOOKUP($I$3,$C$11:$G$36,$A$20+1,FALSE)</f>
        <v>0</v>
      </c>
      <c r="K20" s="7">
        <f>$D$20-HLOOKUP($I$3,$C$11:$G$36,$A$20+1,FALSE)</f>
        <v>12.43525205685512</v>
      </c>
      <c r="L20" s="7">
        <f>$E$20-HLOOKUP($I$3,$C$11:$G$36,$A$20+1,FALSE)</f>
        <v>45.156006779123913</v>
      </c>
      <c r="M20" s="7">
        <f>$F$20-HLOOKUP($I$3,$C$11:$G$36,$A$20+1,FALSE)</f>
        <v>79.846608491087409</v>
      </c>
      <c r="N20" s="7">
        <f>$G$20-HLOOKUP($I$3,$C$11:$G$36,$A$20+1,FALSE)</f>
        <v>22.144960686234356</v>
      </c>
    </row>
    <row r="21" spans="1:14">
      <c r="A21">
        <v>10</v>
      </c>
      <c r="B21" s="3">
        <f>$B$20+($B$4-$B$3)/24</f>
        <v>3.0000000000000005E-3</v>
      </c>
      <c r="C21" s="6">
        <f>_xll.CERTEQ(SimData2!$B$9:$B$108,$B$21,$D$4,$B$6,$B$5, $B$7,$B$8,$B$9)</f>
        <v>489.70884578780669</v>
      </c>
      <c r="D21" s="6">
        <f>_xll.CERTEQ(SimData2!$C$9:$C$108,$B$21,$D$4,$B$6,$B$5, $B$7,$B$8,$B$9)</f>
        <v>502.17325864531693</v>
      </c>
      <c r="E21" s="6">
        <f>_xll.CERTEQ(SimData2!$D$9:$D$108,$B$21,$D$4,$B$6,$B$5, $B$7,$B$8,$B$9)</f>
        <v>534.80868108430639</v>
      </c>
      <c r="F21" s="6">
        <f>_xll.CERTEQ(SimData2!$E$9:$E$108,$B$21,$D$4,$B$6,$B$5, $B$7,$B$8,$B$9)</f>
        <v>569.56280667580063</v>
      </c>
      <c r="G21" s="6">
        <f>_xll.CERTEQ(SimData2!$F$9:$F$108,$B$21,$D$4,$B$6,$B$5, $B$7,$B$8,$B$9)</f>
        <v>511.91445650794083</v>
      </c>
      <c r="I21" s="3">
        <f>$B$21</f>
        <v>3.0000000000000005E-3</v>
      </c>
      <c r="J21" s="7">
        <f>$C$21-HLOOKUP($I$3,$C$11:$G$36,$A$21+1,FALSE)</f>
        <v>0</v>
      </c>
      <c r="K21" s="7">
        <f>$D$21-HLOOKUP($I$3,$C$11:$G$36,$A$21+1,FALSE)</f>
        <v>12.46441285751024</v>
      </c>
      <c r="L21" s="7">
        <f>$E$21-HLOOKUP($I$3,$C$11:$G$36,$A$21+1,FALSE)</f>
        <v>45.099835296499691</v>
      </c>
      <c r="M21" s="7">
        <f>$F$21-HLOOKUP($I$3,$C$11:$G$36,$A$21+1,FALSE)</f>
        <v>79.853960887993935</v>
      </c>
      <c r="N21" s="7">
        <f>$G$21-HLOOKUP($I$3,$C$11:$G$36,$A$21+1,FALSE)</f>
        <v>22.205610720134132</v>
      </c>
    </row>
    <row r="22" spans="1:14">
      <c r="A22">
        <v>11</v>
      </c>
      <c r="B22" s="3">
        <f>$B$21+($B$4-$B$3)/24</f>
        <v>3.333333333333334E-3</v>
      </c>
      <c r="C22" s="6">
        <f>_xll.CERTEQ(SimData2!$B$9:$B$108,$B$22,$D$4,$B$6,$B$5, $B$7,$B$8,$B$9)</f>
        <v>489.61772933829241</v>
      </c>
      <c r="D22" s="6">
        <f>_xll.CERTEQ(SimData2!$C$9:$C$108,$B$22,$D$4,$B$6,$B$5, $B$7,$B$8,$B$9)</f>
        <v>502.11172240267666</v>
      </c>
      <c r="E22" s="6">
        <f>_xll.CERTEQ(SimData2!$D$9:$D$108,$B$22,$D$4,$B$6,$B$5, $B$7,$B$8,$B$9)</f>
        <v>534.66160426514671</v>
      </c>
      <c r="F22" s="6">
        <f>_xll.CERTEQ(SimData2!$E$9:$E$108,$B$22,$D$4,$B$6,$B$5, $B$7,$B$8,$B$9)</f>
        <v>569.47908253775722</v>
      </c>
      <c r="G22" s="6">
        <f>_xll.CERTEQ(SimData2!$F$9:$F$108,$B$22,$D$4,$B$6,$B$5, $B$7,$B$8,$B$9)</f>
        <v>511.8842117126166</v>
      </c>
      <c r="I22" s="3">
        <f>$B$22</f>
        <v>3.333333333333334E-3</v>
      </c>
      <c r="J22" s="7">
        <f>$C$22-HLOOKUP($I$3,$C$11:$G$36,$A$22+1,FALSE)</f>
        <v>0</v>
      </c>
      <c r="K22" s="7">
        <f>$D$22-HLOOKUP($I$3,$C$11:$G$36,$A$22+1,FALSE)</f>
        <v>12.493993064384256</v>
      </c>
      <c r="L22" s="7">
        <f>$E$22-HLOOKUP($I$3,$C$11:$G$36,$A$22+1,FALSE)</f>
        <v>45.043874926854301</v>
      </c>
      <c r="M22" s="7">
        <f>$F$22-HLOOKUP($I$3,$C$11:$G$36,$A$22+1,FALSE)</f>
        <v>79.861353199464816</v>
      </c>
      <c r="N22" s="7">
        <f>$G$22-HLOOKUP($I$3,$C$11:$G$36,$A$22+1,FALSE)</f>
        <v>22.266482374324198</v>
      </c>
    </row>
    <row r="23" spans="1:14">
      <c r="A23">
        <v>12</v>
      </c>
      <c r="B23" s="3">
        <f>$B$22+($B$4-$B$3)/24</f>
        <v>3.6666666666666675E-3</v>
      </c>
      <c r="C23" s="6">
        <f>_xll.CERTEQ(SimData2!$B$9:$B$108,$B$23,$D$4,$B$6,$B$5, $B$7,$B$8,$B$9)</f>
        <v>489.52638630375401</v>
      </c>
      <c r="D23" s="6">
        <f>_xll.CERTEQ(SimData2!$C$9:$C$108,$B$23,$D$4,$B$6,$B$5, $B$7,$B$8,$B$9)</f>
        <v>502.05037823503716</v>
      </c>
      <c r="E23" s="6">
        <f>_xll.CERTEQ(SimData2!$D$9:$D$108,$B$23,$D$4,$B$6,$B$5, $B$7,$B$8,$B$9)</f>
        <v>534.51452064151772</v>
      </c>
      <c r="F23" s="6">
        <f>_xll.CERTEQ(SimData2!$E$9:$E$108,$B$23,$D$4,$B$6,$B$5, $B$7,$B$8,$B$9)</f>
        <v>569.39517072778551</v>
      </c>
      <c r="G23" s="6">
        <f>_xll.CERTEQ(SimData2!$F$9:$F$108,$B$23,$D$4,$B$6,$B$5, $B$7,$B$8,$B$9)</f>
        <v>511.85396200359418</v>
      </c>
      <c r="I23" s="3">
        <f>$B$23</f>
        <v>3.6666666666666675E-3</v>
      </c>
      <c r="J23" s="7">
        <f>$C$23-HLOOKUP($I$3,$C$11:$G$36,$A$23+1,FALSE)</f>
        <v>0</v>
      </c>
      <c r="K23" s="7">
        <f>$D$23-HLOOKUP($I$3,$C$11:$G$36,$A$23+1,FALSE)</f>
        <v>12.523991931283149</v>
      </c>
      <c r="L23" s="7">
        <f>$E$23-HLOOKUP($I$3,$C$11:$G$36,$A$23+1,FALSE)</f>
        <v>44.988134337763711</v>
      </c>
      <c r="M23" s="7">
        <f>$F$23-HLOOKUP($I$3,$C$11:$G$36,$A$23+1,FALSE)</f>
        <v>79.868784424031503</v>
      </c>
      <c r="N23" s="7">
        <f>$G$23-HLOOKUP($I$3,$C$11:$G$36,$A$23+1,FALSE)</f>
        <v>22.327575699840168</v>
      </c>
    </row>
    <row r="24" spans="1:14">
      <c r="A24">
        <v>13</v>
      </c>
      <c r="B24" s="3">
        <f>$B$23+($B$4-$B$3)/24</f>
        <v>4.000000000000001E-3</v>
      </c>
      <c r="C24" s="6">
        <f>_xll.CERTEQ(SimData2!$B$9:$B$108,$B$24,$D$4,$B$6,$B$5, $B$7,$B$8,$B$9)</f>
        <v>489.43481686504578</v>
      </c>
      <c r="D24" s="6">
        <f>_xll.CERTEQ(SimData2!$C$9:$C$108,$B$24,$D$4,$B$6,$B$5, $B$7,$B$8,$B$9)</f>
        <v>501.98922555487832</v>
      </c>
      <c r="E24" s="6">
        <f>_xll.CERTEQ(SimData2!$D$9:$D$108,$B$24,$D$4,$B$6,$B$5, $B$7,$B$8,$B$9)</f>
        <v>534.36743908374433</v>
      </c>
      <c r="F24" s="6">
        <f>_xll.CERTEQ(SimData2!$E$9:$E$108,$B$24,$D$4,$B$6,$B$5, $B$7,$B$8,$B$9)</f>
        <v>569.31107038514892</v>
      </c>
      <c r="G24" s="6">
        <f>_xll.CERTEQ(SimData2!$F$9:$F$108,$B$24,$D$4,$B$6,$B$5, $B$7,$B$8,$B$9)</f>
        <v>511.82370759840677</v>
      </c>
      <c r="I24" s="3">
        <f>$B$24</f>
        <v>4.000000000000001E-3</v>
      </c>
      <c r="J24" s="7">
        <f>$C$24-HLOOKUP($I$3,$C$11:$G$36,$A$24+1,FALSE)</f>
        <v>0</v>
      </c>
      <c r="K24" s="7">
        <f>$D$24-HLOOKUP($I$3,$C$11:$G$36,$A$24+1,FALSE)</f>
        <v>12.554408689832542</v>
      </c>
      <c r="L24" s="7">
        <f>$E$24-HLOOKUP($I$3,$C$11:$G$36,$A$24+1,FALSE)</f>
        <v>44.932622218698555</v>
      </c>
      <c r="M24" s="7">
        <f>$F$24-HLOOKUP($I$3,$C$11:$G$36,$A$24+1,FALSE)</f>
        <v>79.876253520103148</v>
      </c>
      <c r="N24" s="7">
        <f>$G$24-HLOOKUP($I$3,$C$11:$G$36,$A$24+1,FALSE)</f>
        <v>22.388890733360995</v>
      </c>
    </row>
    <row r="25" spans="1:14">
      <c r="A25">
        <v>14</v>
      </c>
      <c r="B25" s="3">
        <f>$B$24+($B$4-$B$3)/24</f>
        <v>4.333333333333334E-3</v>
      </c>
      <c r="C25" s="6">
        <f>_xll.CERTEQ(SimData2!$B$9:$B$108,$B$25,$D$4,$B$6,$B$5, $B$7,$B$8,$B$9)</f>
        <v>489.34302121769298</v>
      </c>
      <c r="D25" s="6">
        <f>_xll.CERTEQ(SimData2!$C$9:$C$108,$B$25,$D$4,$B$6,$B$5, $B$7,$B$8,$B$9)</f>
        <v>501.92826376712696</v>
      </c>
      <c r="E25" s="6">
        <f>_xll.CERTEQ(SimData2!$D$9:$D$108,$B$25,$D$4,$B$6,$B$5, $B$7,$B$8,$B$9)</f>
        <v>534.22036849472272</v>
      </c>
      <c r="F25" s="6">
        <f>_xll.CERTEQ(SimData2!$E$9:$E$108,$B$25,$D$4,$B$6,$B$5, $B$7,$B$8,$B$9)</f>
        <v>569.22678062319869</v>
      </c>
      <c r="G25" s="6">
        <f>_xll.CERTEQ(SimData2!$F$9:$F$108,$B$25,$D$4,$B$6,$B$5, $B$7,$B$8,$B$9)</f>
        <v>511.79344871461427</v>
      </c>
      <c r="I25" s="3">
        <f>$B$25</f>
        <v>4.333333333333334E-3</v>
      </c>
      <c r="J25" s="7">
        <f>$C$25-HLOOKUP($I$3,$C$11:$G$36,$A$25+1,FALSE)</f>
        <v>0</v>
      </c>
      <c r="K25" s="7">
        <f>$D$25-HLOOKUP($I$3,$C$11:$G$36,$A$25+1,FALSE)</f>
        <v>12.585242549433985</v>
      </c>
      <c r="L25" s="7">
        <f>$E$25-HLOOKUP($I$3,$C$11:$G$36,$A$25+1,FALSE)</f>
        <v>44.877347277029742</v>
      </c>
      <c r="M25" s="7">
        <f>$F$25-HLOOKUP($I$3,$C$11:$G$36,$A$25+1,FALSE)</f>
        <v>79.883759405505714</v>
      </c>
      <c r="N25" s="7">
        <f>$G$25-HLOOKUP($I$3,$C$11:$G$36,$A$25+1,FALSE)</f>
        <v>22.450427496921293</v>
      </c>
    </row>
    <row r="26" spans="1:14">
      <c r="A26">
        <v>15</v>
      </c>
      <c r="B26" s="3">
        <f>$B$25+($B$4-$B$3)/24</f>
        <v>4.6666666666666671E-3</v>
      </c>
      <c r="C26" s="6">
        <f>_xll.CERTEQ(SimData2!$B$9:$B$108,$B$26,$D$4,$B$6,$B$5, $B$7,$B$8,$B$9)</f>
        <v>489.25099957217168</v>
      </c>
      <c r="D26" s="6">
        <f>_xll.CERTEQ(SimData2!$C$9:$C$108,$B$26,$D$4,$B$6,$B$5, $B$7,$B$8,$B$9)</f>
        <v>501.86749226938775</v>
      </c>
      <c r="E26" s="6">
        <f>_xll.CERTEQ(SimData2!$D$9:$D$108,$B$26,$D$4,$B$6,$B$5, $B$7,$B$8,$B$9)</f>
        <v>534.07331780617255</v>
      </c>
      <c r="F26" s="6">
        <f>_xll.CERTEQ(SimData2!$E$9:$E$108,$B$26,$D$4,$B$6,$B$5, $B$7,$B$8,$B$9)</f>
        <v>569.14230052920186</v>
      </c>
      <c r="G26" s="6">
        <f>_xll.CERTEQ(SimData2!$F$9:$F$108,$B$26,$D$4,$B$6,$B$5, $B$7,$B$8,$B$9)</f>
        <v>511.76318556979248</v>
      </c>
      <c r="I26" s="3">
        <f>$B$26</f>
        <v>4.6666666666666671E-3</v>
      </c>
      <c r="J26" s="7">
        <f>$C$26-HLOOKUP($I$3,$C$11:$G$36,$A$26+1,FALSE)</f>
        <v>0</v>
      </c>
      <c r="K26" s="7">
        <f>$D$26-HLOOKUP($I$3,$C$11:$G$36,$A$26+1,FALSE)</f>
        <v>12.616492697216074</v>
      </c>
      <c r="L26" s="7">
        <f>$E$26-HLOOKUP($I$3,$C$11:$G$36,$A$26+1,FALSE)</f>
        <v>44.822318234000875</v>
      </c>
      <c r="M26" s="7">
        <f>$F$26-HLOOKUP($I$3,$C$11:$G$36,$A$26+1,FALSE)</f>
        <v>79.891300957030182</v>
      </c>
      <c r="N26" s="7">
        <f>$G$26-HLOOKUP($I$3,$C$11:$G$36,$A$26+1,FALSE)</f>
        <v>22.512185997620804</v>
      </c>
    </row>
    <row r="27" spans="1:14">
      <c r="A27">
        <v>16</v>
      </c>
      <c r="B27" s="3">
        <f>$B$26+($B$4-$B$3)/24</f>
        <v>5.0000000000000001E-3</v>
      </c>
      <c r="C27" s="6">
        <f>_xll.CERTEQ(SimData2!$B$9:$B$108,$B$27,$D$4,$B$6,$B$5, $B$7,$B$8,$B$9)</f>
        <v>489.15875215419146</v>
      </c>
      <c r="D27" s="6">
        <f>_xll.CERTEQ(SimData2!$C$9:$C$108,$B$27,$D$4,$B$6,$B$5, $B$7,$B$8,$B$9)</f>
        <v>501.80691045217355</v>
      </c>
      <c r="E27" s="6">
        <f>_xll.CERTEQ(SimData2!$D$9:$D$108,$B$27,$D$4,$B$6,$B$5, $B$7,$B$8,$B$9)</f>
        <v>533.92629597486041</v>
      </c>
      <c r="F27" s="6">
        <f>_xll.CERTEQ(SimData2!$E$9:$E$108,$B$27,$D$4,$B$6,$B$5, $B$7,$B$8,$B$9)</f>
        <v>569.05762916418166</v>
      </c>
      <c r="G27" s="6">
        <f>_xll.CERTEQ(SimData2!$F$9:$F$108,$B$27,$D$4,$B$6,$B$5, $B$7,$B$8,$B$9)</f>
        <v>511.73291838152466</v>
      </c>
      <c r="I27" s="3">
        <f>$B$27</f>
        <v>5.0000000000000001E-3</v>
      </c>
      <c r="J27" s="7">
        <f>$C$27-HLOOKUP($I$3,$C$11:$G$36,$A$27+1,FALSE)</f>
        <v>0</v>
      </c>
      <c r="K27" s="7">
        <f>$D$27-HLOOKUP($I$3,$C$11:$G$36,$A$27+1,FALSE)</f>
        <v>12.648158297982093</v>
      </c>
      <c r="L27" s="7">
        <f>$E$27-HLOOKUP($I$3,$C$11:$G$36,$A$27+1,FALSE)</f>
        <v>44.767543820668948</v>
      </c>
      <c r="M27" s="7">
        <f>$F$27-HLOOKUP($I$3,$C$11:$G$36,$A$27+1,FALSE)</f>
        <v>79.898877009990201</v>
      </c>
      <c r="N27" s="7">
        <f>$G$27-HLOOKUP($I$3,$C$11:$G$36,$A$27+1,FALSE)</f>
        <v>22.574166227333194</v>
      </c>
    </row>
    <row r="28" spans="1:14">
      <c r="A28">
        <v>17</v>
      </c>
      <c r="B28" s="3">
        <f>$B$27+($B$4-$B$3)/24</f>
        <v>5.3333333333333332E-3</v>
      </c>
      <c r="C28" s="6">
        <f>_xll.CERTEQ(SimData2!$B$9:$B$108,$B$28,$D$4,$B$6,$B$5, $B$7,$B$8,$B$9)</f>
        <v>489.06627920497857</v>
      </c>
      <c r="D28" s="6">
        <f>_xll.CERTEQ(SimData2!$C$9:$C$108,$B$28,$D$4,$B$6,$B$5, $B$7,$B$8,$B$9)</f>
        <v>501.74651769913015</v>
      </c>
      <c r="E28" s="6">
        <f>_xll.CERTEQ(SimData2!$D$9:$D$108,$B$28,$D$4,$B$6,$B$5, $B$7,$B$8,$B$9)</f>
        <v>533.77931197879843</v>
      </c>
      <c r="F28" s="6">
        <f>_xll.CERTEQ(SimData2!$E$9:$E$108,$B$28,$D$4,$B$6,$B$5, $B$7,$B$8,$B$9)</f>
        <v>568.97276556277302</v>
      </c>
      <c r="G28" s="6">
        <f>_xll.CERTEQ(SimData2!$F$9:$F$108,$B$28,$D$4,$B$6,$B$5, $B$7,$B$8,$B$9)</f>
        <v>511.70264736738977</v>
      </c>
      <c r="I28" s="3">
        <f>$B$28</f>
        <v>5.3333333333333332E-3</v>
      </c>
      <c r="J28" s="7">
        <f>$C$28-HLOOKUP($I$3,$C$11:$G$36,$A$28+1,FALSE)</f>
        <v>0</v>
      </c>
      <c r="K28" s="7">
        <f>$D$28-HLOOKUP($I$3,$C$11:$G$36,$A$28+1,FALSE)</f>
        <v>12.680238494151581</v>
      </c>
      <c r="L28" s="7">
        <f>$E$28-HLOOKUP($I$3,$C$11:$G$36,$A$28+1,FALSE)</f>
        <v>44.713032773819862</v>
      </c>
      <c r="M28" s="7">
        <f>$F$28-HLOOKUP($I$3,$C$11:$G$36,$A$28+1,FALSE)</f>
        <v>79.906486357794449</v>
      </c>
      <c r="N28" s="7">
        <f>$G$28-HLOOKUP($I$3,$C$11:$G$36,$A$28+1,FALSE)</f>
        <v>22.636368162411202</v>
      </c>
    </row>
    <row r="29" spans="1:14">
      <c r="A29">
        <v>18</v>
      </c>
      <c r="B29" s="3">
        <f>$B$28+($B$4-$B$3)/24</f>
        <v>5.6666666666666662E-3</v>
      </c>
      <c r="C29" s="6">
        <f>_xll.CERTEQ(SimData2!$B$9:$B$108,$B$29,$D$4,$B$6,$B$5, $B$7,$B$8,$B$9)</f>
        <v>488.97358098156218</v>
      </c>
      <c r="D29" s="6">
        <f>_xll.CERTEQ(SimData2!$C$9:$C$108,$B$29,$D$4,$B$6,$B$5, $B$7,$B$8,$B$9)</f>
        <v>501.6863133872593</v>
      </c>
      <c r="E29" s="6">
        <f>_xll.CERTEQ(SimData2!$D$9:$D$108,$B$29,$D$4,$B$6,$B$5, $B$7,$B$8,$B$9)</f>
        <v>533.63237481342173</v>
      </c>
      <c r="F29" s="6">
        <f>_xll.CERTEQ(SimData2!$E$9:$E$108,$B$29,$D$4,$B$6,$B$5, $B$7,$B$8,$B$9)</f>
        <v>568.88770873308908</v>
      </c>
      <c r="G29" s="6">
        <f>_xll.CERTEQ(SimData2!$F$9:$F$108,$B$29,$D$4,$B$6,$B$5, $B$7,$B$8,$B$9)</f>
        <v>511.6723727449538</v>
      </c>
      <c r="I29" s="3">
        <f>$B$29</f>
        <v>5.6666666666666662E-3</v>
      </c>
      <c r="J29" s="7">
        <f>$C$29-HLOOKUP($I$3,$C$11:$G$36,$A$29+1,FALSE)</f>
        <v>0</v>
      </c>
      <c r="K29" s="7">
        <f>$D$29-HLOOKUP($I$3,$C$11:$G$36,$A$29+1,FALSE)</f>
        <v>12.712732405697125</v>
      </c>
      <c r="L29" s="7">
        <f>$E$29-HLOOKUP($I$3,$C$11:$G$36,$A$29+1,FALSE)</f>
        <v>44.658793831859555</v>
      </c>
      <c r="M29" s="7">
        <f>$F$29-HLOOKUP($I$3,$C$11:$G$36,$A$29+1,FALSE)</f>
        <v>79.914127751526905</v>
      </c>
      <c r="N29" s="7">
        <f>$G$29-HLOOKUP($I$3,$C$11:$G$36,$A$29+1,FALSE)</f>
        <v>22.698791763391625</v>
      </c>
    </row>
    <row r="30" spans="1:14">
      <c r="A30">
        <v>19</v>
      </c>
      <c r="B30" s="3">
        <f>$B$29+($B$4-$B$3)/24</f>
        <v>5.9999999999999993E-3</v>
      </c>
      <c r="C30" s="6">
        <f>_xll.CERTEQ(SimData2!$B$9:$B$108,$B$30,$D$4,$B$6,$B$5, $B$7,$B$8,$B$9)</f>
        <v>488.88065775706303</v>
      </c>
      <c r="D30" s="6">
        <f>_xll.CERTEQ(SimData2!$C$9:$C$108,$B$30,$D$4,$B$6,$B$5, $B$7,$B$8,$B$9)</f>
        <v>501.62629688714077</v>
      </c>
      <c r="E30" s="6">
        <f>_xll.CERTEQ(SimData2!$D$9:$D$108,$B$30,$D$4,$B$6,$B$5, $B$7,$B$8,$B$9)</f>
        <v>533.48549348774986</v>
      </c>
      <c r="F30" s="6">
        <f>_xll.CERTEQ(SimData2!$E$9:$E$108,$B$30,$D$4,$B$6,$B$5, $B$7,$B$8,$B$9)</f>
        <v>568.80245765660311</v>
      </c>
      <c r="G30" s="6">
        <f>_xll.CERTEQ(SimData2!$F$9:$F$108,$B$30,$D$4,$B$6,$B$5, $B$7,$B$8,$B$9)</f>
        <v>511.64209473175902</v>
      </c>
      <c r="I30" s="3">
        <f>$B$30</f>
        <v>5.9999999999999993E-3</v>
      </c>
      <c r="J30" s="7">
        <f>$C$30-HLOOKUP($I$3,$C$11:$G$36,$A$30+1,FALSE)</f>
        <v>0</v>
      </c>
      <c r="K30" s="7">
        <f>$D$30-HLOOKUP($I$3,$C$11:$G$36,$A$30+1,FALSE)</f>
        <v>12.745639130077734</v>
      </c>
      <c r="L30" s="7">
        <f>$E$30-HLOOKUP($I$3,$C$11:$G$36,$A$30+1,FALSE)</f>
        <v>44.60483573068683</v>
      </c>
      <c r="M30" s="7">
        <f>$F$30-HLOOKUP($I$3,$C$11:$G$36,$A$30+1,FALSE)</f>
        <v>79.921799899540076</v>
      </c>
      <c r="N30" s="7">
        <f>$G$30-HLOOKUP($I$3,$C$11:$G$36,$A$30+1,FALSE)</f>
        <v>22.761436974695982</v>
      </c>
    </row>
    <row r="31" spans="1:14">
      <c r="A31">
        <v>20</v>
      </c>
      <c r="B31" s="3">
        <f>$B$30+($B$4-$B$3)/24</f>
        <v>6.3333333333333323E-3</v>
      </c>
      <c r="C31" s="6">
        <f>_xll.CERTEQ(SimData2!$B$9:$B$108,$B$31,$D$4,$B$6,$B$5, $B$7,$B$8,$B$9)</f>
        <v>488.78750982098154</v>
      </c>
      <c r="D31" s="6">
        <f>_xll.CERTEQ(SimData2!$C$9:$C$108,$B$31,$D$4,$B$6,$B$5, $B$7,$B$8,$B$9)</f>
        <v>501.56646756314825</v>
      </c>
      <c r="E31" s="6">
        <f>_xll.CERTEQ(SimData2!$D$9:$D$108,$B$31,$D$4,$B$6,$B$5, $B$7,$B$8,$B$9)</f>
        <v>533.33867702053271</v>
      </c>
      <c r="F31" s="6">
        <f>_xll.CERTEQ(SimData2!$E$9:$E$108,$B$31,$D$4,$B$6,$B$5, $B$7,$B$8,$B$9)</f>
        <v>568.71701128804568</v>
      </c>
      <c r="G31" s="6">
        <f>_xll.CERTEQ(SimData2!$F$9:$F$108,$B$31,$D$4,$B$6,$B$5, $B$7,$B$8,$B$9)</f>
        <v>511.61181354531465</v>
      </c>
      <c r="I31" s="3">
        <f>$B$31</f>
        <v>6.3333333333333323E-3</v>
      </c>
      <c r="J31" s="7">
        <f>$C$31-HLOOKUP($I$3,$C$11:$G$36,$A$31+1,FALSE)</f>
        <v>0</v>
      </c>
      <c r="K31" s="7">
        <f>$D$31-HLOOKUP($I$3,$C$11:$G$36,$A$31+1,FALSE)</f>
        <v>12.77895774216671</v>
      </c>
      <c r="L31" s="7">
        <f>$E$31-HLOOKUP($I$3,$C$11:$G$36,$A$31+1,FALSE)</f>
        <v>44.551167199551173</v>
      </c>
      <c r="M31" s="7">
        <f>$F$31-HLOOKUP($I$3,$C$11:$G$36,$A$31+1,FALSE)</f>
        <v>79.929501467064142</v>
      </c>
      <c r="N31" s="7">
        <f>$G$31-HLOOKUP($I$3,$C$11:$G$36,$A$31+1,FALSE)</f>
        <v>22.824303724333106</v>
      </c>
    </row>
    <row r="32" spans="1:14">
      <c r="A32">
        <v>21</v>
      </c>
      <c r="B32" s="3">
        <f>$B$31+($B$4-$B$3)/24</f>
        <v>6.6666666666666654E-3</v>
      </c>
      <c r="C32" s="6">
        <f>_xll.CERTEQ(SimData2!$B$9:$B$108,$B$32,$D$4,$B$6,$B$5, $B$7,$B$8,$B$9)</f>
        <v>488.69413747949039</v>
      </c>
      <c r="D32" s="6">
        <f>_xll.CERTEQ(SimData2!$C$9:$C$108,$B$32,$D$4,$B$6,$B$5, $B$7,$B$8,$B$9)</f>
        <v>501.50682477366473</v>
      </c>
      <c r="E32" s="6">
        <f>_xll.CERTEQ(SimData2!$D$9:$D$108,$B$32,$D$4,$B$6,$B$5, $B$7,$B$8,$B$9)</f>
        <v>533.19193443639028</v>
      </c>
      <c r="F32" s="6">
        <f>_xll.CERTEQ(SimData2!$E$9:$E$108,$B$32,$D$4,$B$6,$B$5, $B$7,$B$8,$B$9)</f>
        <v>568.63136855531411</v>
      </c>
      <c r="G32" s="6">
        <f>_xll.CERTEQ(SimData2!$F$9:$F$108,$B$32,$D$4,$B$6,$B$5, $B$7,$B$8,$B$9)</f>
        <v>511.58152940308628</v>
      </c>
      <c r="I32" s="3">
        <f>$B$32</f>
        <v>6.6666666666666654E-3</v>
      </c>
      <c r="J32" s="7">
        <f>$C$32-HLOOKUP($I$3,$C$11:$G$36,$A$32+1,FALSE)</f>
        <v>0</v>
      </c>
      <c r="K32" s="7">
        <f>$D$32-HLOOKUP($I$3,$C$11:$G$36,$A$32+1,FALSE)</f>
        <v>12.812687294174339</v>
      </c>
      <c r="L32" s="7">
        <f>$E$32-HLOOKUP($I$3,$C$11:$G$36,$A$32+1,FALSE)</f>
        <v>44.49779695689989</v>
      </c>
      <c r="M32" s="7">
        <f>$F$32-HLOOKUP($I$3,$C$11:$G$36,$A$32+1,FALSE)</f>
        <v>79.937231075823718</v>
      </c>
      <c r="N32" s="7">
        <f>$G$32-HLOOKUP($I$3,$C$11:$G$36,$A$32+1,FALSE)</f>
        <v>22.887391923595885</v>
      </c>
    </row>
    <row r="33" spans="1:14">
      <c r="A33">
        <v>22</v>
      </c>
      <c r="B33" s="3">
        <f>$B$32+($B$4-$B$3)/24</f>
        <v>6.9999999999999984E-3</v>
      </c>
      <c r="C33" s="6">
        <f>_xll.CERTEQ(SimData2!$B$9:$B$108,$B$33,$D$4,$B$6,$B$5, $B$7,$B$8,$B$9)</f>
        <v>488.60054105572601</v>
      </c>
      <c r="D33" s="6">
        <f>_xll.CERTEQ(SimData2!$C$9:$C$108,$B$33,$D$4,$B$6,$B$5, $B$7,$B$8,$B$9)</f>
        <v>501.44736787129477</v>
      </c>
      <c r="E33" s="6">
        <f>_xll.CERTEQ(SimData2!$D$9:$D$108,$B$33,$D$4,$B$6,$B$5, $B$7,$B$8,$B$9)</f>
        <v>533.04527476194482</v>
      </c>
      <c r="F33" s="6">
        <f>_xll.CERTEQ(SimData2!$E$9:$E$108,$B$33,$D$4,$B$6,$B$5, $B$7,$B$8,$B$9)</f>
        <v>568.54552835940012</v>
      </c>
      <c r="G33" s="6">
        <f>_xll.CERTEQ(SimData2!$F$9:$F$108,$B$33,$D$4,$B$6,$B$5, $B$7,$B$8,$B$9)</f>
        <v>511.55124252248652</v>
      </c>
      <c r="I33" s="3">
        <f>$B$33</f>
        <v>6.9999999999999984E-3</v>
      </c>
      <c r="J33" s="7">
        <f>$C$33-HLOOKUP($I$3,$C$11:$G$36,$A$33+1,FALSE)</f>
        <v>0</v>
      </c>
      <c r="K33" s="7">
        <f>$D$33-HLOOKUP($I$3,$C$11:$G$36,$A$33+1,FALSE)</f>
        <v>12.846826815568761</v>
      </c>
      <c r="L33" s="7">
        <f>$E$33-HLOOKUP($I$3,$C$11:$G$36,$A$33+1,FALSE)</f>
        <v>44.444733706218813</v>
      </c>
      <c r="M33" s="7">
        <f>$F$33-HLOOKUP($I$3,$C$11:$G$36,$A$33+1,FALSE)</f>
        <v>79.944987303674111</v>
      </c>
      <c r="N33" s="7">
        <f>$G$33-HLOOKUP($I$3,$C$11:$G$36,$A$33+1,FALSE)</f>
        <v>22.950701466760506</v>
      </c>
    </row>
    <row r="34" spans="1:14">
      <c r="A34">
        <v>23</v>
      </c>
      <c r="B34" s="3">
        <f>$B$33+($B$4-$B$3)/24</f>
        <v>7.3333333333333315E-3</v>
      </c>
      <c r="C34" s="6">
        <f>_xll.CERTEQ(SimData2!$B$9:$B$108,$B$34,$D$4,$B$6,$B$5, $B$7,$B$8,$B$9)</f>
        <v>488.50672089008316</v>
      </c>
      <c r="D34" s="6">
        <f>_xll.CERTEQ(SimData2!$C$9:$C$108,$B$34,$D$4,$B$6,$B$5, $B$7,$B$8,$B$9)</f>
        <v>501.38809620307319</v>
      </c>
      <c r="E34" s="6">
        <f>_xll.CERTEQ(SimData2!$D$9:$D$108,$B$34,$D$4,$B$6,$B$5, $B$7,$B$8,$B$9)</f>
        <v>532.8987070219531</v>
      </c>
      <c r="F34" s="6">
        <f>_xll.CERTEQ(SimData2!$E$9:$E$108,$B$34,$D$4,$B$6,$B$5, $B$7,$B$8,$B$9)</f>
        <v>568.45948957433097</v>
      </c>
      <c r="G34" s="6">
        <f>_xll.CERTEQ(SimData2!$F$9:$F$108,$B$34,$D$4,$B$6,$B$5, $B$7,$B$8,$B$9)</f>
        <v>511.52095312086476</v>
      </c>
      <c r="I34" s="3">
        <f>$B$34</f>
        <v>7.3333333333333315E-3</v>
      </c>
      <c r="J34" s="7">
        <f>$C$34-HLOOKUP($I$3,$C$11:$G$36,$A$34+1,FALSE)</f>
        <v>0</v>
      </c>
      <c r="K34" s="7">
        <f>$D$34-HLOOKUP($I$3,$C$11:$G$36,$A$34+1,FALSE)</f>
        <v>12.881375312990031</v>
      </c>
      <c r="L34" s="7">
        <f>$E$34-HLOOKUP($I$3,$C$11:$G$36,$A$34+1,FALSE)</f>
        <v>44.391986131869942</v>
      </c>
      <c r="M34" s="7">
        <f>$F$34-HLOOKUP($I$3,$C$11:$G$36,$A$34+1,FALSE)</f>
        <v>79.952768684247815</v>
      </c>
      <c r="N34" s="7">
        <f>$G$34-HLOOKUP($I$3,$C$11:$G$36,$A$34+1,FALSE)</f>
        <v>23.014232230781602</v>
      </c>
    </row>
    <row r="35" spans="1:14">
      <c r="A35">
        <v>24</v>
      </c>
      <c r="B35" s="3">
        <f>$B$34+($B$4-$B$3)/24</f>
        <v>7.6666666666666645E-3</v>
      </c>
      <c r="C35" s="6">
        <f>_xll.CERTEQ(SimData2!$B$9:$B$108,$B$35,$D$4,$B$6,$B$5, $B$7,$B$8,$B$9)</f>
        <v>488.41267734050899</v>
      </c>
      <c r="D35" s="6">
        <f>_xll.CERTEQ(SimData2!$C$9:$C$108,$B$35,$D$4,$B$6,$B$5, $B$7,$B$8,$B$9)</f>
        <v>501.32900911067088</v>
      </c>
      <c r="E35" s="6">
        <f>_xll.CERTEQ(SimData2!$D$9:$D$108,$B$35,$D$4,$B$6,$B$5, $B$7,$B$8,$B$9)</f>
        <v>532.75224023544013</v>
      </c>
      <c r="F35" s="6">
        <f>_xll.CERTEQ(SimData2!$E$9:$E$108,$B$35,$D$4,$B$6,$B$5, $B$7,$B$8,$B$9)</f>
        <v>568.37325104712795</v>
      </c>
      <c r="G35" s="6">
        <f>_xll.CERTEQ(SimData2!$F$9:$F$108,$B$35,$D$4,$B$6,$B$5, $B$7,$B$8,$B$9)</f>
        <v>511.49066141549707</v>
      </c>
      <c r="I35" s="3">
        <f>$B$35</f>
        <v>7.6666666666666645E-3</v>
      </c>
      <c r="J35" s="7">
        <f>$C$35-HLOOKUP($I$3,$C$11:$G$36,$A$35+1,FALSE)</f>
        <v>0</v>
      </c>
      <c r="K35" s="7">
        <f>$D$35-HLOOKUP($I$3,$C$11:$G$36,$A$35+1,FALSE)</f>
        <v>12.916331770161889</v>
      </c>
      <c r="L35" s="7">
        <f>$E$35-HLOOKUP($I$3,$C$11:$G$36,$A$35+1,FALSE)</f>
        <v>44.339562894931134</v>
      </c>
      <c r="M35" s="7">
        <f>$F$35-HLOOKUP($I$3,$C$11:$G$36,$A$35+1,FALSE)</f>
        <v>79.960573706618959</v>
      </c>
      <c r="N35" s="7">
        <f>$G$35-HLOOKUP($I$3,$C$11:$G$36,$A$35+1,FALSE)</f>
        <v>23.07798407498808</v>
      </c>
    </row>
    <row r="36" spans="1:14">
      <c r="A36">
        <v>25</v>
      </c>
      <c r="B36" s="3">
        <f>$B$35+($B$4-$B$3)/24</f>
        <v>7.9999999999999984E-3</v>
      </c>
      <c r="C36" s="6">
        <f>_xll.CERTEQ(SimData2!$B$9:$B$108,$B$36,$D$4,$B$6,$B$5, $B$7,$B$8,$B$9)</f>
        <v>488.31841078280007</v>
      </c>
      <c r="D36" s="6">
        <f>_xll.CERTEQ(SimData2!$C$9:$C$108,$B$36,$D$4,$B$6,$B$5, $B$7,$B$8,$B$9)</f>
        <v>501.27010593059885</v>
      </c>
      <c r="E36" s="6">
        <f>_xll.CERTEQ(SimData2!$D$9:$D$108,$B$36,$D$4,$B$6,$B$5, $B$7,$B$8,$B$9)</f>
        <v>532.60588341184052</v>
      </c>
      <c r="F36" s="6">
        <f>_xll.CERTEQ(SimData2!$E$9:$E$108,$B$36,$D$4,$B$6,$B$5, $B$7,$B$8,$B$9)</f>
        <v>568.28681159778125</v>
      </c>
      <c r="G36" s="6">
        <f>_xll.CERTEQ(SimData2!$F$9:$F$108,$B$36,$D$4,$B$6,$B$5, $B$7,$B$8,$B$9)</f>
        <v>511.46036762357727</v>
      </c>
      <c r="I36" s="3">
        <f>$B$36</f>
        <v>7.9999999999999984E-3</v>
      </c>
      <c r="J36" s="7">
        <f>$C$36-HLOOKUP($I$3,$C$11:$G$36,$A$36+1,FALSE)</f>
        <v>0</v>
      </c>
      <c r="K36" s="7">
        <f>$D$36-HLOOKUP($I$3,$C$11:$G$36,$A$36+1,FALSE)</f>
        <v>12.951695147798773</v>
      </c>
      <c r="L36" s="7">
        <f>$E$36-HLOOKUP($I$3,$C$11:$G$36,$A$36+1,FALSE)</f>
        <v>44.287472629040451</v>
      </c>
      <c r="M36" s="7">
        <f>$F$36-HLOOKUP($I$3,$C$11:$G$36,$A$36+1,FALSE)</f>
        <v>79.96840081498118</v>
      </c>
      <c r="N36" s="7">
        <f>$G$36-HLOOKUP($I$3,$C$11:$G$36,$A$36+1,FALSE)</f>
        <v>23.141956840777198</v>
      </c>
    </row>
  </sheetData>
  <phoneticPr fontId="0" type="noConversion"/>
  <conditionalFormatting sqref="A7">
    <cfRule type="expression" dxfId="1" priority="1" stopIfTrue="1">
      <formula>IF(OR($D$4=3,$D$4=4,$D$4=6,$D$4=7),TRUE,FALSE)</formula>
    </cfRule>
  </conditionalFormatting>
  <conditionalFormatting sqref="A8">
    <cfRule type="expression" dxfId="0" priority="2" stopIfTrue="1">
      <formula>IF($D$4=7,TRUE,FALSE)</formula>
    </cfRule>
  </conditionalFormatting>
  <dataValidations count="2">
    <dataValidation type="whole" allowBlank="1" showInputMessage="1" showErrorMessage="1" sqref="D4">
      <formula1>1</formula1>
      <formula2>7</formula2>
    </dataValidation>
    <dataValidation type="list" allowBlank="1" showInputMessage="1" showErrorMessage="1" sqref="I3">
      <formula1>$C$11:$G$11</formula1>
    </dataValidation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SimData1</vt:lpstr>
      <vt:lpstr>SERFTbl1</vt:lpstr>
      <vt:lpstr>SimData2</vt:lpstr>
      <vt:lpstr>SERFTbl2</vt:lpstr>
    </vt:vector>
  </TitlesOfParts>
  <Company>Department of Agricultural Economics at TAMU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2002-11-23T03:50:31Z</cp:lastPrinted>
  <dcterms:created xsi:type="dcterms:W3CDTF">2002-04-20T03:16:29Z</dcterms:created>
  <dcterms:modified xsi:type="dcterms:W3CDTF">2011-02-07T04:28:38Z</dcterms:modified>
</cp:coreProperties>
</file>