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7545" windowHeight="4590"/>
  </bookViews>
  <sheets>
    <sheet name="Sheet1" sheetId="1" r:id="rId1"/>
    <sheet name="SimData" sheetId="4" r:id="rId2"/>
  </sheets>
  <definedNames>
    <definedName name="_xlnm.Print_Area" localSheetId="0">Sheet1!$A$1:$M$73</definedName>
  </definedNames>
  <calcPr calcId="125725"/>
</workbook>
</file>

<file path=xl/calcChain.xml><?xml version="1.0" encoding="utf-8"?>
<calcChain xmlns="http://schemas.openxmlformats.org/spreadsheetml/2006/main">
  <c r="D119" i="4"/>
  <c r="D117"/>
  <c r="D115"/>
  <c r="D113"/>
  <c r="D111"/>
  <c r="D8"/>
  <c r="J7" s="1"/>
  <c r="D7"/>
  <c r="D6"/>
  <c r="D4"/>
  <c r="D3"/>
  <c r="C119"/>
  <c r="C117"/>
  <c r="C115"/>
  <c r="C113"/>
  <c r="C111"/>
  <c r="C8"/>
  <c r="H7" s="1"/>
  <c r="C7"/>
  <c r="C6"/>
  <c r="C4"/>
  <c r="C3"/>
  <c r="C5" s="1"/>
  <c r="B119"/>
  <c r="B117"/>
  <c r="B115"/>
  <c r="B113"/>
  <c r="B111"/>
  <c r="B8"/>
  <c r="F7" s="1"/>
  <c r="B7"/>
  <c r="B6"/>
  <c r="B4"/>
  <c r="B5" s="1"/>
  <c r="B3"/>
  <c r="B56" i="1"/>
  <c r="K9" i="4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9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N995"/>
  <c r="L977"/>
  <c r="L958"/>
  <c r="L939"/>
  <c r="N921"/>
  <c r="N907"/>
  <c r="L893"/>
  <c r="L879"/>
  <c r="P864"/>
  <c r="N850"/>
  <c r="L836"/>
  <c r="L822"/>
  <c r="L808"/>
  <c r="N793"/>
  <c r="N779"/>
  <c r="L770"/>
  <c r="L763"/>
  <c r="P755"/>
  <c r="N748"/>
  <c r="N741"/>
  <c r="N734"/>
  <c r="N727"/>
  <c r="N720"/>
  <c r="L713"/>
  <c r="N706"/>
  <c r="L700"/>
  <c r="N692"/>
  <c r="N686"/>
  <c r="L679"/>
  <c r="P672"/>
  <c r="L666"/>
  <c r="L659"/>
  <c r="P652"/>
  <c r="N647"/>
  <c r="P643"/>
  <c r="N639"/>
  <c r="N634"/>
  <c r="L631"/>
  <c r="L626"/>
  <c r="P621"/>
  <c r="L618"/>
  <c r="N613"/>
  <c r="L609"/>
  <c r="N605"/>
  <c r="P600"/>
  <c r="N596"/>
  <c r="P592"/>
  <c r="N589"/>
  <c r="N586"/>
  <c r="N584"/>
  <c r="L581"/>
  <c r="L578"/>
  <c r="N575"/>
  <c r="N572"/>
  <c r="P569"/>
  <c r="L567"/>
  <c r="L564"/>
  <c r="L561"/>
  <c r="N558"/>
  <c r="N555"/>
  <c r="P552"/>
  <c r="P549"/>
  <c r="L547"/>
  <c r="L545"/>
  <c r="L543"/>
  <c r="P540"/>
  <c r="N538"/>
  <c r="P536"/>
  <c r="L534"/>
  <c r="N532"/>
  <c r="L530"/>
  <c r="L528"/>
  <c r="P525"/>
  <c r="L524"/>
  <c r="N521"/>
  <c r="N519"/>
  <c r="N517"/>
  <c r="L515"/>
  <c r="L513"/>
  <c r="L511"/>
  <c r="P508"/>
  <c r="N508"/>
  <c r="L508"/>
  <c r="D73" i="1"/>
  <c r="D72"/>
  <c r="D71"/>
  <c r="D70"/>
  <c r="D69"/>
  <c r="D68"/>
  <c r="A26"/>
  <c r="A46" s="1"/>
  <c r="A25"/>
  <c r="A45" s="1"/>
  <c r="A38"/>
  <c r="B26"/>
  <c r="F71"/>
  <c r="F72"/>
  <c r="B11"/>
  <c r="B46"/>
  <c r="D59"/>
  <c r="A1"/>
  <c r="B2" i="4"/>
  <c r="F69" i="1"/>
  <c r="F68"/>
  <c r="D19"/>
  <c r="C2" i="4"/>
  <c r="F73" i="1"/>
  <c r="F70"/>
  <c r="D39"/>
  <c r="D2" i="4"/>
  <c r="B59" i="1"/>
  <c r="D26"/>
  <c r="D29"/>
  <c r="M510" i="4" l="1"/>
  <c r="M511" s="1"/>
  <c r="M512" s="1"/>
  <c r="M513" s="1"/>
  <c r="M514" s="1"/>
  <c r="M515" s="1"/>
  <c r="M516" s="1"/>
  <c r="M517" s="1"/>
  <c r="M518" s="1"/>
  <c r="M519" s="1"/>
  <c r="M520" s="1"/>
  <c r="M521" s="1"/>
  <c r="M522" s="1"/>
  <c r="M523" s="1"/>
  <c r="M524" s="1"/>
  <c r="M525" s="1"/>
  <c r="M526" s="1"/>
  <c r="M527" s="1"/>
  <c r="M528" s="1"/>
  <c r="M529" s="1"/>
  <c r="M530" s="1"/>
  <c r="M531" s="1"/>
  <c r="M532" s="1"/>
  <c r="M533" s="1"/>
  <c r="M534" s="1"/>
  <c r="M535" s="1"/>
  <c r="M536" s="1"/>
  <c r="M537" s="1"/>
  <c r="M538" s="1"/>
  <c r="M539" s="1"/>
  <c r="M540" s="1"/>
  <c r="M541" s="1"/>
  <c r="M542" s="1"/>
  <c r="M543" s="1"/>
  <c r="M544" s="1"/>
  <c r="M545" s="1"/>
  <c r="M546" s="1"/>
  <c r="M547" s="1"/>
  <c r="M548" s="1"/>
  <c r="M549" s="1"/>
  <c r="M550" s="1"/>
  <c r="M551" s="1"/>
  <c r="M552" s="1"/>
  <c r="M553" s="1"/>
  <c r="M554" s="1"/>
  <c r="M555" s="1"/>
  <c r="M556" s="1"/>
  <c r="M557" s="1"/>
  <c r="M558" s="1"/>
  <c r="M559" s="1"/>
  <c r="M560" s="1"/>
  <c r="M561" s="1"/>
  <c r="M562" s="1"/>
  <c r="M563" s="1"/>
  <c r="M564" s="1"/>
  <c r="M565" s="1"/>
  <c r="M566" s="1"/>
  <c r="M567" s="1"/>
  <c r="M568" s="1"/>
  <c r="M569" s="1"/>
  <c r="M570" s="1"/>
  <c r="M571" s="1"/>
  <c r="M572" s="1"/>
  <c r="M573" s="1"/>
  <c r="M574" s="1"/>
  <c r="M575" s="1"/>
  <c r="M576" s="1"/>
  <c r="M577" s="1"/>
  <c r="M578" s="1"/>
  <c r="M579" s="1"/>
  <c r="M580" s="1"/>
  <c r="M581" s="1"/>
  <c r="M582" s="1"/>
  <c r="M583" s="1"/>
  <c r="M584" s="1"/>
  <c r="M585" s="1"/>
  <c r="M586" s="1"/>
  <c r="M587" s="1"/>
  <c r="M588" s="1"/>
  <c r="M589" s="1"/>
  <c r="M590" s="1"/>
  <c r="M591" s="1"/>
  <c r="M592" s="1"/>
  <c r="M593" s="1"/>
  <c r="M594" s="1"/>
  <c r="M595" s="1"/>
  <c r="M596" s="1"/>
  <c r="M597" s="1"/>
  <c r="M598" s="1"/>
  <c r="M599" s="1"/>
  <c r="M600" s="1"/>
  <c r="M601" s="1"/>
  <c r="M602" s="1"/>
  <c r="M603" s="1"/>
  <c r="M604" s="1"/>
  <c r="M605" s="1"/>
  <c r="M606" s="1"/>
  <c r="M607" s="1"/>
  <c r="M608" s="1"/>
  <c r="M609" s="1"/>
  <c r="M610" s="1"/>
  <c r="M611" s="1"/>
  <c r="M612" s="1"/>
  <c r="M613" s="1"/>
  <c r="M614" s="1"/>
  <c r="M615" s="1"/>
  <c r="M616" s="1"/>
  <c r="M617" s="1"/>
  <c r="M618" s="1"/>
  <c r="M619" s="1"/>
  <c r="M620" s="1"/>
  <c r="M621" s="1"/>
  <c r="M622" s="1"/>
  <c r="M623" s="1"/>
  <c r="M624" s="1"/>
  <c r="M625" s="1"/>
  <c r="M626" s="1"/>
  <c r="M627" s="1"/>
  <c r="M628" s="1"/>
  <c r="M629" s="1"/>
  <c r="M630" s="1"/>
  <c r="M631" s="1"/>
  <c r="M632" s="1"/>
  <c r="M633" s="1"/>
  <c r="M634" s="1"/>
  <c r="M635" s="1"/>
  <c r="M636" s="1"/>
  <c r="M637" s="1"/>
  <c r="M638" s="1"/>
  <c r="M639" s="1"/>
  <c r="M640" s="1"/>
  <c r="M641" s="1"/>
  <c r="M642" s="1"/>
  <c r="M643" s="1"/>
  <c r="M644" s="1"/>
  <c r="M645" s="1"/>
  <c r="M646" s="1"/>
  <c r="M647" s="1"/>
  <c r="M648" s="1"/>
  <c r="M649" s="1"/>
  <c r="M650" s="1"/>
  <c r="M651" s="1"/>
  <c r="M652" s="1"/>
  <c r="M653" s="1"/>
  <c r="M654" s="1"/>
  <c r="M655" s="1"/>
  <c r="M656" s="1"/>
  <c r="M657" s="1"/>
  <c r="M658" s="1"/>
  <c r="M659" s="1"/>
  <c r="M660" s="1"/>
  <c r="M661" s="1"/>
  <c r="M662" s="1"/>
  <c r="M663" s="1"/>
  <c r="M664" s="1"/>
  <c r="M665" s="1"/>
  <c r="M666" s="1"/>
  <c r="M667" s="1"/>
  <c r="M668" s="1"/>
  <c r="M669" s="1"/>
  <c r="M670" s="1"/>
  <c r="M671" s="1"/>
  <c r="M672" s="1"/>
  <c r="M673" s="1"/>
  <c r="M674" s="1"/>
  <c r="M675" s="1"/>
  <c r="M676" s="1"/>
  <c r="M677" s="1"/>
  <c r="M678" s="1"/>
  <c r="M679" s="1"/>
  <c r="M680" s="1"/>
  <c r="M681" s="1"/>
  <c r="M682" s="1"/>
  <c r="M683" s="1"/>
  <c r="M684" s="1"/>
  <c r="M685" s="1"/>
  <c r="M686" s="1"/>
  <c r="M687" s="1"/>
  <c r="M688" s="1"/>
  <c r="M689" s="1"/>
  <c r="M690" s="1"/>
  <c r="M691" s="1"/>
  <c r="M692" s="1"/>
  <c r="M693" s="1"/>
  <c r="M694" s="1"/>
  <c r="M695" s="1"/>
  <c r="M696" s="1"/>
  <c r="M697" s="1"/>
  <c r="M698" s="1"/>
  <c r="M699" s="1"/>
  <c r="M700" s="1"/>
  <c r="M701" s="1"/>
  <c r="M702" s="1"/>
  <c r="M703" s="1"/>
  <c r="M704" s="1"/>
  <c r="M705" s="1"/>
  <c r="M706" s="1"/>
  <c r="M707" s="1"/>
  <c r="M708" s="1"/>
  <c r="M709" s="1"/>
  <c r="M710" s="1"/>
  <c r="M711" s="1"/>
  <c r="M712" s="1"/>
  <c r="M713" s="1"/>
  <c r="M714" s="1"/>
  <c r="M715" s="1"/>
  <c r="M716" s="1"/>
  <c r="M717" s="1"/>
  <c r="M718" s="1"/>
  <c r="M719" s="1"/>
  <c r="M720" s="1"/>
  <c r="M721" s="1"/>
  <c r="M722" s="1"/>
  <c r="M723" s="1"/>
  <c r="M724" s="1"/>
  <c r="M725" s="1"/>
  <c r="M726" s="1"/>
  <c r="M727" s="1"/>
  <c r="M728" s="1"/>
  <c r="M729" s="1"/>
  <c r="M730" s="1"/>
  <c r="M731" s="1"/>
  <c r="M732" s="1"/>
  <c r="M733" s="1"/>
  <c r="M734" s="1"/>
  <c r="M735" s="1"/>
  <c r="M736" s="1"/>
  <c r="M737" s="1"/>
  <c r="M738" s="1"/>
  <c r="M739" s="1"/>
  <c r="M740" s="1"/>
  <c r="M741" s="1"/>
  <c r="M742" s="1"/>
  <c r="M743" s="1"/>
  <c r="M744" s="1"/>
  <c r="M745" s="1"/>
  <c r="M746" s="1"/>
  <c r="M747" s="1"/>
  <c r="M748" s="1"/>
  <c r="M749" s="1"/>
  <c r="M750" s="1"/>
  <c r="M751" s="1"/>
  <c r="M752" s="1"/>
  <c r="M753" s="1"/>
  <c r="M754" s="1"/>
  <c r="M755" s="1"/>
  <c r="M756" s="1"/>
  <c r="M757" s="1"/>
  <c r="M758" s="1"/>
  <c r="M759" s="1"/>
  <c r="M760" s="1"/>
  <c r="M761" s="1"/>
  <c r="M762" s="1"/>
  <c r="M763" s="1"/>
  <c r="M764" s="1"/>
  <c r="M765" s="1"/>
  <c r="M766" s="1"/>
  <c r="M767" s="1"/>
  <c r="M768" s="1"/>
  <c r="M769" s="1"/>
  <c r="M770" s="1"/>
  <c r="M771" s="1"/>
  <c r="M772" s="1"/>
  <c r="M773" s="1"/>
  <c r="M774" s="1"/>
  <c r="M775" s="1"/>
  <c r="M776" s="1"/>
  <c r="M777" s="1"/>
  <c r="M778" s="1"/>
  <c r="M779" s="1"/>
  <c r="M780" s="1"/>
  <c r="M781" s="1"/>
  <c r="M782" s="1"/>
  <c r="M783" s="1"/>
  <c r="M784" s="1"/>
  <c r="M785" s="1"/>
  <c r="M786" s="1"/>
  <c r="M787" s="1"/>
  <c r="M788" s="1"/>
  <c r="M789" s="1"/>
  <c r="M790" s="1"/>
  <c r="M791" s="1"/>
  <c r="M792" s="1"/>
  <c r="M793" s="1"/>
  <c r="M794" s="1"/>
  <c r="M795" s="1"/>
  <c r="M796" s="1"/>
  <c r="M797" s="1"/>
  <c r="M798" s="1"/>
  <c r="M799" s="1"/>
  <c r="M800" s="1"/>
  <c r="M801" s="1"/>
  <c r="M802" s="1"/>
  <c r="M803" s="1"/>
  <c r="M804" s="1"/>
  <c r="M805" s="1"/>
  <c r="M806" s="1"/>
  <c r="M807" s="1"/>
  <c r="M808" s="1"/>
  <c r="M809" s="1"/>
  <c r="M810" s="1"/>
  <c r="M811" s="1"/>
  <c r="M812" s="1"/>
  <c r="M813" s="1"/>
  <c r="M814" s="1"/>
  <c r="M815" s="1"/>
  <c r="M816" s="1"/>
  <c r="M817" s="1"/>
  <c r="M818" s="1"/>
  <c r="M819" s="1"/>
  <c r="M820" s="1"/>
  <c r="M821" s="1"/>
  <c r="M822" s="1"/>
  <c r="M823" s="1"/>
  <c r="M824" s="1"/>
  <c r="M825" s="1"/>
  <c r="M826" s="1"/>
  <c r="M827" s="1"/>
  <c r="M828" s="1"/>
  <c r="M829" s="1"/>
  <c r="M830" s="1"/>
  <c r="M831" s="1"/>
  <c r="M832" s="1"/>
  <c r="M833" s="1"/>
  <c r="M834" s="1"/>
  <c r="M835" s="1"/>
  <c r="M836" s="1"/>
  <c r="M837" s="1"/>
  <c r="M838" s="1"/>
  <c r="M839" s="1"/>
  <c r="M840" s="1"/>
  <c r="M841" s="1"/>
  <c r="M842" s="1"/>
  <c r="M843" s="1"/>
  <c r="M844" s="1"/>
  <c r="M845" s="1"/>
  <c r="M846" s="1"/>
  <c r="M847" s="1"/>
  <c r="M848" s="1"/>
  <c r="M849" s="1"/>
  <c r="M850" s="1"/>
  <c r="M851" s="1"/>
  <c r="M852" s="1"/>
  <c r="M853" s="1"/>
  <c r="M854" s="1"/>
  <c r="M855" s="1"/>
  <c r="M856" s="1"/>
  <c r="M857" s="1"/>
  <c r="M858" s="1"/>
  <c r="M859" s="1"/>
  <c r="M860" s="1"/>
  <c r="M861" s="1"/>
  <c r="M862" s="1"/>
  <c r="M863" s="1"/>
  <c r="M864" s="1"/>
  <c r="M865" s="1"/>
  <c r="M866" s="1"/>
  <c r="M867" s="1"/>
  <c r="M868" s="1"/>
  <c r="M869" s="1"/>
  <c r="M870" s="1"/>
  <c r="M871" s="1"/>
  <c r="M872" s="1"/>
  <c r="M873" s="1"/>
  <c r="M874" s="1"/>
  <c r="M875" s="1"/>
  <c r="M876" s="1"/>
  <c r="M877" s="1"/>
  <c r="M878" s="1"/>
  <c r="M879" s="1"/>
  <c r="M880" s="1"/>
  <c r="M881" s="1"/>
  <c r="M882" s="1"/>
  <c r="M883" s="1"/>
  <c r="M884" s="1"/>
  <c r="M885" s="1"/>
  <c r="M886" s="1"/>
  <c r="M887" s="1"/>
  <c r="M888" s="1"/>
  <c r="M889" s="1"/>
  <c r="M890" s="1"/>
  <c r="M891" s="1"/>
  <c r="M892" s="1"/>
  <c r="M893" s="1"/>
  <c r="M894" s="1"/>
  <c r="M895" s="1"/>
  <c r="M896" s="1"/>
  <c r="M897" s="1"/>
  <c r="M898" s="1"/>
  <c r="M899" s="1"/>
  <c r="M900" s="1"/>
  <c r="M901" s="1"/>
  <c r="M902" s="1"/>
  <c r="M903" s="1"/>
  <c r="M904" s="1"/>
  <c r="M905" s="1"/>
  <c r="M906" s="1"/>
  <c r="M907" s="1"/>
  <c r="M908" s="1"/>
  <c r="M909" s="1"/>
  <c r="M910" s="1"/>
  <c r="M911" s="1"/>
  <c r="M912" s="1"/>
  <c r="M913" s="1"/>
  <c r="M914" s="1"/>
  <c r="M915" s="1"/>
  <c r="M916" s="1"/>
  <c r="M917" s="1"/>
  <c r="M918" s="1"/>
  <c r="M919" s="1"/>
  <c r="M920" s="1"/>
  <c r="M921" s="1"/>
  <c r="M922" s="1"/>
  <c r="M923" s="1"/>
  <c r="M924" s="1"/>
  <c r="M925" s="1"/>
  <c r="M926" s="1"/>
  <c r="M927" s="1"/>
  <c r="M928" s="1"/>
  <c r="M929" s="1"/>
  <c r="M930" s="1"/>
  <c r="M931" s="1"/>
  <c r="M932" s="1"/>
  <c r="M933" s="1"/>
  <c r="M934" s="1"/>
  <c r="M935" s="1"/>
  <c r="M936" s="1"/>
  <c r="M937" s="1"/>
  <c r="M938" s="1"/>
  <c r="M939" s="1"/>
  <c r="M940" s="1"/>
  <c r="M941" s="1"/>
  <c r="M942" s="1"/>
  <c r="M943" s="1"/>
  <c r="M944" s="1"/>
  <c r="M945" s="1"/>
  <c r="M946" s="1"/>
  <c r="M947" s="1"/>
  <c r="M948" s="1"/>
  <c r="M949" s="1"/>
  <c r="M950" s="1"/>
  <c r="M951" s="1"/>
  <c r="M952" s="1"/>
  <c r="M953" s="1"/>
  <c r="M954" s="1"/>
  <c r="M955" s="1"/>
  <c r="M956" s="1"/>
  <c r="M957" s="1"/>
  <c r="M958" s="1"/>
  <c r="M959" s="1"/>
  <c r="M960" s="1"/>
  <c r="M961" s="1"/>
  <c r="M962" s="1"/>
  <c r="M963" s="1"/>
  <c r="M964" s="1"/>
  <c r="M965" s="1"/>
  <c r="M966" s="1"/>
  <c r="M967" s="1"/>
  <c r="M968" s="1"/>
  <c r="M969" s="1"/>
  <c r="M970" s="1"/>
  <c r="M971" s="1"/>
  <c r="M972" s="1"/>
  <c r="M973" s="1"/>
  <c r="M974" s="1"/>
  <c r="M975" s="1"/>
  <c r="M976" s="1"/>
  <c r="M977" s="1"/>
  <c r="M978" s="1"/>
  <c r="M979" s="1"/>
  <c r="M980" s="1"/>
  <c r="M981" s="1"/>
  <c r="M982" s="1"/>
  <c r="M983" s="1"/>
  <c r="M984" s="1"/>
  <c r="M985" s="1"/>
  <c r="M986" s="1"/>
  <c r="M987" s="1"/>
  <c r="M988" s="1"/>
  <c r="M989" s="1"/>
  <c r="M990" s="1"/>
  <c r="M991" s="1"/>
  <c r="M992" s="1"/>
  <c r="M993" s="1"/>
  <c r="M994" s="1"/>
  <c r="M995" s="1"/>
  <c r="M996" s="1"/>
  <c r="M997" s="1"/>
  <c r="M998" s="1"/>
  <c r="M999" s="1"/>
  <c r="M1000" s="1"/>
  <c r="M1001" s="1"/>
  <c r="M1002" s="1"/>
  <c r="M1003" s="1"/>
  <c r="M1004" s="1"/>
  <c r="M1005" s="1"/>
  <c r="M1006" s="1"/>
  <c r="M1007" s="1"/>
  <c r="M1008" s="1"/>
  <c r="L1001"/>
  <c r="L994"/>
  <c r="L989"/>
  <c r="L987"/>
  <c r="L978"/>
  <c r="L973"/>
  <c r="L963"/>
  <c r="L961"/>
  <c r="L954"/>
  <c r="L949"/>
  <c r="L947"/>
  <c r="L937"/>
  <c r="L930"/>
  <c r="L922"/>
  <c r="L915"/>
  <c r="L913"/>
  <c r="L906"/>
  <c r="L899"/>
  <c r="L897"/>
  <c r="L890"/>
  <c r="L883"/>
  <c r="L881"/>
  <c r="L874"/>
  <c r="L867"/>
  <c r="L865"/>
  <c r="L858"/>
  <c r="L851"/>
  <c r="L849"/>
  <c r="L842"/>
  <c r="L835"/>
  <c r="L833"/>
  <c r="L826"/>
  <c r="L819"/>
  <c r="L817"/>
  <c r="L810"/>
  <c r="L803"/>
  <c r="L801"/>
  <c r="L794"/>
  <c r="L787"/>
  <c r="L785"/>
  <c r="L778"/>
  <c r="L771"/>
  <c r="L769"/>
  <c r="L762"/>
  <c r="L755"/>
  <c r="L753"/>
  <c r="L746"/>
  <c r="L739"/>
  <c r="L737"/>
  <c r="L730"/>
  <c r="L723"/>
  <c r="L721"/>
  <c r="L714"/>
  <c r="L707"/>
  <c r="L704"/>
  <c r="L699"/>
  <c r="L697"/>
  <c r="L695"/>
  <c r="L684"/>
  <c r="L682"/>
  <c r="L680"/>
  <c r="L675"/>
  <c r="L672"/>
  <c r="L667"/>
  <c r="L665"/>
  <c r="L663"/>
  <c r="L652"/>
  <c r="L650"/>
  <c r="L648"/>
  <c r="L643"/>
  <c r="L640"/>
  <c r="L635"/>
  <c r="L632"/>
  <c r="L630"/>
  <c r="L627"/>
  <c r="L624"/>
  <c r="L622"/>
  <c r="L619"/>
  <c r="L616"/>
  <c r="L614"/>
  <c r="L611"/>
  <c r="L608"/>
  <c r="L606"/>
  <c r="L603"/>
  <c r="L600"/>
  <c r="L598"/>
  <c r="L595"/>
  <c r="L592"/>
  <c r="L590"/>
  <c r="L587"/>
  <c r="L584"/>
  <c r="L582"/>
  <c r="L579"/>
  <c r="L576"/>
  <c r="L574"/>
  <c r="L571"/>
  <c r="L568"/>
  <c r="L566"/>
  <c r="L563"/>
  <c r="L560"/>
  <c r="L558"/>
  <c r="L555"/>
  <c r="L552"/>
  <c r="L550"/>
  <c r="L1007"/>
  <c r="L1002"/>
  <c r="L999"/>
  <c r="L997"/>
  <c r="L990"/>
  <c r="L985"/>
  <c r="L983"/>
  <c r="L974"/>
  <c r="L971"/>
  <c r="L966"/>
  <c r="L959"/>
  <c r="L950"/>
  <c r="L945"/>
  <c r="L943"/>
  <c r="L938"/>
  <c r="L935"/>
  <c r="L933"/>
  <c r="L926"/>
  <c r="L924"/>
  <c r="L919"/>
  <c r="L917"/>
  <c r="L912"/>
  <c r="L910"/>
  <c r="L908"/>
  <c r="L903"/>
  <c r="L901"/>
  <c r="L896"/>
  <c r="L894"/>
  <c r="L892"/>
  <c r="L887"/>
  <c r="L885"/>
  <c r="L880"/>
  <c r="L878"/>
  <c r="L876"/>
  <c r="L871"/>
  <c r="L869"/>
  <c r="L864"/>
  <c r="L862"/>
  <c r="L860"/>
  <c r="L855"/>
  <c r="L853"/>
  <c r="L848"/>
  <c r="L846"/>
  <c r="L844"/>
  <c r="L839"/>
  <c r="L837"/>
  <c r="L832"/>
  <c r="L830"/>
  <c r="L828"/>
  <c r="L823"/>
  <c r="L821"/>
  <c r="L816"/>
  <c r="L814"/>
  <c r="L812"/>
  <c r="L807"/>
  <c r="L805"/>
  <c r="L800"/>
  <c r="L798"/>
  <c r="L796"/>
  <c r="L791"/>
  <c r="L789"/>
  <c r="L784"/>
  <c r="L782"/>
  <c r="L780"/>
  <c r="L775"/>
  <c r="L773"/>
  <c r="L768"/>
  <c r="L766"/>
  <c r="L764"/>
  <c r="L759"/>
  <c r="L757"/>
  <c r="L752"/>
  <c r="L750"/>
  <c r="L748"/>
  <c r="L743"/>
  <c r="L741"/>
  <c r="L736"/>
  <c r="L734"/>
  <c r="L732"/>
  <c r="L727"/>
  <c r="L725"/>
  <c r="L720"/>
  <c r="L718"/>
  <c r="L716"/>
  <c r="L711"/>
  <c r="L709"/>
  <c r="L706"/>
  <c r="L703"/>
  <c r="L701"/>
  <c r="L694"/>
  <c r="L692"/>
  <c r="L689"/>
  <c r="L686"/>
  <c r="L677"/>
  <c r="L674"/>
  <c r="L671"/>
  <c r="L669"/>
  <c r="L662"/>
  <c r="L660"/>
  <c r="L657"/>
  <c r="L654"/>
  <c r="L645"/>
  <c r="L642"/>
  <c r="L639"/>
  <c r="L637"/>
  <c r="L629"/>
  <c r="L621"/>
  <c r="L613"/>
  <c r="L605"/>
  <c r="L597"/>
  <c r="L993"/>
  <c r="L979"/>
  <c r="L969"/>
  <c r="L955"/>
  <c r="L946"/>
  <c r="L941"/>
  <c r="L931"/>
  <c r="L923"/>
  <c r="L905"/>
  <c r="L898"/>
  <c r="L891"/>
  <c r="L873"/>
  <c r="L866"/>
  <c r="L859"/>
  <c r="L841"/>
  <c r="L834"/>
  <c r="L827"/>
  <c r="L809"/>
  <c r="L802"/>
  <c r="L795"/>
  <c r="L777"/>
  <c r="L1003"/>
  <c r="L998"/>
  <c r="L975"/>
  <c r="L970"/>
  <c r="L965"/>
  <c r="L951"/>
  <c r="L942"/>
  <c r="L927"/>
  <c r="L920"/>
  <c r="L916"/>
  <c r="L909"/>
  <c r="L902"/>
  <c r="L895"/>
  <c r="L888"/>
  <c r="L884"/>
  <c r="L877"/>
  <c r="L870"/>
  <c r="L863"/>
  <c r="L856"/>
  <c r="L852"/>
  <c r="L845"/>
  <c r="L838"/>
  <c r="L831"/>
  <c r="L824"/>
  <c r="L820"/>
  <c r="L813"/>
  <c r="L806"/>
  <c r="L799"/>
  <c r="L792"/>
  <c r="L788"/>
  <c r="L781"/>
  <c r="L774"/>
  <c r="L767"/>
  <c r="L760"/>
  <c r="L756"/>
  <c r="L749"/>
  <c r="L742"/>
  <c r="L735"/>
  <c r="L728"/>
  <c r="L724"/>
  <c r="L717"/>
  <c r="L710"/>
  <c r="L693"/>
  <c r="L690"/>
  <c r="L687"/>
  <c r="L676"/>
  <c r="L673"/>
  <c r="L670"/>
  <c r="L653"/>
  <c r="L646"/>
  <c r="L633"/>
  <c r="L617"/>
  <c r="L601"/>
  <c r="L588"/>
  <c r="L577"/>
  <c r="L575"/>
  <c r="L573"/>
  <c r="L562"/>
  <c r="L556"/>
  <c r="L541"/>
  <c r="L533"/>
  <c r="L525"/>
  <c r="L517"/>
  <c r="L509"/>
  <c r="L1005"/>
  <c r="L995"/>
  <c r="L986"/>
  <c r="L981"/>
  <c r="L962"/>
  <c r="L957"/>
  <c r="L929"/>
  <c r="L921"/>
  <c r="L914"/>
  <c r="L907"/>
  <c r="L889"/>
  <c r="L882"/>
  <c r="L875"/>
  <c r="L857"/>
  <c r="L850"/>
  <c r="L843"/>
  <c r="L825"/>
  <c r="L818"/>
  <c r="L811"/>
  <c r="L793"/>
  <c r="L786"/>
  <c r="L779"/>
  <c r="L761"/>
  <c r="L754"/>
  <c r="L747"/>
  <c r="L729"/>
  <c r="L722"/>
  <c r="L715"/>
  <c r="L698"/>
  <c r="L691"/>
  <c r="L688"/>
  <c r="L681"/>
  <c r="L668"/>
  <c r="L664"/>
  <c r="N1007"/>
  <c r="N1002"/>
  <c r="N988"/>
  <c r="N983"/>
  <c r="N974"/>
  <c r="N964"/>
  <c r="N959"/>
  <c r="N950"/>
  <c r="N935"/>
  <c r="N926"/>
  <c r="N919"/>
  <c r="N912"/>
  <c r="N908"/>
  <c r="N901"/>
  <c r="N894"/>
  <c r="N887"/>
  <c r="N880"/>
  <c r="N876"/>
  <c r="N869"/>
  <c r="N862"/>
  <c r="N855"/>
  <c r="N848"/>
  <c r="N844"/>
  <c r="N837"/>
  <c r="N830"/>
  <c r="N823"/>
  <c r="N816"/>
  <c r="N812"/>
  <c r="N805"/>
  <c r="N798"/>
  <c r="N791"/>
  <c r="N784"/>
  <c r="N780"/>
  <c r="N999"/>
  <c r="N990"/>
  <c r="N976"/>
  <c r="N971"/>
  <c r="N966"/>
  <c r="N943"/>
  <c r="N938"/>
  <c r="N924"/>
  <c r="N917"/>
  <c r="N910"/>
  <c r="N903"/>
  <c r="N896"/>
  <c r="N892"/>
  <c r="N885"/>
  <c r="N878"/>
  <c r="N871"/>
  <c r="N864"/>
  <c r="N860"/>
  <c r="N853"/>
  <c r="N846"/>
  <c r="N839"/>
  <c r="N832"/>
  <c r="N828"/>
  <c r="N821"/>
  <c r="N814"/>
  <c r="N807"/>
  <c r="N800"/>
  <c r="N796"/>
  <c r="N789"/>
  <c r="N782"/>
  <c r="N775"/>
  <c r="N768"/>
  <c r="N764"/>
  <c r="N757"/>
  <c r="N750"/>
  <c r="N743"/>
  <c r="N736"/>
  <c r="N732"/>
  <c r="N725"/>
  <c r="N718"/>
  <c r="N711"/>
  <c r="N701"/>
  <c r="N694"/>
  <c r="N677"/>
  <c r="N674"/>
  <c r="N671"/>
  <c r="N660"/>
  <c r="N657"/>
  <c r="N654"/>
  <c r="P984"/>
  <c r="P979"/>
  <c r="P965"/>
  <c r="P923"/>
  <c r="P907"/>
  <c r="P891"/>
  <c r="P875"/>
  <c r="P859"/>
  <c r="P843"/>
  <c r="P827"/>
  <c r="P811"/>
  <c r="P795"/>
  <c r="P779"/>
  <c r="P763"/>
  <c r="P747"/>
  <c r="P731"/>
  <c r="P715"/>
  <c r="P700"/>
  <c r="P691"/>
  <c r="P688"/>
  <c r="P668"/>
  <c r="P659"/>
  <c r="P656"/>
  <c r="P636"/>
  <c r="P628"/>
  <c r="P620"/>
  <c r="P612"/>
  <c r="P604"/>
  <c r="P596"/>
  <c r="P588"/>
  <c r="P580"/>
  <c r="P572"/>
  <c r="P564"/>
  <c r="P556"/>
  <c r="P548"/>
  <c r="P975"/>
  <c r="P961"/>
  <c r="P956"/>
  <c r="P920"/>
  <c r="P904"/>
  <c r="P888"/>
  <c r="P872"/>
  <c r="P856"/>
  <c r="P840"/>
  <c r="P824"/>
  <c r="P808"/>
  <c r="P792"/>
  <c r="P776"/>
  <c r="P760"/>
  <c r="P744"/>
  <c r="P728"/>
  <c r="P712"/>
  <c r="P690"/>
  <c r="P687"/>
  <c r="P678"/>
  <c r="P658"/>
  <c r="P655"/>
  <c r="P646"/>
  <c r="P633"/>
  <c r="P625"/>
  <c r="P617"/>
  <c r="P609"/>
  <c r="P601"/>
  <c r="P593"/>
  <c r="P997"/>
  <c r="P915"/>
  <c r="P883"/>
  <c r="P851"/>
  <c r="P819"/>
  <c r="P787"/>
  <c r="P1007"/>
  <c r="P993"/>
  <c r="P988"/>
  <c r="P912"/>
  <c r="P880"/>
  <c r="P848"/>
  <c r="P816"/>
  <c r="P784"/>
  <c r="P752"/>
  <c r="P720"/>
  <c r="P706"/>
  <c r="P703"/>
  <c r="P662"/>
  <c r="P642"/>
  <c r="P639"/>
  <c r="P629"/>
  <c r="P613"/>
  <c r="P597"/>
  <c r="P589"/>
  <c r="P585"/>
  <c r="P568"/>
  <c r="P557"/>
  <c r="P553"/>
  <c r="P545"/>
  <c r="P537"/>
  <c r="P529"/>
  <c r="P521"/>
  <c r="P513"/>
  <c r="P952"/>
  <c r="P947"/>
  <c r="P933"/>
  <c r="P899"/>
  <c r="P867"/>
  <c r="P835"/>
  <c r="P803"/>
  <c r="P771"/>
  <c r="P739"/>
  <c r="P707"/>
  <c r="P704"/>
  <c r="P684"/>
  <c r="L510"/>
  <c r="N514"/>
  <c r="L519"/>
  <c r="L523"/>
  <c r="N527"/>
  <c r="L532"/>
  <c r="L536"/>
  <c r="N540"/>
  <c r="P544"/>
  <c r="L549"/>
  <c r="N554"/>
  <c r="P560"/>
  <c r="P565"/>
  <c r="L572"/>
  <c r="P577"/>
  <c r="L583"/>
  <c r="L589"/>
  <c r="L596"/>
  <c r="L604"/>
  <c r="N612"/>
  <c r="N621"/>
  <c r="N629"/>
  <c r="L638"/>
  <c r="L647"/>
  <c r="N651"/>
  <c r="L658"/>
  <c r="N664"/>
  <c r="P671"/>
  <c r="L678"/>
  <c r="L685"/>
  <c r="N691"/>
  <c r="N698"/>
  <c r="L705"/>
  <c r="L712"/>
  <c r="L719"/>
  <c r="L726"/>
  <c r="L733"/>
  <c r="L740"/>
  <c r="N747"/>
  <c r="N754"/>
  <c r="N761"/>
  <c r="P768"/>
  <c r="L776"/>
  <c r="L790"/>
  <c r="L804"/>
  <c r="N818"/>
  <c r="P832"/>
  <c r="L847"/>
  <c r="L861"/>
  <c r="N875"/>
  <c r="N889"/>
  <c r="L904"/>
  <c r="L918"/>
  <c r="L934"/>
  <c r="L953"/>
  <c r="N972"/>
  <c r="L991"/>
  <c r="P509"/>
  <c r="L512"/>
  <c r="L514"/>
  <c r="N516"/>
  <c r="L518"/>
  <c r="P520"/>
  <c r="N522"/>
  <c r="P524"/>
  <c r="L527"/>
  <c r="L529"/>
  <c r="L531"/>
  <c r="N533"/>
  <c r="N535"/>
  <c r="N537"/>
  <c r="L540"/>
  <c r="P541"/>
  <c r="L544"/>
  <c r="L546"/>
  <c r="N548"/>
  <c r="L551"/>
  <c r="L554"/>
  <c r="L557"/>
  <c r="N559"/>
  <c r="N562"/>
  <c r="N565"/>
  <c r="N568"/>
  <c r="N571"/>
  <c r="P573"/>
  <c r="P576"/>
  <c r="L580"/>
  <c r="N582"/>
  <c r="L585"/>
  <c r="N588"/>
  <c r="L591"/>
  <c r="L594"/>
  <c r="L599"/>
  <c r="N602"/>
  <c r="L607"/>
  <c r="L612"/>
  <c r="N615"/>
  <c r="L620"/>
  <c r="P624"/>
  <c r="N628"/>
  <c r="P632"/>
  <c r="N637"/>
  <c r="L641"/>
  <c r="N645"/>
  <c r="L651"/>
  <c r="L656"/>
  <c r="N662"/>
  <c r="N669"/>
  <c r="P675"/>
  <c r="L683"/>
  <c r="N689"/>
  <c r="L696"/>
  <c r="N703"/>
  <c r="N709"/>
  <c r="N716"/>
  <c r="P723"/>
  <c r="L731"/>
  <c r="L738"/>
  <c r="L745"/>
  <c r="N752"/>
  <c r="N759"/>
  <c r="N766"/>
  <c r="N773"/>
  <c r="N786"/>
  <c r="P800"/>
  <c r="L815"/>
  <c r="L829"/>
  <c r="N843"/>
  <c r="N857"/>
  <c r="L872"/>
  <c r="L886"/>
  <c r="L900"/>
  <c r="N914"/>
  <c r="P929"/>
  <c r="N948"/>
  <c r="L967"/>
  <c r="N986"/>
  <c r="L1006"/>
  <c r="P512"/>
  <c r="P516"/>
  <c r="L521"/>
  <c r="N525"/>
  <c r="N529"/>
  <c r="P533"/>
  <c r="L538"/>
  <c r="L542"/>
  <c r="N546"/>
  <c r="N552"/>
  <c r="N557"/>
  <c r="N563"/>
  <c r="L569"/>
  <c r="N574"/>
  <c r="N580"/>
  <c r="L586"/>
  <c r="N591"/>
  <c r="N599"/>
  <c r="P608"/>
  <c r="P616"/>
  <c r="L625"/>
  <c r="L634"/>
  <c r="N642"/>
  <c r="N509"/>
  <c r="N511"/>
  <c r="N513"/>
  <c r="L516"/>
  <c r="P517"/>
  <c r="L520"/>
  <c r="L522"/>
  <c r="N524"/>
  <c r="L526"/>
  <c r="P528"/>
  <c r="N530"/>
  <c r="P532"/>
  <c r="L535"/>
  <c r="L537"/>
  <c r="L539"/>
  <c r="N541"/>
  <c r="N543"/>
  <c r="N545"/>
  <c r="L548"/>
  <c r="N550"/>
  <c r="L553"/>
  <c r="N556"/>
  <c r="L559"/>
  <c r="P561"/>
  <c r="L565"/>
  <c r="N567"/>
  <c r="L570"/>
  <c r="N573"/>
  <c r="N576"/>
  <c r="N578"/>
  <c r="P581"/>
  <c r="P584"/>
  <c r="N587"/>
  <c r="N590"/>
  <c r="L593"/>
  <c r="N597"/>
  <c r="L602"/>
  <c r="P605"/>
  <c r="L610"/>
  <c r="L615"/>
  <c r="N618"/>
  <c r="L623"/>
  <c r="L628"/>
  <c r="N631"/>
  <c r="L636"/>
  <c r="P640"/>
  <c r="L644"/>
  <c r="L649"/>
  <c r="L655"/>
  <c r="L661"/>
  <c r="N668"/>
  <c r="P674"/>
  <c r="N681"/>
  <c r="N688"/>
  <c r="P694"/>
  <c r="L702"/>
  <c r="L708"/>
  <c r="N715"/>
  <c r="N722"/>
  <c r="N729"/>
  <c r="P736"/>
  <c r="L744"/>
  <c r="L751"/>
  <c r="L758"/>
  <c r="L765"/>
  <c r="L772"/>
  <c r="L783"/>
  <c r="L797"/>
  <c r="N811"/>
  <c r="N825"/>
  <c r="L840"/>
  <c r="L854"/>
  <c r="L868"/>
  <c r="N882"/>
  <c r="P896"/>
  <c r="L911"/>
  <c r="L925"/>
  <c r="P943"/>
  <c r="N962"/>
  <c r="L982"/>
  <c r="N1000"/>
  <c r="N1006"/>
  <c r="N1003"/>
  <c r="N998"/>
  <c r="N996"/>
  <c r="N991"/>
  <c r="N982"/>
  <c r="N975"/>
  <c r="N970"/>
  <c r="N967"/>
  <c r="N958"/>
  <c r="N956"/>
  <c r="N951"/>
  <c r="N944"/>
  <c r="N942"/>
  <c r="N939"/>
  <c r="N934"/>
  <c r="N932"/>
  <c r="N927"/>
  <c r="N925"/>
  <c r="N920"/>
  <c r="N918"/>
  <c r="N916"/>
  <c r="N911"/>
  <c r="N909"/>
  <c r="N904"/>
  <c r="N902"/>
  <c r="N900"/>
  <c r="N895"/>
  <c r="N893"/>
  <c r="N888"/>
  <c r="N886"/>
  <c r="N884"/>
  <c r="N879"/>
  <c r="N877"/>
  <c r="N872"/>
  <c r="N870"/>
  <c r="N868"/>
  <c r="N863"/>
  <c r="N861"/>
  <c r="N856"/>
  <c r="N854"/>
  <c r="N852"/>
  <c r="N847"/>
  <c r="N845"/>
  <c r="N840"/>
  <c r="N838"/>
  <c r="N836"/>
  <c r="N831"/>
  <c r="N829"/>
  <c r="N824"/>
  <c r="N822"/>
  <c r="N820"/>
  <c r="N815"/>
  <c r="N813"/>
  <c r="N808"/>
  <c r="N806"/>
  <c r="N804"/>
  <c r="N799"/>
  <c r="N797"/>
  <c r="N792"/>
  <c r="N790"/>
  <c r="N788"/>
  <c r="N783"/>
  <c r="N781"/>
  <c r="N776"/>
  <c r="N774"/>
  <c r="N772"/>
  <c r="N767"/>
  <c r="N765"/>
  <c r="N760"/>
  <c r="N758"/>
  <c r="N756"/>
  <c r="N751"/>
  <c r="N749"/>
  <c r="N744"/>
  <c r="N742"/>
  <c r="N740"/>
  <c r="N735"/>
  <c r="N733"/>
  <c r="N728"/>
  <c r="N726"/>
  <c r="N724"/>
  <c r="N719"/>
  <c r="N717"/>
  <c r="N712"/>
  <c r="N710"/>
  <c r="N708"/>
  <c r="N705"/>
  <c r="N702"/>
  <c r="N693"/>
  <c r="N690"/>
  <c r="N687"/>
  <c r="N685"/>
  <c r="N678"/>
  <c r="N676"/>
  <c r="N673"/>
  <c r="N670"/>
  <c r="N661"/>
  <c r="N658"/>
  <c r="N655"/>
  <c r="N653"/>
  <c r="N646"/>
  <c r="N644"/>
  <c r="N641"/>
  <c r="N638"/>
  <c r="N633"/>
  <c r="N625"/>
  <c r="N617"/>
  <c r="N609"/>
  <c r="N601"/>
  <c r="N593"/>
  <c r="N585"/>
  <c r="N577"/>
  <c r="N569"/>
  <c r="N561"/>
  <c r="N553"/>
  <c r="N1004"/>
  <c r="N994"/>
  <c r="N992"/>
  <c r="N987"/>
  <c r="N980"/>
  <c r="N978"/>
  <c r="N968"/>
  <c r="N963"/>
  <c r="N954"/>
  <c r="N952"/>
  <c r="N947"/>
  <c r="N940"/>
  <c r="N930"/>
  <c r="N928"/>
  <c r="N922"/>
  <c r="N915"/>
  <c r="N913"/>
  <c r="N906"/>
  <c r="N899"/>
  <c r="N897"/>
  <c r="N890"/>
  <c r="N883"/>
  <c r="N881"/>
  <c r="N874"/>
  <c r="N867"/>
  <c r="N865"/>
  <c r="N858"/>
  <c r="N851"/>
  <c r="N849"/>
  <c r="N842"/>
  <c r="N835"/>
  <c r="N833"/>
  <c r="N826"/>
  <c r="N819"/>
  <c r="N817"/>
  <c r="N810"/>
  <c r="N803"/>
  <c r="N801"/>
  <c r="N794"/>
  <c r="N787"/>
  <c r="N785"/>
  <c r="N778"/>
  <c r="N771"/>
  <c r="N769"/>
  <c r="N762"/>
  <c r="N755"/>
  <c r="N753"/>
  <c r="N746"/>
  <c r="N739"/>
  <c r="N737"/>
  <c r="N730"/>
  <c r="N723"/>
  <c r="N721"/>
  <c r="N714"/>
  <c r="N707"/>
  <c r="N704"/>
  <c r="N699"/>
  <c r="N697"/>
  <c r="N695"/>
  <c r="N684"/>
  <c r="N682"/>
  <c r="N680"/>
  <c r="N675"/>
  <c r="N672"/>
  <c r="N667"/>
  <c r="N665"/>
  <c r="N663"/>
  <c r="N652"/>
  <c r="N650"/>
  <c r="N648"/>
  <c r="N643"/>
  <c r="N640"/>
  <c r="N635"/>
  <c r="N632"/>
  <c r="N630"/>
  <c r="N627"/>
  <c r="N624"/>
  <c r="N622"/>
  <c r="N619"/>
  <c r="N616"/>
  <c r="N614"/>
  <c r="N611"/>
  <c r="N608"/>
  <c r="N606"/>
  <c r="N603"/>
  <c r="N600"/>
  <c r="N598"/>
  <c r="N595"/>
  <c r="D5"/>
  <c r="N510"/>
  <c r="N512"/>
  <c r="N515"/>
  <c r="N518"/>
  <c r="N520"/>
  <c r="N523"/>
  <c r="N526"/>
  <c r="N528"/>
  <c r="N531"/>
  <c r="N534"/>
  <c r="N536"/>
  <c r="N539"/>
  <c r="N542"/>
  <c r="N544"/>
  <c r="N547"/>
  <c r="N549"/>
  <c r="N551"/>
  <c r="N560"/>
  <c r="N564"/>
  <c r="N566"/>
  <c r="N570"/>
  <c r="N579"/>
  <c r="N581"/>
  <c r="N583"/>
  <c r="N592"/>
  <c r="N594"/>
  <c r="N604"/>
  <c r="N607"/>
  <c r="N610"/>
  <c r="N620"/>
  <c r="N623"/>
  <c r="N626"/>
  <c r="N636"/>
  <c r="N649"/>
  <c r="N656"/>
  <c r="N659"/>
  <c r="N666"/>
  <c r="N679"/>
  <c r="N683"/>
  <c r="N696"/>
  <c r="N700"/>
  <c r="N713"/>
  <c r="N731"/>
  <c r="N738"/>
  <c r="N745"/>
  <c r="N763"/>
  <c r="N770"/>
  <c r="N777"/>
  <c r="N795"/>
  <c r="N802"/>
  <c r="N809"/>
  <c r="N827"/>
  <c r="N834"/>
  <c r="N841"/>
  <c r="N859"/>
  <c r="N866"/>
  <c r="N873"/>
  <c r="N891"/>
  <c r="N898"/>
  <c r="N905"/>
  <c r="N923"/>
  <c r="N931"/>
  <c r="N936"/>
  <c r="N946"/>
  <c r="N955"/>
  <c r="N960"/>
  <c r="N979"/>
  <c r="N984"/>
  <c r="B19" i="1"/>
  <c r="B29"/>
  <c r="B39" s="1"/>
  <c r="P1006" i="4"/>
  <c r="P1002"/>
  <c r="P998"/>
  <c r="P994"/>
  <c r="P990"/>
  <c r="P986"/>
  <c r="P982"/>
  <c r="P978"/>
  <c r="P974"/>
  <c r="P970"/>
  <c r="P966"/>
  <c r="P962"/>
  <c r="P958"/>
  <c r="P954"/>
  <c r="P950"/>
  <c r="P946"/>
  <c r="P942"/>
  <c r="P938"/>
  <c r="P934"/>
  <c r="P930"/>
  <c r="P926"/>
  <c r="P1005"/>
  <c r="P1003"/>
  <c r="P996"/>
  <c r="P989"/>
  <c r="P987"/>
  <c r="P980"/>
  <c r="P973"/>
  <c r="P971"/>
  <c r="P964"/>
  <c r="P957"/>
  <c r="P955"/>
  <c r="P948"/>
  <c r="P941"/>
  <c r="P939"/>
  <c r="P932"/>
  <c r="P925"/>
  <c r="P921"/>
  <c r="P917"/>
  <c r="P913"/>
  <c r="P909"/>
  <c r="P905"/>
  <c r="P901"/>
  <c r="P897"/>
  <c r="P893"/>
  <c r="P889"/>
  <c r="P885"/>
  <c r="P881"/>
  <c r="P877"/>
  <c r="P873"/>
  <c r="P869"/>
  <c r="P865"/>
  <c r="P861"/>
  <c r="P857"/>
  <c r="P853"/>
  <c r="P849"/>
  <c r="P845"/>
  <c r="P841"/>
  <c r="P837"/>
  <c r="P833"/>
  <c r="P829"/>
  <c r="P825"/>
  <c r="P821"/>
  <c r="P817"/>
  <c r="P813"/>
  <c r="P809"/>
  <c r="P805"/>
  <c r="P801"/>
  <c r="P797"/>
  <c r="P793"/>
  <c r="P789"/>
  <c r="P785"/>
  <c r="P781"/>
  <c r="P777"/>
  <c r="P773"/>
  <c r="P769"/>
  <c r="P765"/>
  <c r="P761"/>
  <c r="P757"/>
  <c r="P753"/>
  <c r="P749"/>
  <c r="P745"/>
  <c r="P741"/>
  <c r="P737"/>
  <c r="P733"/>
  <c r="P729"/>
  <c r="P725"/>
  <c r="P721"/>
  <c r="P717"/>
  <c r="P713"/>
  <c r="P709"/>
  <c r="P705"/>
  <c r="P701"/>
  <c r="P697"/>
  <c r="P693"/>
  <c r="P689"/>
  <c r="P685"/>
  <c r="P681"/>
  <c r="P677"/>
  <c r="P673"/>
  <c r="P669"/>
  <c r="P665"/>
  <c r="P661"/>
  <c r="P657"/>
  <c r="P653"/>
  <c r="P649"/>
  <c r="P645"/>
  <c r="P641"/>
  <c r="P637"/>
  <c r="P1001"/>
  <c r="P999"/>
  <c r="P992"/>
  <c r="P985"/>
  <c r="P983"/>
  <c r="P976"/>
  <c r="P969"/>
  <c r="P967"/>
  <c r="P960"/>
  <c r="P953"/>
  <c r="P951"/>
  <c r="P944"/>
  <c r="P937"/>
  <c r="P935"/>
  <c r="P928"/>
  <c r="P922"/>
  <c r="P918"/>
  <c r="P914"/>
  <c r="P910"/>
  <c r="P906"/>
  <c r="P902"/>
  <c r="P898"/>
  <c r="P894"/>
  <c r="P890"/>
  <c r="P886"/>
  <c r="P882"/>
  <c r="P878"/>
  <c r="P874"/>
  <c r="P870"/>
  <c r="P866"/>
  <c r="P862"/>
  <c r="P858"/>
  <c r="P854"/>
  <c r="P850"/>
  <c r="P846"/>
  <c r="P842"/>
  <c r="P838"/>
  <c r="P834"/>
  <c r="P830"/>
  <c r="P826"/>
  <c r="P822"/>
  <c r="P818"/>
  <c r="P814"/>
  <c r="P810"/>
  <c r="P806"/>
  <c r="P802"/>
  <c r="P798"/>
  <c r="P794"/>
  <c r="P790"/>
  <c r="P786"/>
  <c r="P782"/>
  <c r="P778"/>
  <c r="P774"/>
  <c r="P770"/>
  <c r="P766"/>
  <c r="P762"/>
  <c r="P758"/>
  <c r="P754"/>
  <c r="P750"/>
  <c r="P746"/>
  <c r="P742"/>
  <c r="P738"/>
  <c r="P734"/>
  <c r="P730"/>
  <c r="P726"/>
  <c r="P722"/>
  <c r="P718"/>
  <c r="P714"/>
  <c r="P710"/>
  <c r="P510"/>
  <c r="P514"/>
  <c r="P518"/>
  <c r="P522"/>
  <c r="P526"/>
  <c r="P530"/>
  <c r="P534"/>
  <c r="P538"/>
  <c r="P542"/>
  <c r="P546"/>
  <c r="P550"/>
  <c r="P554"/>
  <c r="P558"/>
  <c r="P562"/>
  <c r="P566"/>
  <c r="P570"/>
  <c r="P574"/>
  <c r="P578"/>
  <c r="P582"/>
  <c r="P586"/>
  <c r="P590"/>
  <c r="P594"/>
  <c r="P598"/>
  <c r="P602"/>
  <c r="P606"/>
  <c r="P610"/>
  <c r="P614"/>
  <c r="P618"/>
  <c r="P622"/>
  <c r="P626"/>
  <c r="P630"/>
  <c r="P634"/>
  <c r="P644"/>
  <c r="P647"/>
  <c r="P650"/>
  <c r="P660"/>
  <c r="P663"/>
  <c r="P666"/>
  <c r="P676"/>
  <c r="P679"/>
  <c r="P682"/>
  <c r="P692"/>
  <c r="P695"/>
  <c r="P698"/>
  <c r="P708"/>
  <c r="P716"/>
  <c r="P724"/>
  <c r="P732"/>
  <c r="P740"/>
  <c r="P748"/>
  <c r="P756"/>
  <c r="P764"/>
  <c r="P772"/>
  <c r="P780"/>
  <c r="P788"/>
  <c r="P796"/>
  <c r="P804"/>
  <c r="P812"/>
  <c r="P820"/>
  <c r="P828"/>
  <c r="P836"/>
  <c r="P844"/>
  <c r="P852"/>
  <c r="P860"/>
  <c r="P868"/>
  <c r="P876"/>
  <c r="P884"/>
  <c r="P892"/>
  <c r="P900"/>
  <c r="P908"/>
  <c r="P916"/>
  <c r="P924"/>
  <c r="P936"/>
  <c r="P945"/>
  <c r="P949"/>
  <c r="P968"/>
  <c r="P977"/>
  <c r="P981"/>
  <c r="P1000"/>
  <c r="P511"/>
  <c r="P515"/>
  <c r="P519"/>
  <c r="P523"/>
  <c r="P527"/>
  <c r="P531"/>
  <c r="P535"/>
  <c r="P539"/>
  <c r="P543"/>
  <c r="P547"/>
  <c r="P551"/>
  <c r="P555"/>
  <c r="P559"/>
  <c r="P563"/>
  <c r="P567"/>
  <c r="P571"/>
  <c r="P575"/>
  <c r="P579"/>
  <c r="P583"/>
  <c r="P587"/>
  <c r="P591"/>
  <c r="P595"/>
  <c r="P599"/>
  <c r="P603"/>
  <c r="P607"/>
  <c r="P611"/>
  <c r="P615"/>
  <c r="P619"/>
  <c r="P623"/>
  <c r="P627"/>
  <c r="P631"/>
  <c r="P635"/>
  <c r="P638"/>
  <c r="P648"/>
  <c r="P651"/>
  <c r="P654"/>
  <c r="P664"/>
  <c r="P667"/>
  <c r="P670"/>
  <c r="P680"/>
  <c r="P683"/>
  <c r="P686"/>
  <c r="P696"/>
  <c r="P699"/>
  <c r="P702"/>
  <c r="P711"/>
  <c r="P719"/>
  <c r="P727"/>
  <c r="P735"/>
  <c r="P743"/>
  <c r="P751"/>
  <c r="P759"/>
  <c r="P767"/>
  <c r="P775"/>
  <c r="P783"/>
  <c r="P791"/>
  <c r="P799"/>
  <c r="P807"/>
  <c r="P815"/>
  <c r="P823"/>
  <c r="P831"/>
  <c r="P839"/>
  <c r="P847"/>
  <c r="P855"/>
  <c r="P863"/>
  <c r="P871"/>
  <c r="P879"/>
  <c r="P887"/>
  <c r="P895"/>
  <c r="P903"/>
  <c r="P911"/>
  <c r="P919"/>
  <c r="P927"/>
  <c r="P931"/>
  <c r="P940"/>
  <c r="P959"/>
  <c r="P963"/>
  <c r="P972"/>
  <c r="P991"/>
  <c r="P995"/>
  <c r="P1004"/>
  <c r="O510"/>
  <c r="O511" s="1"/>
  <c r="O512" s="1"/>
  <c r="O513" s="1"/>
  <c r="O514" s="1"/>
  <c r="O515" s="1"/>
  <c r="O516" s="1"/>
  <c r="O517" s="1"/>
  <c r="O518" s="1"/>
  <c r="O519" s="1"/>
  <c r="O520" s="1"/>
  <c r="O521" s="1"/>
  <c r="O522" s="1"/>
  <c r="O523" s="1"/>
  <c r="O524" s="1"/>
  <c r="O525" s="1"/>
  <c r="O526" s="1"/>
  <c r="O527" s="1"/>
  <c r="O528" s="1"/>
  <c r="O529" s="1"/>
  <c r="O530" s="1"/>
  <c r="O531" s="1"/>
  <c r="O532" s="1"/>
  <c r="O533" s="1"/>
  <c r="O534" s="1"/>
  <c r="O535" s="1"/>
  <c r="O536" s="1"/>
  <c r="O537" s="1"/>
  <c r="O538" s="1"/>
  <c r="O539" s="1"/>
  <c r="O540" s="1"/>
  <c r="O541" s="1"/>
  <c r="O542" s="1"/>
  <c r="O543" s="1"/>
  <c r="O544" s="1"/>
  <c r="O545" s="1"/>
  <c r="O546" s="1"/>
  <c r="O547" s="1"/>
  <c r="O548" s="1"/>
  <c r="O549" s="1"/>
  <c r="O550" s="1"/>
  <c r="O551" s="1"/>
  <c r="O552" s="1"/>
  <c r="O553" s="1"/>
  <c r="O554" s="1"/>
  <c r="O555" s="1"/>
  <c r="O556" s="1"/>
  <c r="O557" s="1"/>
  <c r="O558" s="1"/>
  <c r="O559" s="1"/>
  <c r="O560" s="1"/>
  <c r="O561" s="1"/>
  <c r="O562" s="1"/>
  <c r="O563" s="1"/>
  <c r="O564" s="1"/>
  <c r="O565" s="1"/>
  <c r="O566" s="1"/>
  <c r="O567" s="1"/>
  <c r="O568" s="1"/>
  <c r="O569" s="1"/>
  <c r="O570" s="1"/>
  <c r="O571" s="1"/>
  <c r="O572" s="1"/>
  <c r="O573" s="1"/>
  <c r="O574" s="1"/>
  <c r="O575" s="1"/>
  <c r="O576" s="1"/>
  <c r="O577" s="1"/>
  <c r="O578" s="1"/>
  <c r="O579" s="1"/>
  <c r="O580" s="1"/>
  <c r="O581" s="1"/>
  <c r="O582" s="1"/>
  <c r="O583" s="1"/>
  <c r="O584" s="1"/>
  <c r="O585" s="1"/>
  <c r="O586" s="1"/>
  <c r="O587" s="1"/>
  <c r="O588" s="1"/>
  <c r="O589" s="1"/>
  <c r="O590" s="1"/>
  <c r="O591" s="1"/>
  <c r="O592" s="1"/>
  <c r="O593" s="1"/>
  <c r="O594" s="1"/>
  <c r="O595" s="1"/>
  <c r="O596" s="1"/>
  <c r="O597" s="1"/>
  <c r="O598" s="1"/>
  <c r="O599" s="1"/>
  <c r="O600" s="1"/>
  <c r="O601" s="1"/>
  <c r="O602" s="1"/>
  <c r="O603" s="1"/>
  <c r="O604" s="1"/>
  <c r="O605" s="1"/>
  <c r="O606" s="1"/>
  <c r="O607" s="1"/>
  <c r="O608" s="1"/>
  <c r="O609" s="1"/>
  <c r="O610" s="1"/>
  <c r="O611" s="1"/>
  <c r="O612" s="1"/>
  <c r="O613" s="1"/>
  <c r="O614" s="1"/>
  <c r="O615" s="1"/>
  <c r="O616" s="1"/>
  <c r="O617" s="1"/>
  <c r="O618" s="1"/>
  <c r="O619" s="1"/>
  <c r="O620" s="1"/>
  <c r="O621" s="1"/>
  <c r="O622" s="1"/>
  <c r="O623" s="1"/>
  <c r="O624" s="1"/>
  <c r="O625" s="1"/>
  <c r="O626" s="1"/>
  <c r="O627" s="1"/>
  <c r="O628" s="1"/>
  <c r="O629" s="1"/>
  <c r="O630" s="1"/>
  <c r="O631" s="1"/>
  <c r="O632" s="1"/>
  <c r="O633" s="1"/>
  <c r="O634" s="1"/>
  <c r="O635" s="1"/>
  <c r="O636" s="1"/>
  <c r="O637" s="1"/>
  <c r="O638" s="1"/>
  <c r="O639" s="1"/>
  <c r="O640" s="1"/>
  <c r="O641" s="1"/>
  <c r="O642" s="1"/>
  <c r="O643" s="1"/>
  <c r="O644" s="1"/>
  <c r="O645" s="1"/>
  <c r="O646" s="1"/>
  <c r="O647" s="1"/>
  <c r="O648" s="1"/>
  <c r="O649" s="1"/>
  <c r="O650" s="1"/>
  <c r="O651" s="1"/>
  <c r="O652" s="1"/>
  <c r="O653" s="1"/>
  <c r="O654" s="1"/>
  <c r="O655" s="1"/>
  <c r="O656" s="1"/>
  <c r="O657" s="1"/>
  <c r="O658" s="1"/>
  <c r="O659" s="1"/>
  <c r="O660" s="1"/>
  <c r="O661" s="1"/>
  <c r="O662" s="1"/>
  <c r="O663" s="1"/>
  <c r="O664" s="1"/>
  <c r="O665" s="1"/>
  <c r="O666" s="1"/>
  <c r="O667" s="1"/>
  <c r="O668" s="1"/>
  <c r="O669" s="1"/>
  <c r="O670" s="1"/>
  <c r="O671" s="1"/>
  <c r="O672" s="1"/>
  <c r="O673" s="1"/>
  <c r="O674" s="1"/>
  <c r="O675" s="1"/>
  <c r="O676" s="1"/>
  <c r="O677" s="1"/>
  <c r="O678" s="1"/>
  <c r="O679" s="1"/>
  <c r="O680" s="1"/>
  <c r="O681" s="1"/>
  <c r="O682" s="1"/>
  <c r="O683" s="1"/>
  <c r="O684" s="1"/>
  <c r="O685" s="1"/>
  <c r="O686" s="1"/>
  <c r="O687" s="1"/>
  <c r="O688" s="1"/>
  <c r="O689" s="1"/>
  <c r="O690" s="1"/>
  <c r="O691" s="1"/>
  <c r="O692" s="1"/>
  <c r="O693" s="1"/>
  <c r="O694" s="1"/>
  <c r="O695" s="1"/>
  <c r="O696" s="1"/>
  <c r="O697" s="1"/>
  <c r="O698" s="1"/>
  <c r="O699" s="1"/>
  <c r="O700" s="1"/>
  <c r="O701" s="1"/>
  <c r="O702" s="1"/>
  <c r="O703" s="1"/>
  <c r="O704" s="1"/>
  <c r="O705" s="1"/>
  <c r="O706" s="1"/>
  <c r="O707" s="1"/>
  <c r="O708" s="1"/>
  <c r="O709" s="1"/>
  <c r="O710" s="1"/>
  <c r="O711" s="1"/>
  <c r="O712" s="1"/>
  <c r="O713" s="1"/>
  <c r="O714" s="1"/>
  <c r="O715" s="1"/>
  <c r="O716" s="1"/>
  <c r="O717" s="1"/>
  <c r="O718" s="1"/>
  <c r="O719" s="1"/>
  <c r="O720" s="1"/>
  <c r="O721" s="1"/>
  <c r="O722" s="1"/>
  <c r="O723" s="1"/>
  <c r="O724" s="1"/>
  <c r="O725" s="1"/>
  <c r="O726" s="1"/>
  <c r="O727" s="1"/>
  <c r="O728" s="1"/>
  <c r="O729" s="1"/>
  <c r="O730" s="1"/>
  <c r="O731" s="1"/>
  <c r="O732" s="1"/>
  <c r="O733" s="1"/>
  <c r="O734" s="1"/>
  <c r="O735" s="1"/>
  <c r="O736" s="1"/>
  <c r="O737" s="1"/>
  <c r="O738" s="1"/>
  <c r="O739" s="1"/>
  <c r="O740" s="1"/>
  <c r="O741" s="1"/>
  <c r="O742" s="1"/>
  <c r="O743" s="1"/>
  <c r="O744" s="1"/>
  <c r="O745" s="1"/>
  <c r="O746" s="1"/>
  <c r="O747" s="1"/>
  <c r="O748" s="1"/>
  <c r="O749" s="1"/>
  <c r="O750" s="1"/>
  <c r="O751" s="1"/>
  <c r="O752" s="1"/>
  <c r="O753" s="1"/>
  <c r="O754" s="1"/>
  <c r="O755" s="1"/>
  <c r="O756" s="1"/>
  <c r="O757" s="1"/>
  <c r="O758" s="1"/>
  <c r="O759" s="1"/>
  <c r="O760" s="1"/>
  <c r="O761" s="1"/>
  <c r="O762" s="1"/>
  <c r="O763" s="1"/>
  <c r="O764" s="1"/>
  <c r="O765" s="1"/>
  <c r="O766" s="1"/>
  <c r="O767" s="1"/>
  <c r="O768" s="1"/>
  <c r="O769" s="1"/>
  <c r="O770" s="1"/>
  <c r="O771" s="1"/>
  <c r="O772" s="1"/>
  <c r="O773" s="1"/>
  <c r="O774" s="1"/>
  <c r="O775" s="1"/>
  <c r="O776" s="1"/>
  <c r="O777" s="1"/>
  <c r="O778" s="1"/>
  <c r="O779" s="1"/>
  <c r="O780" s="1"/>
  <c r="O781" s="1"/>
  <c r="O782" s="1"/>
  <c r="O783" s="1"/>
  <c r="O784" s="1"/>
  <c r="O785" s="1"/>
  <c r="O786" s="1"/>
  <c r="O787" s="1"/>
  <c r="O788" s="1"/>
  <c r="O789" s="1"/>
  <c r="O790" s="1"/>
  <c r="O791" s="1"/>
  <c r="O792" s="1"/>
  <c r="O793" s="1"/>
  <c r="O794" s="1"/>
  <c r="O795" s="1"/>
  <c r="O796" s="1"/>
  <c r="O797" s="1"/>
  <c r="O798" s="1"/>
  <c r="O799" s="1"/>
  <c r="O800" s="1"/>
  <c r="O801" s="1"/>
  <c r="O802" s="1"/>
  <c r="O803" s="1"/>
  <c r="O804" s="1"/>
  <c r="O805" s="1"/>
  <c r="O806" s="1"/>
  <c r="O807" s="1"/>
  <c r="O808" s="1"/>
  <c r="O809" s="1"/>
  <c r="O810" s="1"/>
  <c r="O811" s="1"/>
  <c r="O812" s="1"/>
  <c r="O813" s="1"/>
  <c r="O814" s="1"/>
  <c r="O815" s="1"/>
  <c r="O816" s="1"/>
  <c r="O817" s="1"/>
  <c r="O818" s="1"/>
  <c r="O819" s="1"/>
  <c r="O820" s="1"/>
  <c r="O821" s="1"/>
  <c r="O822" s="1"/>
  <c r="O823" s="1"/>
  <c r="O824" s="1"/>
  <c r="O825" s="1"/>
  <c r="O826" s="1"/>
  <c r="O827" s="1"/>
  <c r="O828" s="1"/>
  <c r="O829" s="1"/>
  <c r="O830" s="1"/>
  <c r="O831" s="1"/>
  <c r="O832" s="1"/>
  <c r="O833" s="1"/>
  <c r="O834" s="1"/>
  <c r="O835" s="1"/>
  <c r="O836" s="1"/>
  <c r="O837" s="1"/>
  <c r="O838" s="1"/>
  <c r="O839" s="1"/>
  <c r="O840" s="1"/>
  <c r="O841" s="1"/>
  <c r="O842" s="1"/>
  <c r="O843" s="1"/>
  <c r="O844" s="1"/>
  <c r="O845" s="1"/>
  <c r="O846" s="1"/>
  <c r="O847" s="1"/>
  <c r="O848" s="1"/>
  <c r="O849" s="1"/>
  <c r="O850" s="1"/>
  <c r="O851" s="1"/>
  <c r="O852" s="1"/>
  <c r="O853" s="1"/>
  <c r="O854" s="1"/>
  <c r="O855" s="1"/>
  <c r="O856" s="1"/>
  <c r="O857" s="1"/>
  <c r="O858" s="1"/>
  <c r="O859" s="1"/>
  <c r="O860" s="1"/>
  <c r="O861" s="1"/>
  <c r="O862" s="1"/>
  <c r="O863" s="1"/>
  <c r="O864" s="1"/>
  <c r="O865" s="1"/>
  <c r="O866" s="1"/>
  <c r="O867" s="1"/>
  <c r="O868" s="1"/>
  <c r="O869" s="1"/>
  <c r="O870" s="1"/>
  <c r="O871" s="1"/>
  <c r="O872" s="1"/>
  <c r="O873" s="1"/>
  <c r="O874" s="1"/>
  <c r="O875" s="1"/>
  <c r="O876" s="1"/>
  <c r="O877" s="1"/>
  <c r="O878" s="1"/>
  <c r="O879" s="1"/>
  <c r="O880" s="1"/>
  <c r="O881" s="1"/>
  <c r="O882" s="1"/>
  <c r="O883" s="1"/>
  <c r="O884" s="1"/>
  <c r="O885" s="1"/>
  <c r="O886" s="1"/>
  <c r="O887" s="1"/>
  <c r="O888" s="1"/>
  <c r="O889" s="1"/>
  <c r="O890" s="1"/>
  <c r="O891" s="1"/>
  <c r="O892" s="1"/>
  <c r="O893" s="1"/>
  <c r="O894" s="1"/>
  <c r="O895" s="1"/>
  <c r="O896" s="1"/>
  <c r="O897" s="1"/>
  <c r="O898" s="1"/>
  <c r="O899" s="1"/>
  <c r="O900" s="1"/>
  <c r="O901" s="1"/>
  <c r="O902" s="1"/>
  <c r="O903" s="1"/>
  <c r="O904" s="1"/>
  <c r="O905" s="1"/>
  <c r="O906" s="1"/>
  <c r="O907" s="1"/>
  <c r="O908" s="1"/>
  <c r="O909" s="1"/>
  <c r="O910" s="1"/>
  <c r="O911" s="1"/>
  <c r="O912" s="1"/>
  <c r="O913" s="1"/>
  <c r="O914" s="1"/>
  <c r="O915" s="1"/>
  <c r="O916" s="1"/>
  <c r="O917" s="1"/>
  <c r="O918" s="1"/>
  <c r="O919" s="1"/>
  <c r="O920" s="1"/>
  <c r="O921" s="1"/>
  <c r="O922" s="1"/>
  <c r="O923" s="1"/>
  <c r="O924" s="1"/>
  <c r="O925" s="1"/>
  <c r="O926" s="1"/>
  <c r="O927" s="1"/>
  <c r="O928" s="1"/>
  <c r="O929" s="1"/>
  <c r="O930" s="1"/>
  <c r="O931" s="1"/>
  <c r="O932" s="1"/>
  <c r="O933" s="1"/>
  <c r="O934" s="1"/>
  <c r="O935" s="1"/>
  <c r="O936" s="1"/>
  <c r="O937" s="1"/>
  <c r="O938" s="1"/>
  <c r="O939" s="1"/>
  <c r="O940" s="1"/>
  <c r="O941" s="1"/>
  <c r="O942" s="1"/>
  <c r="O943" s="1"/>
  <c r="O944" s="1"/>
  <c r="O945" s="1"/>
  <c r="O946" s="1"/>
  <c r="O947" s="1"/>
  <c r="O948" s="1"/>
  <c r="O949" s="1"/>
  <c r="O950" s="1"/>
  <c r="O951" s="1"/>
  <c r="O952" s="1"/>
  <c r="O953" s="1"/>
  <c r="O954" s="1"/>
  <c r="O955" s="1"/>
  <c r="O956" s="1"/>
  <c r="O957" s="1"/>
  <c r="O958" s="1"/>
  <c r="O959" s="1"/>
  <c r="O960" s="1"/>
  <c r="O961" s="1"/>
  <c r="O962" s="1"/>
  <c r="O963" s="1"/>
  <c r="O964" s="1"/>
  <c r="O965" s="1"/>
  <c r="O966" s="1"/>
  <c r="O967" s="1"/>
  <c r="O968" s="1"/>
  <c r="O969" s="1"/>
  <c r="O970" s="1"/>
  <c r="O971" s="1"/>
  <c r="O972" s="1"/>
  <c r="O973" s="1"/>
  <c r="O974" s="1"/>
  <c r="O975" s="1"/>
  <c r="O976" s="1"/>
  <c r="O977" s="1"/>
  <c r="O978" s="1"/>
  <c r="O979" s="1"/>
  <c r="O980" s="1"/>
  <c r="O981" s="1"/>
  <c r="O982" s="1"/>
  <c r="O983" s="1"/>
  <c r="O984" s="1"/>
  <c r="O985" s="1"/>
  <c r="O986" s="1"/>
  <c r="O987" s="1"/>
  <c r="O988" s="1"/>
  <c r="O989" s="1"/>
  <c r="O990" s="1"/>
  <c r="O991" s="1"/>
  <c r="O992" s="1"/>
  <c r="O993" s="1"/>
  <c r="O994" s="1"/>
  <c r="O995" s="1"/>
  <c r="O996" s="1"/>
  <c r="O997" s="1"/>
  <c r="O998" s="1"/>
  <c r="O999" s="1"/>
  <c r="O1000" s="1"/>
  <c r="O1001" s="1"/>
  <c r="O1002" s="1"/>
  <c r="O1003" s="1"/>
  <c r="O1004" s="1"/>
  <c r="O1005" s="1"/>
  <c r="O1006" s="1"/>
  <c r="O1007" s="1"/>
  <c r="O1008" s="1"/>
  <c r="N1008"/>
  <c r="N1005"/>
  <c r="N1001"/>
  <c r="N997"/>
  <c r="N993"/>
  <c r="N989"/>
  <c r="N985"/>
  <c r="N981"/>
  <c r="N977"/>
  <c r="N973"/>
  <c r="N969"/>
  <c r="N965"/>
  <c r="N961"/>
  <c r="N957"/>
  <c r="N953"/>
  <c r="N949"/>
  <c r="N945"/>
  <c r="N941"/>
  <c r="N937"/>
  <c r="N933"/>
  <c r="N929"/>
  <c r="L1008"/>
  <c r="L1004"/>
  <c r="L1000"/>
  <c r="L996"/>
  <c r="L992"/>
  <c r="L988"/>
  <c r="L984"/>
  <c r="L980"/>
  <c r="L976"/>
  <c r="L972"/>
  <c r="L968"/>
  <c r="L964"/>
  <c r="L960"/>
  <c r="L956"/>
  <c r="L952"/>
  <c r="L948"/>
  <c r="L944"/>
  <c r="L940"/>
  <c r="L936"/>
  <c r="L932"/>
  <c r="L928"/>
  <c r="P1008"/>
  <c r="Q510"/>
  <c r="Q511" s="1"/>
  <c r="Q512" s="1"/>
  <c r="Q513" s="1"/>
  <c r="Q514" s="1"/>
  <c r="Q515" s="1"/>
  <c r="Q516" s="1"/>
  <c r="Q517" s="1"/>
  <c r="Q518" s="1"/>
  <c r="Q519" s="1"/>
  <c r="Q520" s="1"/>
  <c r="Q521" s="1"/>
  <c r="Q522" s="1"/>
  <c r="Q523" s="1"/>
  <c r="Q524" s="1"/>
  <c r="Q525" s="1"/>
  <c r="Q526" s="1"/>
  <c r="Q527" s="1"/>
  <c r="Q528" s="1"/>
  <c r="Q529" s="1"/>
  <c r="Q530" s="1"/>
  <c r="Q531" s="1"/>
  <c r="Q532" s="1"/>
  <c r="Q533" s="1"/>
  <c r="Q534" s="1"/>
  <c r="Q535" s="1"/>
  <c r="Q536" s="1"/>
  <c r="Q537" s="1"/>
  <c r="Q538" s="1"/>
  <c r="Q539" s="1"/>
  <c r="Q540" s="1"/>
  <c r="Q541" s="1"/>
  <c r="Q542" s="1"/>
  <c r="Q543" s="1"/>
  <c r="Q544" s="1"/>
  <c r="Q545" s="1"/>
  <c r="Q546" s="1"/>
  <c r="Q547" s="1"/>
  <c r="Q548" s="1"/>
  <c r="Q549" s="1"/>
  <c r="Q550" s="1"/>
  <c r="Q551" s="1"/>
  <c r="Q552" s="1"/>
  <c r="Q553" s="1"/>
  <c r="Q554" s="1"/>
  <c r="Q555" s="1"/>
  <c r="Q556" s="1"/>
  <c r="Q557" s="1"/>
  <c r="Q558" s="1"/>
  <c r="Q559" s="1"/>
  <c r="Q560" s="1"/>
  <c r="Q561" s="1"/>
  <c r="Q562" s="1"/>
  <c r="Q563" s="1"/>
  <c r="Q564" s="1"/>
  <c r="Q565" s="1"/>
  <c r="Q566" s="1"/>
  <c r="Q567" s="1"/>
  <c r="Q568" s="1"/>
  <c r="Q569" s="1"/>
  <c r="Q570" s="1"/>
  <c r="Q571" s="1"/>
  <c r="Q572" s="1"/>
  <c r="Q573" s="1"/>
  <c r="Q574" s="1"/>
  <c r="Q575" s="1"/>
  <c r="Q576" s="1"/>
  <c r="Q577" s="1"/>
  <c r="Q578" s="1"/>
  <c r="Q579" s="1"/>
  <c r="Q580" s="1"/>
  <c r="Q581" s="1"/>
  <c r="Q582" s="1"/>
  <c r="Q583" s="1"/>
  <c r="Q584" s="1"/>
  <c r="Q585" s="1"/>
  <c r="Q586" s="1"/>
  <c r="Q587" s="1"/>
  <c r="Q588" s="1"/>
  <c r="Q589" s="1"/>
  <c r="Q590" s="1"/>
  <c r="Q591" s="1"/>
  <c r="Q592" s="1"/>
  <c r="Q593" s="1"/>
  <c r="Q594" s="1"/>
  <c r="Q595" s="1"/>
  <c r="Q596" s="1"/>
  <c r="Q597" s="1"/>
  <c r="Q598" s="1"/>
  <c r="Q599" s="1"/>
  <c r="Q600" s="1"/>
  <c r="Q601" s="1"/>
  <c r="Q602" s="1"/>
  <c r="Q603" s="1"/>
  <c r="Q604" s="1"/>
  <c r="Q605" s="1"/>
  <c r="Q606" s="1"/>
  <c r="Q607" s="1"/>
  <c r="Q608" s="1"/>
  <c r="Q609" s="1"/>
  <c r="Q610" s="1"/>
  <c r="Q611" s="1"/>
  <c r="Q612" s="1"/>
  <c r="Q613" s="1"/>
  <c r="Q614" s="1"/>
  <c r="Q615" s="1"/>
  <c r="Q616" s="1"/>
  <c r="Q617" s="1"/>
  <c r="Q618" s="1"/>
  <c r="Q619" s="1"/>
  <c r="Q620" s="1"/>
  <c r="Q621" s="1"/>
  <c r="Q622" s="1"/>
  <c r="Q623" s="1"/>
  <c r="Q624" s="1"/>
  <c r="Q625" s="1"/>
  <c r="Q626" s="1"/>
  <c r="Q627" s="1"/>
  <c r="Q628" s="1"/>
  <c r="Q629" s="1"/>
  <c r="Q630" s="1"/>
  <c r="Q631" s="1"/>
  <c r="Q632" s="1"/>
  <c r="Q633" s="1"/>
  <c r="Q634" s="1"/>
  <c r="Q635" s="1"/>
  <c r="Q636" s="1"/>
  <c r="Q637" s="1"/>
  <c r="Q638" s="1"/>
  <c r="Q639" s="1"/>
  <c r="Q640" s="1"/>
  <c r="Q641" s="1"/>
  <c r="Q642" s="1"/>
  <c r="Q643" s="1"/>
  <c r="Q644" s="1"/>
  <c r="Q645" s="1"/>
  <c r="Q646" s="1"/>
  <c r="Q647" s="1"/>
  <c r="Q648" s="1"/>
  <c r="Q649" s="1"/>
  <c r="Q650" s="1"/>
  <c r="Q651" s="1"/>
  <c r="Q652" s="1"/>
  <c r="Q653" s="1"/>
  <c r="Q654" s="1"/>
  <c r="Q655" s="1"/>
  <c r="Q656" s="1"/>
  <c r="Q657" s="1"/>
  <c r="Q658" s="1"/>
  <c r="Q659" s="1"/>
  <c r="Q660" s="1"/>
  <c r="Q661" s="1"/>
  <c r="Q662" s="1"/>
  <c r="Q663" s="1"/>
  <c r="Q664" s="1"/>
  <c r="Q665" s="1"/>
  <c r="Q666" s="1"/>
  <c r="Q667" s="1"/>
  <c r="Q668" s="1"/>
  <c r="Q669" s="1"/>
  <c r="Q670" s="1"/>
  <c r="Q671" s="1"/>
  <c r="Q672" s="1"/>
  <c r="Q673" s="1"/>
  <c r="Q674" s="1"/>
  <c r="Q675" s="1"/>
  <c r="Q676" s="1"/>
  <c r="Q677" s="1"/>
  <c r="Q678" s="1"/>
  <c r="Q679" s="1"/>
  <c r="Q680" s="1"/>
  <c r="Q681" s="1"/>
  <c r="Q682" s="1"/>
  <c r="Q683" s="1"/>
  <c r="Q684" s="1"/>
  <c r="Q685" s="1"/>
  <c r="Q686" s="1"/>
  <c r="Q687" s="1"/>
  <c r="Q688" s="1"/>
  <c r="Q689" s="1"/>
  <c r="Q690" s="1"/>
  <c r="Q691" s="1"/>
  <c r="Q692" s="1"/>
  <c r="Q693" s="1"/>
  <c r="Q694" s="1"/>
  <c r="Q695" s="1"/>
  <c r="Q696" s="1"/>
  <c r="Q697" s="1"/>
  <c r="Q698" s="1"/>
  <c r="Q699" s="1"/>
  <c r="Q700" s="1"/>
  <c r="Q701" s="1"/>
  <c r="Q702" s="1"/>
  <c r="Q703" s="1"/>
  <c r="Q704" s="1"/>
  <c r="Q705" s="1"/>
  <c r="Q706" s="1"/>
  <c r="Q707" s="1"/>
  <c r="Q708" s="1"/>
  <c r="Q709" s="1"/>
  <c r="Q710" s="1"/>
  <c r="Q711" s="1"/>
  <c r="Q712" s="1"/>
  <c r="Q713" s="1"/>
  <c r="Q714" s="1"/>
  <c r="Q715" s="1"/>
  <c r="Q716" s="1"/>
  <c r="Q717" s="1"/>
  <c r="Q718" s="1"/>
  <c r="Q719" s="1"/>
  <c r="Q720" s="1"/>
  <c r="Q721" s="1"/>
  <c r="Q722" s="1"/>
  <c r="Q723" s="1"/>
  <c r="Q724" s="1"/>
  <c r="Q725" s="1"/>
  <c r="Q726" s="1"/>
  <c r="Q727" s="1"/>
  <c r="Q728" s="1"/>
  <c r="Q729" s="1"/>
  <c r="Q730" s="1"/>
  <c r="Q731" s="1"/>
  <c r="Q732" s="1"/>
  <c r="Q733" s="1"/>
  <c r="Q734" s="1"/>
  <c r="Q735" s="1"/>
  <c r="Q736" s="1"/>
  <c r="Q737" s="1"/>
  <c r="Q738" s="1"/>
  <c r="Q739" s="1"/>
  <c r="Q740" s="1"/>
  <c r="Q741" s="1"/>
  <c r="Q742" s="1"/>
  <c r="Q743" s="1"/>
  <c r="Q744" s="1"/>
  <c r="Q745" s="1"/>
  <c r="Q746" s="1"/>
  <c r="Q747" s="1"/>
  <c r="Q748" s="1"/>
  <c r="Q749" s="1"/>
  <c r="Q750" s="1"/>
  <c r="Q751" s="1"/>
  <c r="Q752" s="1"/>
  <c r="Q753" s="1"/>
  <c r="Q754" s="1"/>
  <c r="Q755" s="1"/>
  <c r="Q756" s="1"/>
  <c r="Q757" s="1"/>
  <c r="Q758" s="1"/>
  <c r="Q759" s="1"/>
  <c r="Q760" s="1"/>
  <c r="Q761" s="1"/>
  <c r="Q762" s="1"/>
  <c r="Q763" s="1"/>
  <c r="Q764" s="1"/>
  <c r="Q765" s="1"/>
  <c r="Q766" s="1"/>
  <c r="Q767" s="1"/>
  <c r="Q768" s="1"/>
  <c r="Q769" s="1"/>
  <c r="Q770" s="1"/>
  <c r="Q771" s="1"/>
  <c r="Q772" s="1"/>
  <c r="Q773" s="1"/>
  <c r="Q774" s="1"/>
  <c r="Q775" s="1"/>
  <c r="Q776" s="1"/>
  <c r="Q777" s="1"/>
  <c r="Q778" s="1"/>
  <c r="Q779" s="1"/>
  <c r="Q780" s="1"/>
  <c r="Q781" s="1"/>
  <c r="Q782" s="1"/>
  <c r="Q783" s="1"/>
  <c r="Q784" s="1"/>
  <c r="Q785" s="1"/>
  <c r="Q786" s="1"/>
  <c r="Q787" s="1"/>
  <c r="Q788" s="1"/>
  <c r="Q789" s="1"/>
  <c r="Q790" s="1"/>
  <c r="Q791" s="1"/>
  <c r="Q792" s="1"/>
  <c r="Q793" s="1"/>
  <c r="Q794" s="1"/>
  <c r="Q795" s="1"/>
  <c r="Q796" s="1"/>
  <c r="Q797" s="1"/>
  <c r="Q798" s="1"/>
  <c r="Q799" s="1"/>
  <c r="Q800" s="1"/>
  <c r="Q801" s="1"/>
  <c r="Q802" s="1"/>
  <c r="Q803" s="1"/>
  <c r="Q804" s="1"/>
  <c r="Q805" s="1"/>
  <c r="Q806" s="1"/>
  <c r="Q807" s="1"/>
  <c r="Q808" s="1"/>
  <c r="Q809" s="1"/>
  <c r="Q810" s="1"/>
  <c r="Q811" s="1"/>
  <c r="Q812" s="1"/>
  <c r="Q813" s="1"/>
  <c r="Q814" s="1"/>
  <c r="Q815" s="1"/>
  <c r="Q816" s="1"/>
  <c r="Q817" s="1"/>
  <c r="Q818" s="1"/>
  <c r="Q819" s="1"/>
  <c r="Q820" s="1"/>
  <c r="Q821" s="1"/>
  <c r="Q822" s="1"/>
  <c r="Q823" s="1"/>
  <c r="Q824" s="1"/>
  <c r="Q825" s="1"/>
  <c r="Q826" s="1"/>
  <c r="Q827" s="1"/>
  <c r="Q828" s="1"/>
  <c r="Q829" s="1"/>
  <c r="Q830" s="1"/>
  <c r="Q831" s="1"/>
  <c r="Q832" s="1"/>
  <c r="Q833" s="1"/>
  <c r="Q834" s="1"/>
  <c r="Q835" s="1"/>
  <c r="Q836" s="1"/>
  <c r="Q837" s="1"/>
  <c r="Q838" s="1"/>
  <c r="Q839" s="1"/>
  <c r="Q840" s="1"/>
  <c r="Q841" s="1"/>
  <c r="Q842" s="1"/>
  <c r="Q843" s="1"/>
  <c r="Q844" s="1"/>
  <c r="Q845" s="1"/>
  <c r="Q846" s="1"/>
  <c r="Q847" s="1"/>
  <c r="Q848" s="1"/>
  <c r="Q849" s="1"/>
  <c r="Q850" s="1"/>
  <c r="Q851" s="1"/>
  <c r="Q852" s="1"/>
  <c r="Q853" s="1"/>
  <c r="Q854" s="1"/>
  <c r="Q855" s="1"/>
  <c r="Q856" s="1"/>
  <c r="Q857" s="1"/>
  <c r="Q858" s="1"/>
  <c r="Q859" s="1"/>
  <c r="Q860" s="1"/>
  <c r="Q861" s="1"/>
  <c r="Q862" s="1"/>
  <c r="Q863" s="1"/>
  <c r="Q864" s="1"/>
  <c r="Q865" s="1"/>
  <c r="Q866" s="1"/>
  <c r="Q867" s="1"/>
  <c r="Q868" s="1"/>
  <c r="Q869" s="1"/>
  <c r="Q870" s="1"/>
  <c r="Q871" s="1"/>
  <c r="Q872" s="1"/>
  <c r="Q873" s="1"/>
  <c r="Q874" s="1"/>
  <c r="Q875" s="1"/>
  <c r="Q876" s="1"/>
  <c r="Q877" s="1"/>
  <c r="Q878" s="1"/>
  <c r="Q879" s="1"/>
  <c r="Q880" s="1"/>
  <c r="Q881" s="1"/>
  <c r="Q882" s="1"/>
  <c r="Q883" s="1"/>
  <c r="Q884" s="1"/>
  <c r="Q885" s="1"/>
  <c r="Q886" s="1"/>
  <c r="Q887" s="1"/>
  <c r="Q888" s="1"/>
  <c r="Q889" s="1"/>
  <c r="Q890" s="1"/>
  <c r="Q891" s="1"/>
  <c r="Q892" s="1"/>
  <c r="Q893" s="1"/>
  <c r="Q894" s="1"/>
  <c r="Q895" s="1"/>
  <c r="Q896" s="1"/>
  <c r="Q897" s="1"/>
  <c r="Q898" s="1"/>
  <c r="Q899" s="1"/>
  <c r="Q900" s="1"/>
  <c r="Q901" s="1"/>
  <c r="Q902" s="1"/>
  <c r="Q903" s="1"/>
  <c r="Q904" s="1"/>
  <c r="Q905" s="1"/>
  <c r="Q906" s="1"/>
  <c r="Q907" s="1"/>
  <c r="Q908" s="1"/>
  <c r="Q909" s="1"/>
  <c r="Q910" s="1"/>
  <c r="Q911" s="1"/>
  <c r="Q912" s="1"/>
  <c r="Q913" s="1"/>
  <c r="Q914" s="1"/>
  <c r="Q915" s="1"/>
  <c r="Q916" s="1"/>
  <c r="Q917" s="1"/>
  <c r="Q918" s="1"/>
  <c r="Q919" s="1"/>
  <c r="Q920" s="1"/>
  <c r="Q921" s="1"/>
  <c r="Q922" s="1"/>
  <c r="Q923" s="1"/>
  <c r="Q924" s="1"/>
  <c r="Q925" s="1"/>
  <c r="Q926" s="1"/>
  <c r="Q927" s="1"/>
  <c r="Q928" s="1"/>
  <c r="Q929" s="1"/>
  <c r="Q930" s="1"/>
  <c r="Q931" s="1"/>
  <c r="Q932" s="1"/>
  <c r="Q933" s="1"/>
  <c r="Q934" s="1"/>
  <c r="Q935" s="1"/>
  <c r="Q936" s="1"/>
  <c r="Q937" s="1"/>
  <c r="Q938" s="1"/>
  <c r="Q939" s="1"/>
  <c r="Q940" s="1"/>
  <c r="Q941" s="1"/>
  <c r="Q942" s="1"/>
  <c r="Q943" s="1"/>
  <c r="Q944" s="1"/>
  <c r="Q945" s="1"/>
  <c r="Q946" s="1"/>
  <c r="Q947" s="1"/>
  <c r="Q948" s="1"/>
  <c r="Q949" s="1"/>
  <c r="Q950" s="1"/>
  <c r="Q951" s="1"/>
  <c r="Q952" s="1"/>
  <c r="Q953" s="1"/>
  <c r="Q954" s="1"/>
  <c r="Q955" s="1"/>
  <c r="Q956" s="1"/>
  <c r="Q957" s="1"/>
  <c r="Q958" s="1"/>
  <c r="Q959" s="1"/>
  <c r="Q960" s="1"/>
  <c r="Q961" s="1"/>
  <c r="Q962" s="1"/>
  <c r="Q963" s="1"/>
  <c r="Q964" s="1"/>
  <c r="Q965" s="1"/>
  <c r="Q966" s="1"/>
  <c r="Q967" s="1"/>
  <c r="Q968" s="1"/>
  <c r="Q969" s="1"/>
  <c r="Q970" s="1"/>
  <c r="Q971" s="1"/>
  <c r="Q972" s="1"/>
  <c r="Q973" s="1"/>
  <c r="Q974" s="1"/>
  <c r="Q975" s="1"/>
  <c r="Q976" s="1"/>
  <c r="Q977" s="1"/>
  <c r="Q978" s="1"/>
  <c r="Q979" s="1"/>
  <c r="Q980" s="1"/>
  <c r="Q981" s="1"/>
  <c r="Q982" s="1"/>
  <c r="Q983" s="1"/>
  <c r="Q984" s="1"/>
  <c r="Q985" s="1"/>
  <c r="Q986" s="1"/>
  <c r="Q987" s="1"/>
  <c r="Q988" s="1"/>
  <c r="Q989" s="1"/>
  <c r="Q990" s="1"/>
  <c r="Q991" s="1"/>
  <c r="Q992" s="1"/>
  <c r="Q993" s="1"/>
  <c r="Q994" s="1"/>
  <c r="Q995" s="1"/>
  <c r="Q996" s="1"/>
  <c r="Q997" s="1"/>
  <c r="Q998" s="1"/>
  <c r="Q999" s="1"/>
  <c r="Q1000" s="1"/>
  <c r="Q1001" s="1"/>
  <c r="Q1002" s="1"/>
  <c r="Q1003" s="1"/>
  <c r="Q1004" s="1"/>
  <c r="Q1005" s="1"/>
  <c r="Q1006" s="1"/>
  <c r="Q1007" s="1"/>
  <c r="Q1008" s="1"/>
</calcChain>
</file>

<file path=xl/sharedStrings.xml><?xml version="1.0" encoding="utf-8"?>
<sst xmlns="http://schemas.openxmlformats.org/spreadsheetml/2006/main" count="66" uniqueCount="61">
  <si>
    <t>James W. Richardson</t>
  </si>
  <si>
    <t>Demonstrate how the Inverse Transform procedure is used to simulate selected distributions.</t>
  </si>
  <si>
    <t>Uniform Distribution</t>
  </si>
  <si>
    <t>Step 1.  Simulate a Uniform Standard Deviate (USD) ~ U(0,1)</t>
  </si>
  <si>
    <t xml:space="preserve">USD </t>
  </si>
  <si>
    <t>X = Min + (Max - Min) * USD</t>
  </si>
  <si>
    <t xml:space="preserve">Let min = </t>
  </si>
  <si>
    <t xml:space="preserve">Let Max = </t>
  </si>
  <si>
    <t>Step 3. Solve the equation using random values for the USD.</t>
  </si>
  <si>
    <t>Press F9 to sample the U(0,1) for alternative realizations of USD.</t>
  </si>
  <si>
    <t>Normal Distribution</t>
  </si>
  <si>
    <t>SND</t>
  </si>
  <si>
    <t>Let Mean =</t>
  </si>
  <si>
    <t>X = Mean + Std Dev * SND</t>
  </si>
  <si>
    <t>Step 2. Convert the USD to a SND using the inverse transform in Excel</t>
  </si>
  <si>
    <t>Step 3.  Specify the parameters for the random variable to be simulated.</t>
  </si>
  <si>
    <t>Step 4.  The equation to simulate the random variable is</t>
  </si>
  <si>
    <t>Step 5.  Apply the formula for simulating a random variable distributed Normal</t>
  </si>
  <si>
    <t>Empirical Distribution</t>
  </si>
  <si>
    <t>Step 2. Specify the parameters for the Empirical distribution to simulate</t>
  </si>
  <si>
    <t>Obs</t>
  </si>
  <si>
    <t>X</t>
  </si>
  <si>
    <t>Prob(X)</t>
  </si>
  <si>
    <t>Step 3. Simulate the Empirical distribution using Simetar</t>
  </si>
  <si>
    <t>Mean</t>
  </si>
  <si>
    <t>StDev</t>
  </si>
  <si>
    <t>CV</t>
  </si>
  <si>
    <t>Min</t>
  </si>
  <si>
    <t>Max</t>
  </si>
  <si>
    <t>Iteration</t>
  </si>
  <si>
    <t>Uniform</t>
  </si>
  <si>
    <t>Normal</t>
  </si>
  <si>
    <t>Empirical</t>
  </si>
  <si>
    <t>CDFProb.</t>
  </si>
  <si>
    <t xml:space="preserve">Demonstrate the Inverse Transform Procedure to Simulate a Normal Distribution Using </t>
  </si>
  <si>
    <t>Uniform Standard Deviates.</t>
  </si>
  <si>
    <t>are 0 to 1</t>
  </si>
  <si>
    <t>Associated</t>
  </si>
  <si>
    <t xml:space="preserve">SNDs for </t>
  </si>
  <si>
    <t>the USDs</t>
  </si>
  <si>
    <t>You type in USD</t>
  </si>
  <si>
    <t>values that</t>
  </si>
  <si>
    <t>Let Std Dev =</t>
  </si>
  <si>
    <t xml:space="preserve">Step 2.  The equation for a Uniform random variable is </t>
  </si>
  <si>
    <t>Excels  Inverse</t>
  </si>
  <si>
    <t>Convert USDs to  SNDs</t>
  </si>
  <si>
    <t>Transform Function Used to</t>
  </si>
  <si>
    <t>Chapter 5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</si>
  <si>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</si>
  <si>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</si>
  <si>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</si>
  <si>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</si>
  <si>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</si>
  <si>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</si>
  <si>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</si>
  <si>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</si>
  <si>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</si>
  <si>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</si>
  <si>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</si>
  <si>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100 Iterations.  10:15:13 PM 12/21/2005 (0.34 sec.).  © 2005.</t>
  </si>
  <si>
    <t>© 2011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</si>
</sst>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9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164" fontId="0" fillId="0" borderId="0" xfId="0" applyNumberFormat="1"/>
    <xf numFmtId="0" fontId="0" fillId="0" borderId="2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CDF's for Three Distributions Simulated Using Inverse Transform Method and USDs</a:t>
            </a:r>
          </a:p>
        </c:rich>
      </c:tx>
      <c:layout>
        <c:manualLayout>
          <c:xMode val="edge"/>
          <c:yMode val="edge"/>
          <c:x val="0.15801748657643988"/>
          <c:y val="3.06095466282821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395703057871238E-2"/>
          <c:y val="0.20013934333876759"/>
          <c:w val="0.8744831359400701"/>
          <c:h val="0.63338215715445267"/>
        </c:manualLayout>
      </c:layout>
      <c:scatterChart>
        <c:scatterStyle val="smoothMarker"/>
        <c:ser>
          <c:idx val="0"/>
          <c:order val="0"/>
          <c:tx>
            <c:strRef>
              <c:f>SimData!$L$508</c:f>
              <c:strCache>
                <c:ptCount val="1"/>
                <c:pt idx="0">
                  <c:v>Uniform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SimData!$L$509:$L$1008</c:f>
              <c:numCache>
                <c:formatCode>General</c:formatCode>
                <c:ptCount val="500"/>
                <c:pt idx="0">
                  <c:v>10.049514120549317</c:v>
                </c:pt>
                <c:pt idx="1">
                  <c:v>10.099866716680086</c:v>
                </c:pt>
                <c:pt idx="2">
                  <c:v>10.12057109006461</c:v>
                </c:pt>
                <c:pt idx="3">
                  <c:v>10.199445809330662</c:v>
                </c:pt>
                <c:pt idx="4">
                  <c:v>10.214869099195317</c:v>
                </c:pt>
                <c:pt idx="5">
                  <c:v>10.272374613716353</c:v>
                </c:pt>
                <c:pt idx="6">
                  <c:v>10.332094312804307</c:v>
                </c:pt>
                <c:pt idx="7">
                  <c:v>10.35522216969524</c:v>
                </c:pt>
                <c:pt idx="8">
                  <c:v>10.436558192872107</c:v>
                </c:pt>
                <c:pt idx="9">
                  <c:v>10.466683349576007</c:v>
                </c:pt>
                <c:pt idx="10">
                  <c:v>10.516658831088957</c:v>
                </c:pt>
                <c:pt idx="11">
                  <c:v>10.595852329115349</c:v>
                </c:pt>
                <c:pt idx="12">
                  <c:v>10.629386200518205</c:v>
                </c:pt>
                <c:pt idx="13">
                  <c:v>10.698754907387485</c:v>
                </c:pt>
                <c:pt idx="14">
                  <c:v>10.712612542606102</c:v>
                </c:pt>
                <c:pt idx="15">
                  <c:v>10.779132909264678</c:v>
                </c:pt>
                <c:pt idx="16">
                  <c:v>10.830262003135928</c:v>
                </c:pt>
                <c:pt idx="17">
                  <c:v>10.896771941845484</c:v>
                </c:pt>
                <c:pt idx="18">
                  <c:v>10.904398376635369</c:v>
                </c:pt>
                <c:pt idx="19">
                  <c:v>10.973071000753686</c:v>
                </c:pt>
                <c:pt idx="20">
                  <c:v>11.002644081437644</c:v>
                </c:pt>
                <c:pt idx="21">
                  <c:v>11.060509540911417</c:v>
                </c:pt>
                <c:pt idx="22">
                  <c:v>11.109335571098917</c:v>
                </c:pt>
                <c:pt idx="23">
                  <c:v>11.156733222761362</c:v>
                </c:pt>
                <c:pt idx="24">
                  <c:v>11.23191404552942</c:v>
                </c:pt>
                <c:pt idx="25">
                  <c:v>11.263085095424458</c:v>
                </c:pt>
                <c:pt idx="26">
                  <c:v>11.320244395132233</c:v>
                </c:pt>
                <c:pt idx="27">
                  <c:v>11.374898070126049</c:v>
                </c:pt>
                <c:pt idx="28">
                  <c:v>11.422492094471234</c:v>
                </c:pt>
                <c:pt idx="29">
                  <c:v>11.487363555069864</c:v>
                </c:pt>
                <c:pt idx="30">
                  <c:v>11.542162712626663</c:v>
                </c:pt>
                <c:pt idx="31">
                  <c:v>11.578672454151947</c:v>
                </c:pt>
                <c:pt idx="32">
                  <c:v>11.609127815093176</c:v>
                </c:pt>
                <c:pt idx="33">
                  <c:v>11.668462767467942</c:v>
                </c:pt>
                <c:pt idx="34">
                  <c:v>11.713764651902896</c:v>
                </c:pt>
                <c:pt idx="35">
                  <c:v>11.797763113770113</c:v>
                </c:pt>
                <c:pt idx="36">
                  <c:v>11.8492874238522</c:v>
                </c:pt>
                <c:pt idx="37">
                  <c:v>11.879984511116051</c:v>
                </c:pt>
                <c:pt idx="38">
                  <c:v>11.913201529186498</c:v>
                </c:pt>
                <c:pt idx="39">
                  <c:v>11.970332008209157</c:v>
                </c:pt>
                <c:pt idx="40">
                  <c:v>12.015218186894248</c:v>
                </c:pt>
                <c:pt idx="41">
                  <c:v>12.09232904555796</c:v>
                </c:pt>
                <c:pt idx="42">
                  <c:v>12.10247564076038</c:v>
                </c:pt>
                <c:pt idx="43">
                  <c:v>12.179156885209762</c:v>
                </c:pt>
                <c:pt idx="44">
                  <c:v>12.233818201588889</c:v>
                </c:pt>
                <c:pt idx="45">
                  <c:v>12.264523750244296</c:v>
                </c:pt>
                <c:pt idx="46">
                  <c:v>12.308913936339998</c:v>
                </c:pt>
                <c:pt idx="47">
                  <c:v>12.360640980468746</c:v>
                </c:pt>
                <c:pt idx="48">
                  <c:v>12.419814625608225</c:v>
                </c:pt>
                <c:pt idx="49">
                  <c:v>12.480709207216442</c:v>
                </c:pt>
                <c:pt idx="50">
                  <c:v>12.509337163357841</c:v>
                </c:pt>
                <c:pt idx="51">
                  <c:v>12.576958215405922</c:v>
                </c:pt>
                <c:pt idx="52">
                  <c:v>12.608001380217727</c:v>
                </c:pt>
                <c:pt idx="53">
                  <c:v>12.689191866977882</c:v>
                </c:pt>
                <c:pt idx="54">
                  <c:v>12.733099635605026</c:v>
                </c:pt>
                <c:pt idx="55">
                  <c:v>12.789202823778428</c:v>
                </c:pt>
                <c:pt idx="56">
                  <c:v>12.848608581733099</c:v>
                </c:pt>
                <c:pt idx="57">
                  <c:v>12.874042659817274</c:v>
                </c:pt>
                <c:pt idx="58">
                  <c:v>12.934960736563653</c:v>
                </c:pt>
                <c:pt idx="59">
                  <c:v>12.957256866597398</c:v>
                </c:pt>
                <c:pt idx="60">
                  <c:v>13.013203277849406</c:v>
                </c:pt>
                <c:pt idx="61">
                  <c:v>13.09744565756932</c:v>
                </c:pt>
                <c:pt idx="62">
                  <c:v>13.145329192524153</c:v>
                </c:pt>
                <c:pt idx="63">
                  <c:v>13.17511649111405</c:v>
                </c:pt>
                <c:pt idx="64">
                  <c:v>13.22899844251317</c:v>
                </c:pt>
                <c:pt idx="65">
                  <c:v>13.272709192864761</c:v>
                </c:pt>
                <c:pt idx="66">
                  <c:v>13.332904593735678</c:v>
                </c:pt>
                <c:pt idx="67">
                  <c:v>13.360883473875207</c:v>
                </c:pt>
                <c:pt idx="68">
                  <c:v>13.443790816968258</c:v>
                </c:pt>
                <c:pt idx="69">
                  <c:v>13.462240656351726</c:v>
                </c:pt>
                <c:pt idx="70">
                  <c:v>13.510628321350232</c:v>
                </c:pt>
                <c:pt idx="71">
                  <c:v>13.556353388716548</c:v>
                </c:pt>
                <c:pt idx="72">
                  <c:v>13.613902051191289</c:v>
                </c:pt>
                <c:pt idx="73">
                  <c:v>13.688646390624029</c:v>
                </c:pt>
                <c:pt idx="74">
                  <c:v>13.700870099279767</c:v>
                </c:pt>
                <c:pt idx="75">
                  <c:v>13.784842392635728</c:v>
                </c:pt>
                <c:pt idx="76">
                  <c:v>13.808240935941749</c:v>
                </c:pt>
                <c:pt idx="77">
                  <c:v>13.850007093686147</c:v>
                </c:pt>
                <c:pt idx="78">
                  <c:v>13.93828981148272</c:v>
                </c:pt>
                <c:pt idx="79">
                  <c:v>13.993372900538001</c:v>
                </c:pt>
                <c:pt idx="80">
                  <c:v>14.033148669156514</c:v>
                </c:pt>
                <c:pt idx="81">
                  <c:v>14.074964748107586</c:v>
                </c:pt>
                <c:pt idx="82">
                  <c:v>14.132893783676646</c:v>
                </c:pt>
                <c:pt idx="83">
                  <c:v>14.166549054758285</c:v>
                </c:pt>
                <c:pt idx="84">
                  <c:v>14.236872038498259</c:v>
                </c:pt>
                <c:pt idx="85">
                  <c:v>14.252243623650223</c:v>
                </c:pt>
                <c:pt idx="86">
                  <c:v>14.327196799993327</c:v>
                </c:pt>
                <c:pt idx="87">
                  <c:v>14.379954156111914</c:v>
                </c:pt>
                <c:pt idx="88">
                  <c:v>14.449067109718236</c:v>
                </c:pt>
                <c:pt idx="89">
                  <c:v>14.45686310000179</c:v>
                </c:pt>
                <c:pt idx="90">
                  <c:v>14.523155519522996</c:v>
                </c:pt>
                <c:pt idx="91">
                  <c:v>14.557109590435193</c:v>
                </c:pt>
                <c:pt idx="92">
                  <c:v>14.625621265260415</c:v>
                </c:pt>
                <c:pt idx="93">
                  <c:v>14.684826450255891</c:v>
                </c:pt>
                <c:pt idx="94">
                  <c:v>14.711994914818089</c:v>
                </c:pt>
                <c:pt idx="95">
                  <c:v>14.778264003824038</c:v>
                </c:pt>
                <c:pt idx="96">
                  <c:v>14.824069590441432</c:v>
                </c:pt>
                <c:pt idx="97">
                  <c:v>14.887241216373454</c:v>
                </c:pt>
                <c:pt idx="98">
                  <c:v>14.939714905826774</c:v>
                </c:pt>
                <c:pt idx="99">
                  <c:v>14.983243759554636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SimData!$M$509:$M$1008</c:f>
              <c:numCache>
                <c:formatCode>General</c:formatCode>
                <c:ptCount val="5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  <c:pt idx="100">
                  <c:v>1.0101010101010082</c:v>
                </c:pt>
                <c:pt idx="101">
                  <c:v>1.0202020202020183</c:v>
                </c:pt>
                <c:pt idx="102">
                  <c:v>1.0303030303030285</c:v>
                </c:pt>
                <c:pt idx="103">
                  <c:v>1.0404040404040387</c:v>
                </c:pt>
                <c:pt idx="104">
                  <c:v>1.0505050505050488</c:v>
                </c:pt>
                <c:pt idx="105">
                  <c:v>1.060606060606059</c:v>
                </c:pt>
                <c:pt idx="106">
                  <c:v>1.0707070707070692</c:v>
                </c:pt>
                <c:pt idx="107">
                  <c:v>1.0808080808080793</c:v>
                </c:pt>
                <c:pt idx="108">
                  <c:v>1.0909090909090895</c:v>
                </c:pt>
                <c:pt idx="109">
                  <c:v>1.1010101010100997</c:v>
                </c:pt>
                <c:pt idx="110">
                  <c:v>1.1111111111111098</c:v>
                </c:pt>
                <c:pt idx="111">
                  <c:v>1.12121212121212</c:v>
                </c:pt>
                <c:pt idx="112">
                  <c:v>1.1313131313131302</c:v>
                </c:pt>
                <c:pt idx="113">
                  <c:v>1.1414141414141403</c:v>
                </c:pt>
                <c:pt idx="114">
                  <c:v>1.1515151515151505</c:v>
                </c:pt>
                <c:pt idx="115">
                  <c:v>1.1616161616161607</c:v>
                </c:pt>
                <c:pt idx="116">
                  <c:v>1.1717171717171708</c:v>
                </c:pt>
                <c:pt idx="117">
                  <c:v>1.181818181818181</c:v>
                </c:pt>
                <c:pt idx="118">
                  <c:v>1.1919191919191912</c:v>
                </c:pt>
                <c:pt idx="119">
                  <c:v>1.2020202020202013</c:v>
                </c:pt>
                <c:pt idx="120">
                  <c:v>1.2121212121212115</c:v>
                </c:pt>
                <c:pt idx="121">
                  <c:v>1.2222222222222217</c:v>
                </c:pt>
                <c:pt idx="122">
                  <c:v>1.2323232323232318</c:v>
                </c:pt>
                <c:pt idx="123">
                  <c:v>1.242424242424242</c:v>
                </c:pt>
                <c:pt idx="124">
                  <c:v>1.2525252525252522</c:v>
                </c:pt>
                <c:pt idx="125">
                  <c:v>1.2626262626262623</c:v>
                </c:pt>
                <c:pt idx="126">
                  <c:v>1.2727272727272725</c:v>
                </c:pt>
                <c:pt idx="127">
                  <c:v>1.2828282828282827</c:v>
                </c:pt>
                <c:pt idx="128">
                  <c:v>1.2929292929292928</c:v>
                </c:pt>
                <c:pt idx="129">
                  <c:v>1.303030303030303</c:v>
                </c:pt>
                <c:pt idx="130">
                  <c:v>1.3131313131313131</c:v>
                </c:pt>
                <c:pt idx="131">
                  <c:v>1.3232323232323233</c:v>
                </c:pt>
                <c:pt idx="132">
                  <c:v>1.3333333333333335</c:v>
                </c:pt>
                <c:pt idx="133">
                  <c:v>1.3434343434343436</c:v>
                </c:pt>
                <c:pt idx="134">
                  <c:v>1.3535353535353538</c:v>
                </c:pt>
                <c:pt idx="135">
                  <c:v>1.363636363636364</c:v>
                </c:pt>
                <c:pt idx="136">
                  <c:v>1.3737373737373741</c:v>
                </c:pt>
                <c:pt idx="137">
                  <c:v>1.3838383838383843</c:v>
                </c:pt>
                <c:pt idx="138">
                  <c:v>1.3939393939393945</c:v>
                </c:pt>
                <c:pt idx="139">
                  <c:v>1.4040404040404046</c:v>
                </c:pt>
                <c:pt idx="140">
                  <c:v>1.4141414141414148</c:v>
                </c:pt>
                <c:pt idx="141">
                  <c:v>1.424242424242425</c:v>
                </c:pt>
                <c:pt idx="142">
                  <c:v>1.4343434343434351</c:v>
                </c:pt>
                <c:pt idx="143">
                  <c:v>1.4444444444444453</c:v>
                </c:pt>
                <c:pt idx="144">
                  <c:v>1.4545454545454555</c:v>
                </c:pt>
                <c:pt idx="145">
                  <c:v>1.4646464646464656</c:v>
                </c:pt>
                <c:pt idx="146">
                  <c:v>1.4747474747474758</c:v>
                </c:pt>
                <c:pt idx="147">
                  <c:v>1.484848484848486</c:v>
                </c:pt>
                <c:pt idx="148">
                  <c:v>1.4949494949494961</c:v>
                </c:pt>
                <c:pt idx="149">
                  <c:v>1.5050505050505063</c:v>
                </c:pt>
                <c:pt idx="150">
                  <c:v>1.5151515151515165</c:v>
                </c:pt>
                <c:pt idx="151">
                  <c:v>1.5252525252525266</c:v>
                </c:pt>
                <c:pt idx="152">
                  <c:v>1.5353535353535368</c:v>
                </c:pt>
                <c:pt idx="153">
                  <c:v>1.545454545454547</c:v>
                </c:pt>
                <c:pt idx="154">
                  <c:v>1.5555555555555571</c:v>
                </c:pt>
                <c:pt idx="155">
                  <c:v>1.5656565656565673</c:v>
                </c:pt>
                <c:pt idx="156">
                  <c:v>1.5757575757575775</c:v>
                </c:pt>
                <c:pt idx="157">
                  <c:v>1.5858585858585876</c:v>
                </c:pt>
                <c:pt idx="158">
                  <c:v>1.5959595959595978</c:v>
                </c:pt>
                <c:pt idx="159">
                  <c:v>1.606060606060608</c:v>
                </c:pt>
                <c:pt idx="160">
                  <c:v>1.6161616161616181</c:v>
                </c:pt>
                <c:pt idx="161">
                  <c:v>1.6262626262626283</c:v>
                </c:pt>
                <c:pt idx="162">
                  <c:v>1.6363636363636385</c:v>
                </c:pt>
                <c:pt idx="163">
                  <c:v>1.6464646464646486</c:v>
                </c:pt>
                <c:pt idx="164">
                  <c:v>1.6565656565656588</c:v>
                </c:pt>
                <c:pt idx="165">
                  <c:v>1.666666666666669</c:v>
                </c:pt>
                <c:pt idx="166">
                  <c:v>1.6767676767676791</c:v>
                </c:pt>
                <c:pt idx="167">
                  <c:v>1.6868686868686893</c:v>
                </c:pt>
                <c:pt idx="168">
                  <c:v>1.6969696969696995</c:v>
                </c:pt>
                <c:pt idx="169">
                  <c:v>1.7070707070707096</c:v>
                </c:pt>
                <c:pt idx="170">
                  <c:v>1.7171717171717198</c:v>
                </c:pt>
                <c:pt idx="171">
                  <c:v>1.72727272727273</c:v>
                </c:pt>
                <c:pt idx="172">
                  <c:v>1.7373737373737401</c:v>
                </c:pt>
                <c:pt idx="173">
                  <c:v>1.7474747474747503</c:v>
                </c:pt>
                <c:pt idx="174">
                  <c:v>1.7575757575757605</c:v>
                </c:pt>
                <c:pt idx="175">
                  <c:v>1.7676767676767706</c:v>
                </c:pt>
                <c:pt idx="176">
                  <c:v>1.7777777777777808</c:v>
                </c:pt>
                <c:pt idx="177">
                  <c:v>1.787878787878791</c:v>
                </c:pt>
                <c:pt idx="178">
                  <c:v>1.7979797979798011</c:v>
                </c:pt>
                <c:pt idx="179">
                  <c:v>1.8080808080808113</c:v>
                </c:pt>
                <c:pt idx="180">
                  <c:v>1.8181818181818215</c:v>
                </c:pt>
                <c:pt idx="181">
                  <c:v>1.8282828282828316</c:v>
                </c:pt>
                <c:pt idx="182">
                  <c:v>1.8383838383838418</c:v>
                </c:pt>
                <c:pt idx="183">
                  <c:v>1.848484848484852</c:v>
                </c:pt>
                <c:pt idx="184">
                  <c:v>1.8585858585858621</c:v>
                </c:pt>
                <c:pt idx="185">
                  <c:v>1.8686868686868723</c:v>
                </c:pt>
                <c:pt idx="186">
                  <c:v>1.8787878787878824</c:v>
                </c:pt>
                <c:pt idx="187">
                  <c:v>1.8888888888888926</c:v>
                </c:pt>
                <c:pt idx="188">
                  <c:v>1.8989898989899028</c:v>
                </c:pt>
                <c:pt idx="189">
                  <c:v>1.9090909090909129</c:v>
                </c:pt>
                <c:pt idx="190">
                  <c:v>1.9191919191919231</c:v>
                </c:pt>
                <c:pt idx="191">
                  <c:v>1.9292929292929333</c:v>
                </c:pt>
                <c:pt idx="192">
                  <c:v>1.9393939393939434</c:v>
                </c:pt>
                <c:pt idx="193">
                  <c:v>1.9494949494949536</c:v>
                </c:pt>
                <c:pt idx="194">
                  <c:v>1.9595959595959638</c:v>
                </c:pt>
                <c:pt idx="195">
                  <c:v>1.9696969696969739</c:v>
                </c:pt>
                <c:pt idx="196">
                  <c:v>1.9797979797979841</c:v>
                </c:pt>
                <c:pt idx="197">
                  <c:v>1.9898989898989943</c:v>
                </c:pt>
                <c:pt idx="198">
                  <c:v>2.0000000000000044</c:v>
                </c:pt>
                <c:pt idx="199">
                  <c:v>2.0101010101010144</c:v>
                </c:pt>
                <c:pt idx="200">
                  <c:v>2.0202020202020243</c:v>
                </c:pt>
                <c:pt idx="201">
                  <c:v>2.0303030303030343</c:v>
                </c:pt>
                <c:pt idx="202">
                  <c:v>2.0404040404040442</c:v>
                </c:pt>
                <c:pt idx="203">
                  <c:v>2.0505050505050542</c:v>
                </c:pt>
                <c:pt idx="204">
                  <c:v>2.0606060606060641</c:v>
                </c:pt>
                <c:pt idx="205">
                  <c:v>2.070707070707074</c:v>
                </c:pt>
                <c:pt idx="206">
                  <c:v>2.080808080808084</c:v>
                </c:pt>
                <c:pt idx="207">
                  <c:v>2.0909090909090939</c:v>
                </c:pt>
                <c:pt idx="208">
                  <c:v>2.1010101010101039</c:v>
                </c:pt>
                <c:pt idx="209">
                  <c:v>2.1111111111111138</c:v>
                </c:pt>
                <c:pt idx="210">
                  <c:v>2.1212121212121238</c:v>
                </c:pt>
                <c:pt idx="211">
                  <c:v>2.1313131313131337</c:v>
                </c:pt>
                <c:pt idx="212">
                  <c:v>2.1414141414141437</c:v>
                </c:pt>
                <c:pt idx="213">
                  <c:v>2.1515151515151536</c:v>
                </c:pt>
                <c:pt idx="214">
                  <c:v>2.1616161616161635</c:v>
                </c:pt>
                <c:pt idx="215">
                  <c:v>2.1717171717171735</c:v>
                </c:pt>
                <c:pt idx="216">
                  <c:v>2.1818181818181834</c:v>
                </c:pt>
                <c:pt idx="217">
                  <c:v>2.1919191919191934</c:v>
                </c:pt>
                <c:pt idx="218">
                  <c:v>2.2020202020202033</c:v>
                </c:pt>
                <c:pt idx="219">
                  <c:v>2.2121212121212133</c:v>
                </c:pt>
                <c:pt idx="220">
                  <c:v>2.2222222222222232</c:v>
                </c:pt>
                <c:pt idx="221">
                  <c:v>2.2323232323232332</c:v>
                </c:pt>
                <c:pt idx="222">
                  <c:v>2.2424242424242431</c:v>
                </c:pt>
                <c:pt idx="223">
                  <c:v>2.252525252525253</c:v>
                </c:pt>
                <c:pt idx="224">
                  <c:v>2.262626262626263</c:v>
                </c:pt>
                <c:pt idx="225">
                  <c:v>2.2727272727272729</c:v>
                </c:pt>
                <c:pt idx="226">
                  <c:v>2.2828282828282829</c:v>
                </c:pt>
                <c:pt idx="227">
                  <c:v>2.2929292929292928</c:v>
                </c:pt>
                <c:pt idx="228">
                  <c:v>2.3030303030303028</c:v>
                </c:pt>
                <c:pt idx="229">
                  <c:v>2.3131313131313127</c:v>
                </c:pt>
                <c:pt idx="230">
                  <c:v>2.3232323232323226</c:v>
                </c:pt>
                <c:pt idx="231">
                  <c:v>2.3333333333333326</c:v>
                </c:pt>
                <c:pt idx="232">
                  <c:v>2.3434343434343425</c:v>
                </c:pt>
                <c:pt idx="233">
                  <c:v>2.3535353535353525</c:v>
                </c:pt>
                <c:pt idx="234">
                  <c:v>2.3636363636363624</c:v>
                </c:pt>
                <c:pt idx="235">
                  <c:v>2.3737373737373724</c:v>
                </c:pt>
                <c:pt idx="236">
                  <c:v>2.3838383838383823</c:v>
                </c:pt>
                <c:pt idx="237">
                  <c:v>2.3939393939393923</c:v>
                </c:pt>
                <c:pt idx="238">
                  <c:v>2.4040404040404022</c:v>
                </c:pt>
                <c:pt idx="239">
                  <c:v>2.4141414141414121</c:v>
                </c:pt>
                <c:pt idx="240">
                  <c:v>2.4242424242424221</c:v>
                </c:pt>
                <c:pt idx="241">
                  <c:v>2.434343434343432</c:v>
                </c:pt>
                <c:pt idx="242">
                  <c:v>2.444444444444442</c:v>
                </c:pt>
                <c:pt idx="243">
                  <c:v>2.4545454545454519</c:v>
                </c:pt>
                <c:pt idx="244">
                  <c:v>2.4646464646464619</c:v>
                </c:pt>
                <c:pt idx="245">
                  <c:v>2.4747474747474718</c:v>
                </c:pt>
                <c:pt idx="246">
                  <c:v>2.4848484848484818</c:v>
                </c:pt>
                <c:pt idx="247">
                  <c:v>2.4949494949494917</c:v>
                </c:pt>
                <c:pt idx="248">
                  <c:v>2.5050505050505016</c:v>
                </c:pt>
                <c:pt idx="249">
                  <c:v>2.5151515151515116</c:v>
                </c:pt>
                <c:pt idx="250">
                  <c:v>2.5252525252525215</c:v>
                </c:pt>
                <c:pt idx="251">
                  <c:v>2.5353535353535315</c:v>
                </c:pt>
                <c:pt idx="252">
                  <c:v>2.5454545454545414</c:v>
                </c:pt>
                <c:pt idx="253">
                  <c:v>2.5555555555555514</c:v>
                </c:pt>
                <c:pt idx="254">
                  <c:v>2.5656565656565613</c:v>
                </c:pt>
                <c:pt idx="255">
                  <c:v>2.5757575757575712</c:v>
                </c:pt>
                <c:pt idx="256">
                  <c:v>2.5858585858585812</c:v>
                </c:pt>
                <c:pt idx="257">
                  <c:v>2.5959595959595911</c:v>
                </c:pt>
                <c:pt idx="258">
                  <c:v>2.6060606060606011</c:v>
                </c:pt>
                <c:pt idx="259">
                  <c:v>2.616161616161611</c:v>
                </c:pt>
                <c:pt idx="260">
                  <c:v>2.626262626262621</c:v>
                </c:pt>
                <c:pt idx="261">
                  <c:v>2.6363636363636309</c:v>
                </c:pt>
                <c:pt idx="262">
                  <c:v>2.6464646464646409</c:v>
                </c:pt>
                <c:pt idx="263">
                  <c:v>2.6565656565656508</c:v>
                </c:pt>
                <c:pt idx="264">
                  <c:v>2.6666666666666607</c:v>
                </c:pt>
                <c:pt idx="265">
                  <c:v>2.6767676767676707</c:v>
                </c:pt>
                <c:pt idx="266">
                  <c:v>2.6868686868686806</c:v>
                </c:pt>
                <c:pt idx="267">
                  <c:v>2.6969696969696906</c:v>
                </c:pt>
                <c:pt idx="268">
                  <c:v>2.7070707070707005</c:v>
                </c:pt>
                <c:pt idx="269">
                  <c:v>2.7171717171717105</c:v>
                </c:pt>
                <c:pt idx="270">
                  <c:v>2.7272727272727204</c:v>
                </c:pt>
                <c:pt idx="271">
                  <c:v>2.7373737373737304</c:v>
                </c:pt>
                <c:pt idx="272">
                  <c:v>2.7474747474747403</c:v>
                </c:pt>
                <c:pt idx="273">
                  <c:v>2.7575757575757502</c:v>
                </c:pt>
                <c:pt idx="274">
                  <c:v>2.7676767676767602</c:v>
                </c:pt>
                <c:pt idx="275">
                  <c:v>2.7777777777777701</c:v>
                </c:pt>
                <c:pt idx="276">
                  <c:v>2.7878787878787801</c:v>
                </c:pt>
                <c:pt idx="277">
                  <c:v>2.79797979797979</c:v>
                </c:pt>
                <c:pt idx="278">
                  <c:v>2.8080808080808</c:v>
                </c:pt>
                <c:pt idx="279">
                  <c:v>2.8181818181818099</c:v>
                </c:pt>
                <c:pt idx="280">
                  <c:v>2.8282828282828198</c:v>
                </c:pt>
                <c:pt idx="281">
                  <c:v>2.8383838383838298</c:v>
                </c:pt>
                <c:pt idx="282">
                  <c:v>2.8484848484848397</c:v>
                </c:pt>
                <c:pt idx="283">
                  <c:v>2.8585858585858497</c:v>
                </c:pt>
                <c:pt idx="284">
                  <c:v>2.8686868686868596</c:v>
                </c:pt>
                <c:pt idx="285">
                  <c:v>2.8787878787878696</c:v>
                </c:pt>
                <c:pt idx="286">
                  <c:v>2.8888888888888795</c:v>
                </c:pt>
                <c:pt idx="287">
                  <c:v>2.8989898989898895</c:v>
                </c:pt>
                <c:pt idx="288">
                  <c:v>2.9090909090908994</c:v>
                </c:pt>
                <c:pt idx="289">
                  <c:v>2.9191919191919093</c:v>
                </c:pt>
                <c:pt idx="290">
                  <c:v>2.9292929292929193</c:v>
                </c:pt>
                <c:pt idx="291">
                  <c:v>2.9393939393939292</c:v>
                </c:pt>
                <c:pt idx="292">
                  <c:v>2.9494949494949392</c:v>
                </c:pt>
                <c:pt idx="293">
                  <c:v>2.9595959595959491</c:v>
                </c:pt>
                <c:pt idx="294">
                  <c:v>2.9696969696969591</c:v>
                </c:pt>
                <c:pt idx="295">
                  <c:v>2.979797979797969</c:v>
                </c:pt>
                <c:pt idx="296">
                  <c:v>2.989898989898979</c:v>
                </c:pt>
                <c:pt idx="297">
                  <c:v>2.9999999999999889</c:v>
                </c:pt>
                <c:pt idx="298">
                  <c:v>3.0101010101009988</c:v>
                </c:pt>
                <c:pt idx="299">
                  <c:v>3.0202020202020088</c:v>
                </c:pt>
                <c:pt idx="300">
                  <c:v>3.0303030303030187</c:v>
                </c:pt>
                <c:pt idx="301">
                  <c:v>3.0404040404040287</c:v>
                </c:pt>
                <c:pt idx="302">
                  <c:v>3.0505050505050386</c:v>
                </c:pt>
                <c:pt idx="303">
                  <c:v>3.0606060606060486</c:v>
                </c:pt>
                <c:pt idx="304">
                  <c:v>3.0707070707070585</c:v>
                </c:pt>
                <c:pt idx="305">
                  <c:v>3.0808080808080684</c:v>
                </c:pt>
                <c:pt idx="306">
                  <c:v>3.0909090909090784</c:v>
                </c:pt>
                <c:pt idx="307">
                  <c:v>3.1010101010100883</c:v>
                </c:pt>
                <c:pt idx="308">
                  <c:v>3.1111111111110983</c:v>
                </c:pt>
                <c:pt idx="309">
                  <c:v>3.1212121212121082</c:v>
                </c:pt>
                <c:pt idx="310">
                  <c:v>3.1313131313131182</c:v>
                </c:pt>
                <c:pt idx="311">
                  <c:v>3.1414141414141281</c:v>
                </c:pt>
                <c:pt idx="312">
                  <c:v>3.1515151515151381</c:v>
                </c:pt>
                <c:pt idx="313">
                  <c:v>3.161616161616148</c:v>
                </c:pt>
                <c:pt idx="314">
                  <c:v>3.1717171717171579</c:v>
                </c:pt>
                <c:pt idx="315">
                  <c:v>3.1818181818181679</c:v>
                </c:pt>
                <c:pt idx="316">
                  <c:v>3.1919191919191778</c:v>
                </c:pt>
                <c:pt idx="317">
                  <c:v>3.2020202020201878</c:v>
                </c:pt>
                <c:pt idx="318">
                  <c:v>3.2121212121211977</c:v>
                </c:pt>
                <c:pt idx="319">
                  <c:v>3.2222222222222077</c:v>
                </c:pt>
                <c:pt idx="320">
                  <c:v>3.2323232323232176</c:v>
                </c:pt>
                <c:pt idx="321">
                  <c:v>3.2424242424242276</c:v>
                </c:pt>
                <c:pt idx="322">
                  <c:v>3.2525252525252375</c:v>
                </c:pt>
                <c:pt idx="323">
                  <c:v>3.2626262626262474</c:v>
                </c:pt>
                <c:pt idx="324">
                  <c:v>3.2727272727272574</c:v>
                </c:pt>
                <c:pt idx="325">
                  <c:v>3.2828282828282673</c:v>
                </c:pt>
                <c:pt idx="326">
                  <c:v>3.2929292929292773</c:v>
                </c:pt>
                <c:pt idx="327">
                  <c:v>3.3030303030302872</c:v>
                </c:pt>
                <c:pt idx="328">
                  <c:v>3.3131313131312972</c:v>
                </c:pt>
                <c:pt idx="329">
                  <c:v>3.3232323232323071</c:v>
                </c:pt>
                <c:pt idx="330">
                  <c:v>3.3333333333333171</c:v>
                </c:pt>
                <c:pt idx="331">
                  <c:v>3.343434343434327</c:v>
                </c:pt>
                <c:pt idx="332">
                  <c:v>3.3535353535353369</c:v>
                </c:pt>
                <c:pt idx="333">
                  <c:v>3.3636363636363469</c:v>
                </c:pt>
                <c:pt idx="334">
                  <c:v>3.3737373737373568</c:v>
                </c:pt>
                <c:pt idx="335">
                  <c:v>3.3838383838383668</c:v>
                </c:pt>
                <c:pt idx="336">
                  <c:v>3.3939393939393767</c:v>
                </c:pt>
                <c:pt idx="337">
                  <c:v>3.4040404040403867</c:v>
                </c:pt>
                <c:pt idx="338">
                  <c:v>3.4141414141413966</c:v>
                </c:pt>
                <c:pt idx="339">
                  <c:v>3.4242424242424065</c:v>
                </c:pt>
                <c:pt idx="340">
                  <c:v>3.4343434343434165</c:v>
                </c:pt>
                <c:pt idx="341">
                  <c:v>3.4444444444444264</c:v>
                </c:pt>
                <c:pt idx="342">
                  <c:v>3.4545454545454364</c:v>
                </c:pt>
                <c:pt idx="343">
                  <c:v>3.4646464646464463</c:v>
                </c:pt>
                <c:pt idx="344">
                  <c:v>3.4747474747474563</c:v>
                </c:pt>
                <c:pt idx="345">
                  <c:v>3.4848484848484662</c:v>
                </c:pt>
                <c:pt idx="346">
                  <c:v>3.4949494949494762</c:v>
                </c:pt>
                <c:pt idx="347">
                  <c:v>3.5050505050504861</c:v>
                </c:pt>
                <c:pt idx="348">
                  <c:v>3.515151515151496</c:v>
                </c:pt>
                <c:pt idx="349">
                  <c:v>3.525252525252506</c:v>
                </c:pt>
                <c:pt idx="350">
                  <c:v>3.5353535353535159</c:v>
                </c:pt>
                <c:pt idx="351">
                  <c:v>3.5454545454545259</c:v>
                </c:pt>
                <c:pt idx="352">
                  <c:v>3.5555555555555358</c:v>
                </c:pt>
                <c:pt idx="353">
                  <c:v>3.5656565656565458</c:v>
                </c:pt>
                <c:pt idx="354">
                  <c:v>3.5757575757575557</c:v>
                </c:pt>
                <c:pt idx="355">
                  <c:v>3.5858585858585657</c:v>
                </c:pt>
                <c:pt idx="356">
                  <c:v>3.5959595959595756</c:v>
                </c:pt>
                <c:pt idx="357">
                  <c:v>3.6060606060605855</c:v>
                </c:pt>
                <c:pt idx="358">
                  <c:v>3.6161616161615955</c:v>
                </c:pt>
                <c:pt idx="359">
                  <c:v>3.6262626262626054</c:v>
                </c:pt>
                <c:pt idx="360">
                  <c:v>3.6363636363636154</c:v>
                </c:pt>
                <c:pt idx="361">
                  <c:v>3.6464646464646253</c:v>
                </c:pt>
                <c:pt idx="362">
                  <c:v>3.6565656565656353</c:v>
                </c:pt>
                <c:pt idx="363">
                  <c:v>3.6666666666666452</c:v>
                </c:pt>
                <c:pt idx="364">
                  <c:v>3.6767676767676551</c:v>
                </c:pt>
                <c:pt idx="365">
                  <c:v>3.6868686868686651</c:v>
                </c:pt>
                <c:pt idx="366">
                  <c:v>3.696969696969675</c:v>
                </c:pt>
                <c:pt idx="367">
                  <c:v>3.707070707070685</c:v>
                </c:pt>
                <c:pt idx="368">
                  <c:v>3.7171717171716949</c:v>
                </c:pt>
                <c:pt idx="369">
                  <c:v>3.7272727272727049</c:v>
                </c:pt>
                <c:pt idx="370">
                  <c:v>3.7373737373737148</c:v>
                </c:pt>
                <c:pt idx="371">
                  <c:v>3.7474747474747248</c:v>
                </c:pt>
                <c:pt idx="372">
                  <c:v>3.7575757575757347</c:v>
                </c:pt>
                <c:pt idx="373">
                  <c:v>3.7676767676767446</c:v>
                </c:pt>
                <c:pt idx="374">
                  <c:v>3.7777777777777546</c:v>
                </c:pt>
                <c:pt idx="375">
                  <c:v>3.7878787878787645</c:v>
                </c:pt>
                <c:pt idx="376">
                  <c:v>3.7979797979797745</c:v>
                </c:pt>
                <c:pt idx="377">
                  <c:v>3.8080808080807844</c:v>
                </c:pt>
                <c:pt idx="378">
                  <c:v>3.8181818181817944</c:v>
                </c:pt>
                <c:pt idx="379">
                  <c:v>3.8282828282828043</c:v>
                </c:pt>
                <c:pt idx="380">
                  <c:v>3.8383838383838143</c:v>
                </c:pt>
                <c:pt idx="381">
                  <c:v>3.8484848484848242</c:v>
                </c:pt>
                <c:pt idx="382">
                  <c:v>3.8585858585858341</c:v>
                </c:pt>
                <c:pt idx="383">
                  <c:v>3.8686868686868441</c:v>
                </c:pt>
                <c:pt idx="384">
                  <c:v>3.878787878787854</c:v>
                </c:pt>
                <c:pt idx="385">
                  <c:v>3.888888888888864</c:v>
                </c:pt>
                <c:pt idx="386">
                  <c:v>3.8989898989898739</c:v>
                </c:pt>
                <c:pt idx="387">
                  <c:v>3.9090909090908839</c:v>
                </c:pt>
                <c:pt idx="388">
                  <c:v>3.9191919191918938</c:v>
                </c:pt>
                <c:pt idx="389">
                  <c:v>3.9292929292929037</c:v>
                </c:pt>
                <c:pt idx="390">
                  <c:v>3.9393939393939137</c:v>
                </c:pt>
                <c:pt idx="391">
                  <c:v>3.9494949494949236</c:v>
                </c:pt>
                <c:pt idx="392">
                  <c:v>3.9595959595959336</c:v>
                </c:pt>
                <c:pt idx="393">
                  <c:v>3.9696969696969435</c:v>
                </c:pt>
                <c:pt idx="394">
                  <c:v>3.9797979797979535</c:v>
                </c:pt>
                <c:pt idx="395">
                  <c:v>3.9898989898989634</c:v>
                </c:pt>
                <c:pt idx="396">
                  <c:v>3.9999999999999734</c:v>
                </c:pt>
                <c:pt idx="397">
                  <c:v>4.0101010101009837</c:v>
                </c:pt>
                <c:pt idx="398">
                  <c:v>4.0202020202019941</c:v>
                </c:pt>
                <c:pt idx="399">
                  <c:v>4.0303030303030045</c:v>
                </c:pt>
                <c:pt idx="400">
                  <c:v>4.0404040404040149</c:v>
                </c:pt>
                <c:pt idx="401">
                  <c:v>4.0505050505050253</c:v>
                </c:pt>
                <c:pt idx="402">
                  <c:v>4.0606060606060357</c:v>
                </c:pt>
                <c:pt idx="403">
                  <c:v>4.0707070707070461</c:v>
                </c:pt>
                <c:pt idx="404">
                  <c:v>4.0808080808080565</c:v>
                </c:pt>
                <c:pt idx="405">
                  <c:v>4.0909090909090668</c:v>
                </c:pt>
                <c:pt idx="406">
                  <c:v>4.1010101010100772</c:v>
                </c:pt>
                <c:pt idx="407">
                  <c:v>4.1111111111110876</c:v>
                </c:pt>
                <c:pt idx="408">
                  <c:v>4.121212121212098</c:v>
                </c:pt>
                <c:pt idx="409">
                  <c:v>4.1313131313131084</c:v>
                </c:pt>
                <c:pt idx="410">
                  <c:v>4.1414141414141188</c:v>
                </c:pt>
                <c:pt idx="411">
                  <c:v>4.1515151515151292</c:v>
                </c:pt>
                <c:pt idx="412">
                  <c:v>4.1616161616161396</c:v>
                </c:pt>
                <c:pt idx="413">
                  <c:v>4.17171717171715</c:v>
                </c:pt>
                <c:pt idx="414">
                  <c:v>4.1818181818181603</c:v>
                </c:pt>
                <c:pt idx="415">
                  <c:v>4.1919191919191707</c:v>
                </c:pt>
                <c:pt idx="416">
                  <c:v>4.2020202020201811</c:v>
                </c:pt>
                <c:pt idx="417">
                  <c:v>4.2121212121211915</c:v>
                </c:pt>
                <c:pt idx="418">
                  <c:v>4.2222222222222019</c:v>
                </c:pt>
                <c:pt idx="419">
                  <c:v>4.2323232323232123</c:v>
                </c:pt>
                <c:pt idx="420">
                  <c:v>4.2424242424242227</c:v>
                </c:pt>
                <c:pt idx="421">
                  <c:v>4.2525252525252331</c:v>
                </c:pt>
                <c:pt idx="422">
                  <c:v>4.2626262626262434</c:v>
                </c:pt>
                <c:pt idx="423">
                  <c:v>4.2727272727272538</c:v>
                </c:pt>
                <c:pt idx="424">
                  <c:v>4.2828282828282642</c:v>
                </c:pt>
                <c:pt idx="425">
                  <c:v>4.2929292929292746</c:v>
                </c:pt>
                <c:pt idx="426">
                  <c:v>4.303030303030285</c:v>
                </c:pt>
                <c:pt idx="427">
                  <c:v>4.3131313131312954</c:v>
                </c:pt>
                <c:pt idx="428">
                  <c:v>4.3232323232323058</c:v>
                </c:pt>
                <c:pt idx="429">
                  <c:v>4.3333333333333162</c:v>
                </c:pt>
                <c:pt idx="430">
                  <c:v>4.3434343434343265</c:v>
                </c:pt>
                <c:pt idx="431">
                  <c:v>4.3535353535353369</c:v>
                </c:pt>
                <c:pt idx="432">
                  <c:v>4.3636363636363473</c:v>
                </c:pt>
                <c:pt idx="433">
                  <c:v>4.3737373737373577</c:v>
                </c:pt>
                <c:pt idx="434">
                  <c:v>4.3838383838383681</c:v>
                </c:pt>
                <c:pt idx="435">
                  <c:v>4.3939393939393785</c:v>
                </c:pt>
                <c:pt idx="436">
                  <c:v>4.4040404040403889</c:v>
                </c:pt>
                <c:pt idx="437">
                  <c:v>4.4141414141413993</c:v>
                </c:pt>
                <c:pt idx="438">
                  <c:v>4.4242424242424097</c:v>
                </c:pt>
                <c:pt idx="439">
                  <c:v>4.43434343434342</c:v>
                </c:pt>
                <c:pt idx="440">
                  <c:v>4.4444444444444304</c:v>
                </c:pt>
                <c:pt idx="441">
                  <c:v>4.4545454545454408</c:v>
                </c:pt>
                <c:pt idx="442">
                  <c:v>4.4646464646464512</c:v>
                </c:pt>
                <c:pt idx="443">
                  <c:v>4.4747474747474616</c:v>
                </c:pt>
                <c:pt idx="444">
                  <c:v>4.484848484848472</c:v>
                </c:pt>
                <c:pt idx="445">
                  <c:v>4.4949494949494824</c:v>
                </c:pt>
                <c:pt idx="446">
                  <c:v>4.5050505050504928</c:v>
                </c:pt>
                <c:pt idx="447">
                  <c:v>4.5151515151515031</c:v>
                </c:pt>
                <c:pt idx="448">
                  <c:v>4.5252525252525135</c:v>
                </c:pt>
                <c:pt idx="449">
                  <c:v>4.5353535353535239</c:v>
                </c:pt>
                <c:pt idx="450">
                  <c:v>4.5454545454545343</c:v>
                </c:pt>
                <c:pt idx="451">
                  <c:v>4.5555555555555447</c:v>
                </c:pt>
                <c:pt idx="452">
                  <c:v>4.5656565656565551</c:v>
                </c:pt>
                <c:pt idx="453">
                  <c:v>4.5757575757575655</c:v>
                </c:pt>
                <c:pt idx="454">
                  <c:v>4.5858585858585759</c:v>
                </c:pt>
                <c:pt idx="455">
                  <c:v>4.5959595959595863</c:v>
                </c:pt>
                <c:pt idx="456">
                  <c:v>4.6060606060605966</c:v>
                </c:pt>
                <c:pt idx="457">
                  <c:v>4.616161616161607</c:v>
                </c:pt>
                <c:pt idx="458">
                  <c:v>4.6262626262626174</c:v>
                </c:pt>
                <c:pt idx="459">
                  <c:v>4.6363636363636278</c:v>
                </c:pt>
                <c:pt idx="460">
                  <c:v>4.6464646464646382</c:v>
                </c:pt>
                <c:pt idx="461">
                  <c:v>4.6565656565656486</c:v>
                </c:pt>
                <c:pt idx="462">
                  <c:v>4.666666666666659</c:v>
                </c:pt>
                <c:pt idx="463">
                  <c:v>4.6767676767676694</c:v>
                </c:pt>
                <c:pt idx="464">
                  <c:v>4.6868686868686797</c:v>
                </c:pt>
                <c:pt idx="465">
                  <c:v>4.6969696969696901</c:v>
                </c:pt>
                <c:pt idx="466">
                  <c:v>4.7070707070707005</c:v>
                </c:pt>
                <c:pt idx="467">
                  <c:v>4.7171717171717109</c:v>
                </c:pt>
                <c:pt idx="468">
                  <c:v>4.7272727272727213</c:v>
                </c:pt>
                <c:pt idx="469">
                  <c:v>4.7373737373737317</c:v>
                </c:pt>
                <c:pt idx="470">
                  <c:v>4.7474747474747421</c:v>
                </c:pt>
                <c:pt idx="471">
                  <c:v>4.7575757575757525</c:v>
                </c:pt>
                <c:pt idx="472">
                  <c:v>4.7676767676767629</c:v>
                </c:pt>
                <c:pt idx="473">
                  <c:v>4.7777777777777732</c:v>
                </c:pt>
                <c:pt idx="474">
                  <c:v>4.7878787878787836</c:v>
                </c:pt>
                <c:pt idx="475">
                  <c:v>4.797979797979794</c:v>
                </c:pt>
                <c:pt idx="476">
                  <c:v>4.8080808080808044</c:v>
                </c:pt>
                <c:pt idx="477">
                  <c:v>4.8181818181818148</c:v>
                </c:pt>
                <c:pt idx="478">
                  <c:v>4.8282828282828252</c:v>
                </c:pt>
                <c:pt idx="479">
                  <c:v>4.8383838383838356</c:v>
                </c:pt>
                <c:pt idx="480">
                  <c:v>4.848484848484846</c:v>
                </c:pt>
                <c:pt idx="481">
                  <c:v>4.8585858585858563</c:v>
                </c:pt>
                <c:pt idx="482">
                  <c:v>4.8686868686868667</c:v>
                </c:pt>
                <c:pt idx="483">
                  <c:v>4.8787878787878771</c:v>
                </c:pt>
                <c:pt idx="484">
                  <c:v>4.8888888888888875</c:v>
                </c:pt>
                <c:pt idx="485">
                  <c:v>4.8989898989898979</c:v>
                </c:pt>
                <c:pt idx="486">
                  <c:v>4.9090909090909083</c:v>
                </c:pt>
                <c:pt idx="487">
                  <c:v>4.9191919191919187</c:v>
                </c:pt>
                <c:pt idx="488">
                  <c:v>4.9292929292929291</c:v>
                </c:pt>
                <c:pt idx="489">
                  <c:v>4.9393939393939394</c:v>
                </c:pt>
                <c:pt idx="490">
                  <c:v>4.9494949494949498</c:v>
                </c:pt>
                <c:pt idx="491">
                  <c:v>4.9595959595959602</c:v>
                </c:pt>
                <c:pt idx="492">
                  <c:v>4.9696969696969706</c:v>
                </c:pt>
                <c:pt idx="493">
                  <c:v>4.979797979797981</c:v>
                </c:pt>
                <c:pt idx="494">
                  <c:v>4.9898989898989914</c:v>
                </c:pt>
                <c:pt idx="495">
                  <c:v>5.0000000000000018</c:v>
                </c:pt>
                <c:pt idx="496">
                  <c:v>5.0101010101010122</c:v>
                </c:pt>
                <c:pt idx="497">
                  <c:v>5.0202020202020226</c:v>
                </c:pt>
                <c:pt idx="498">
                  <c:v>5.0303030303030329</c:v>
                </c:pt>
                <c:pt idx="499">
                  <c:v>5.0404040404040433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SimData!$N$508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SimData!$N$509:$N$1008</c:f>
              <c:numCache>
                <c:formatCode>General</c:formatCode>
                <c:ptCount val="500"/>
                <c:pt idx="0">
                  <c:v>2.0915785801688243</c:v>
                </c:pt>
                <c:pt idx="1">
                  <c:v>3.8332270418016403</c:v>
                </c:pt>
                <c:pt idx="2">
                  <c:v>4.306442779894204</c:v>
                </c:pt>
                <c:pt idx="3">
                  <c:v>4.4976920437086241</c:v>
                </c:pt>
                <c:pt idx="4">
                  <c:v>4.9925971990361919</c:v>
                </c:pt>
                <c:pt idx="5">
                  <c:v>5.0736041851865519</c:v>
                </c:pt>
                <c:pt idx="6">
                  <c:v>5.3499943008867135</c:v>
                </c:pt>
                <c:pt idx="7">
                  <c:v>5.6197924253165361</c:v>
                </c:pt>
                <c:pt idx="8">
                  <c:v>5.8785140904850479</c:v>
                </c:pt>
                <c:pt idx="9">
                  <c:v>6.1478181632810305</c:v>
                </c:pt>
                <c:pt idx="10">
                  <c:v>6.1834802130769564</c:v>
                </c:pt>
                <c:pt idx="11">
                  <c:v>6.3313992741518916</c:v>
                </c:pt>
                <c:pt idx="12">
                  <c:v>6.4805839107224816</c:v>
                </c:pt>
                <c:pt idx="13">
                  <c:v>6.6554652238637981</c:v>
                </c:pt>
                <c:pt idx="14">
                  <c:v>6.8883817083955137</c:v>
                </c:pt>
                <c:pt idx="15">
                  <c:v>6.9803751356257813</c:v>
                </c:pt>
                <c:pt idx="16">
                  <c:v>7.1016419836619313</c:v>
                </c:pt>
                <c:pt idx="17">
                  <c:v>7.2123077000133664</c:v>
                </c:pt>
                <c:pt idx="18">
                  <c:v>7.2655529323855088</c:v>
                </c:pt>
                <c:pt idx="19">
                  <c:v>7.3760804010926186</c:v>
                </c:pt>
                <c:pt idx="20">
                  <c:v>7.5356063257117016</c:v>
                </c:pt>
                <c:pt idx="21">
                  <c:v>7.6365377615201471</c:v>
                </c:pt>
                <c:pt idx="22">
                  <c:v>7.7634081975140496</c:v>
                </c:pt>
                <c:pt idx="23">
                  <c:v>7.8776622552221962</c:v>
                </c:pt>
                <c:pt idx="24">
                  <c:v>7.964061261855834</c:v>
                </c:pt>
                <c:pt idx="25">
                  <c:v>7.9839809717358063</c:v>
                </c:pt>
                <c:pt idx="26">
                  <c:v>8.0813939751268418</c:v>
                </c:pt>
                <c:pt idx="27">
                  <c:v>8.2305285329226727</c:v>
                </c:pt>
                <c:pt idx="28">
                  <c:v>8.2734039488690616</c:v>
                </c:pt>
                <c:pt idx="29">
                  <c:v>8.3537303000376468</c:v>
                </c:pt>
                <c:pt idx="30">
                  <c:v>8.4324342957228211</c:v>
                </c:pt>
                <c:pt idx="31">
                  <c:v>8.5250083784870156</c:v>
                </c:pt>
                <c:pt idx="32">
                  <c:v>8.6133488438755688</c:v>
                </c:pt>
                <c:pt idx="33">
                  <c:v>8.7351826494724438</c:v>
                </c:pt>
                <c:pt idx="34">
                  <c:v>8.8210078917323731</c:v>
                </c:pt>
                <c:pt idx="35">
                  <c:v>8.8576608798521583</c:v>
                </c:pt>
                <c:pt idx="36">
                  <c:v>8.9328960627947183</c:v>
                </c:pt>
                <c:pt idx="37">
                  <c:v>9.018375623798855</c:v>
                </c:pt>
                <c:pt idx="38">
                  <c:v>9.1198448267533259</c:v>
                </c:pt>
                <c:pt idx="39">
                  <c:v>9.2264289875222634</c:v>
                </c:pt>
                <c:pt idx="40">
                  <c:v>9.3139276261699688</c:v>
                </c:pt>
                <c:pt idx="41">
                  <c:v>9.3827018610166775</c:v>
                </c:pt>
                <c:pt idx="42">
                  <c:v>9.4524833438450617</c:v>
                </c:pt>
                <c:pt idx="43">
                  <c:v>9.4907582918520195</c:v>
                </c:pt>
                <c:pt idx="44">
                  <c:v>9.6102876505999983</c:v>
                </c:pt>
                <c:pt idx="45">
                  <c:v>9.653298749316793</c:v>
                </c:pt>
                <c:pt idx="46">
                  <c:v>9.7337866376985875</c:v>
                </c:pt>
                <c:pt idx="47">
                  <c:v>9.7815322025954181</c:v>
                </c:pt>
                <c:pt idx="48">
                  <c:v>9.8643472083522283</c:v>
                </c:pt>
                <c:pt idx="49">
                  <c:v>9.9785814066562661</c:v>
                </c:pt>
                <c:pt idx="50">
                  <c:v>10.005786818826511</c:v>
                </c:pt>
                <c:pt idx="51">
                  <c:v>10.084093425932732</c:v>
                </c:pt>
                <c:pt idx="52">
                  <c:v>10.171220169434212</c:v>
                </c:pt>
                <c:pt idx="53">
                  <c:v>10.297233237686958</c:v>
                </c:pt>
                <c:pt idx="54">
                  <c:v>10.342305524357363</c:v>
                </c:pt>
                <c:pt idx="55">
                  <c:v>10.442859012594118</c:v>
                </c:pt>
                <c:pt idx="56">
                  <c:v>10.509543510274657</c:v>
                </c:pt>
                <c:pt idx="57">
                  <c:v>10.600316773162481</c:v>
                </c:pt>
                <c:pt idx="58">
                  <c:v>10.627943104619417</c:v>
                </c:pt>
                <c:pt idx="59">
                  <c:v>10.753864476693545</c:v>
                </c:pt>
                <c:pt idx="60">
                  <c:v>10.824068675373706</c:v>
                </c:pt>
                <c:pt idx="61">
                  <c:v>10.89373087953753</c:v>
                </c:pt>
                <c:pt idx="62">
                  <c:v>10.978171758418561</c:v>
                </c:pt>
                <c:pt idx="63">
                  <c:v>11.015084844845894</c:v>
                </c:pt>
                <c:pt idx="64">
                  <c:v>11.094212503490963</c:v>
                </c:pt>
                <c:pt idx="65">
                  <c:v>11.211380818798222</c:v>
                </c:pt>
                <c:pt idx="66">
                  <c:v>11.243242839026735</c:v>
                </c:pt>
                <c:pt idx="67">
                  <c:v>11.381981037942056</c:v>
                </c:pt>
                <c:pt idx="68">
                  <c:v>11.462036772840918</c:v>
                </c:pt>
                <c:pt idx="69">
                  <c:v>11.493578404289661</c:v>
                </c:pt>
                <c:pt idx="70">
                  <c:v>11.594320578282918</c:v>
                </c:pt>
                <c:pt idx="71">
                  <c:v>11.722288211586008</c:v>
                </c:pt>
                <c:pt idx="72">
                  <c:v>11.806503348940302</c:v>
                </c:pt>
                <c:pt idx="73">
                  <c:v>11.9079474774035</c:v>
                </c:pt>
                <c:pt idx="74">
                  <c:v>11.961948766413867</c:v>
                </c:pt>
                <c:pt idx="75">
                  <c:v>12.038839329081206</c:v>
                </c:pt>
                <c:pt idx="76">
                  <c:v>12.145940552012522</c:v>
                </c:pt>
                <c:pt idx="77">
                  <c:v>12.261168582814383</c:v>
                </c:pt>
                <c:pt idx="78">
                  <c:v>12.364497412417574</c:v>
                </c:pt>
                <c:pt idx="79">
                  <c:v>12.471012297773717</c:v>
                </c:pt>
                <c:pt idx="80">
                  <c:v>12.527477058046394</c:v>
                </c:pt>
                <c:pt idx="81">
                  <c:v>12.650977465639908</c:v>
                </c:pt>
                <c:pt idx="82">
                  <c:v>12.764211394665875</c:v>
                </c:pt>
                <c:pt idx="83">
                  <c:v>12.926973581771668</c:v>
                </c:pt>
                <c:pt idx="84">
                  <c:v>13.09963278501499</c:v>
                </c:pt>
                <c:pt idx="85">
                  <c:v>13.141381503641956</c:v>
                </c:pt>
                <c:pt idx="86">
                  <c:v>13.251304731660635</c:v>
                </c:pt>
                <c:pt idx="87">
                  <c:v>13.454095206795312</c:v>
                </c:pt>
                <c:pt idx="88">
                  <c:v>13.622304985614022</c:v>
                </c:pt>
                <c:pt idx="89">
                  <c:v>13.807084001590422</c:v>
                </c:pt>
                <c:pt idx="90">
                  <c:v>14.021974419436217</c:v>
                </c:pt>
                <c:pt idx="91">
                  <c:v>14.080040345814758</c:v>
                </c:pt>
                <c:pt idx="92">
                  <c:v>14.273339109339954</c:v>
                </c:pt>
                <c:pt idx="93">
                  <c:v>14.551628679628518</c:v>
                </c:pt>
                <c:pt idx="94">
                  <c:v>14.83511086767431</c:v>
                </c:pt>
                <c:pt idx="95">
                  <c:v>15.136162704983974</c:v>
                </c:pt>
                <c:pt idx="96">
                  <c:v>15.408639009151925</c:v>
                </c:pt>
                <c:pt idx="97">
                  <c:v>15.877837239104828</c:v>
                </c:pt>
                <c:pt idx="98">
                  <c:v>16.707259873341819</c:v>
                </c:pt>
                <c:pt idx="99">
                  <c:v>17.154482324562807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SimData!$O$509:$O$1008</c:f>
              <c:numCache>
                <c:formatCode>General</c:formatCode>
                <c:ptCount val="5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  <c:pt idx="100">
                  <c:v>1.0101010101010082</c:v>
                </c:pt>
                <c:pt idx="101">
                  <c:v>1.0202020202020183</c:v>
                </c:pt>
                <c:pt idx="102">
                  <c:v>1.0303030303030285</c:v>
                </c:pt>
                <c:pt idx="103">
                  <c:v>1.0404040404040387</c:v>
                </c:pt>
                <c:pt idx="104">
                  <c:v>1.0505050505050488</c:v>
                </c:pt>
                <c:pt idx="105">
                  <c:v>1.060606060606059</c:v>
                </c:pt>
                <c:pt idx="106">
                  <c:v>1.0707070707070692</c:v>
                </c:pt>
                <c:pt idx="107">
                  <c:v>1.0808080808080793</c:v>
                </c:pt>
                <c:pt idx="108">
                  <c:v>1.0909090909090895</c:v>
                </c:pt>
                <c:pt idx="109">
                  <c:v>1.1010101010100997</c:v>
                </c:pt>
                <c:pt idx="110">
                  <c:v>1.1111111111111098</c:v>
                </c:pt>
                <c:pt idx="111">
                  <c:v>1.12121212121212</c:v>
                </c:pt>
                <c:pt idx="112">
                  <c:v>1.1313131313131302</c:v>
                </c:pt>
                <c:pt idx="113">
                  <c:v>1.1414141414141403</c:v>
                </c:pt>
                <c:pt idx="114">
                  <c:v>1.1515151515151505</c:v>
                </c:pt>
                <c:pt idx="115">
                  <c:v>1.1616161616161607</c:v>
                </c:pt>
                <c:pt idx="116">
                  <c:v>1.1717171717171708</c:v>
                </c:pt>
                <c:pt idx="117">
                  <c:v>1.181818181818181</c:v>
                </c:pt>
                <c:pt idx="118">
                  <c:v>1.1919191919191912</c:v>
                </c:pt>
                <c:pt idx="119">
                  <c:v>1.2020202020202013</c:v>
                </c:pt>
                <c:pt idx="120">
                  <c:v>1.2121212121212115</c:v>
                </c:pt>
                <c:pt idx="121">
                  <c:v>1.2222222222222217</c:v>
                </c:pt>
                <c:pt idx="122">
                  <c:v>1.2323232323232318</c:v>
                </c:pt>
                <c:pt idx="123">
                  <c:v>1.242424242424242</c:v>
                </c:pt>
                <c:pt idx="124">
                  <c:v>1.2525252525252522</c:v>
                </c:pt>
                <c:pt idx="125">
                  <c:v>1.2626262626262623</c:v>
                </c:pt>
                <c:pt idx="126">
                  <c:v>1.2727272727272725</c:v>
                </c:pt>
                <c:pt idx="127">
                  <c:v>1.2828282828282827</c:v>
                </c:pt>
                <c:pt idx="128">
                  <c:v>1.2929292929292928</c:v>
                </c:pt>
                <c:pt idx="129">
                  <c:v>1.303030303030303</c:v>
                </c:pt>
                <c:pt idx="130">
                  <c:v>1.3131313131313131</c:v>
                </c:pt>
                <c:pt idx="131">
                  <c:v>1.3232323232323233</c:v>
                </c:pt>
                <c:pt idx="132">
                  <c:v>1.3333333333333335</c:v>
                </c:pt>
                <c:pt idx="133">
                  <c:v>1.3434343434343436</c:v>
                </c:pt>
                <c:pt idx="134">
                  <c:v>1.3535353535353538</c:v>
                </c:pt>
                <c:pt idx="135">
                  <c:v>1.363636363636364</c:v>
                </c:pt>
                <c:pt idx="136">
                  <c:v>1.3737373737373741</c:v>
                </c:pt>
                <c:pt idx="137">
                  <c:v>1.3838383838383843</c:v>
                </c:pt>
                <c:pt idx="138">
                  <c:v>1.3939393939393945</c:v>
                </c:pt>
                <c:pt idx="139">
                  <c:v>1.4040404040404046</c:v>
                </c:pt>
                <c:pt idx="140">
                  <c:v>1.4141414141414148</c:v>
                </c:pt>
                <c:pt idx="141">
                  <c:v>1.424242424242425</c:v>
                </c:pt>
                <c:pt idx="142">
                  <c:v>1.4343434343434351</c:v>
                </c:pt>
                <c:pt idx="143">
                  <c:v>1.4444444444444453</c:v>
                </c:pt>
                <c:pt idx="144">
                  <c:v>1.4545454545454555</c:v>
                </c:pt>
                <c:pt idx="145">
                  <c:v>1.4646464646464656</c:v>
                </c:pt>
                <c:pt idx="146">
                  <c:v>1.4747474747474758</c:v>
                </c:pt>
                <c:pt idx="147">
                  <c:v>1.484848484848486</c:v>
                </c:pt>
                <c:pt idx="148">
                  <c:v>1.4949494949494961</c:v>
                </c:pt>
                <c:pt idx="149">
                  <c:v>1.5050505050505063</c:v>
                </c:pt>
                <c:pt idx="150">
                  <c:v>1.5151515151515165</c:v>
                </c:pt>
                <c:pt idx="151">
                  <c:v>1.5252525252525266</c:v>
                </c:pt>
                <c:pt idx="152">
                  <c:v>1.5353535353535368</c:v>
                </c:pt>
                <c:pt idx="153">
                  <c:v>1.545454545454547</c:v>
                </c:pt>
                <c:pt idx="154">
                  <c:v>1.5555555555555571</c:v>
                </c:pt>
                <c:pt idx="155">
                  <c:v>1.5656565656565673</c:v>
                </c:pt>
                <c:pt idx="156">
                  <c:v>1.5757575757575775</c:v>
                </c:pt>
                <c:pt idx="157">
                  <c:v>1.5858585858585876</c:v>
                </c:pt>
                <c:pt idx="158">
                  <c:v>1.5959595959595978</c:v>
                </c:pt>
                <c:pt idx="159">
                  <c:v>1.606060606060608</c:v>
                </c:pt>
                <c:pt idx="160">
                  <c:v>1.6161616161616181</c:v>
                </c:pt>
                <c:pt idx="161">
                  <c:v>1.6262626262626283</c:v>
                </c:pt>
                <c:pt idx="162">
                  <c:v>1.6363636363636385</c:v>
                </c:pt>
                <c:pt idx="163">
                  <c:v>1.6464646464646486</c:v>
                </c:pt>
                <c:pt idx="164">
                  <c:v>1.6565656565656588</c:v>
                </c:pt>
                <c:pt idx="165">
                  <c:v>1.666666666666669</c:v>
                </c:pt>
                <c:pt idx="166">
                  <c:v>1.6767676767676791</c:v>
                </c:pt>
                <c:pt idx="167">
                  <c:v>1.6868686868686893</c:v>
                </c:pt>
                <c:pt idx="168">
                  <c:v>1.6969696969696995</c:v>
                </c:pt>
                <c:pt idx="169">
                  <c:v>1.7070707070707096</c:v>
                </c:pt>
                <c:pt idx="170">
                  <c:v>1.7171717171717198</c:v>
                </c:pt>
                <c:pt idx="171">
                  <c:v>1.72727272727273</c:v>
                </c:pt>
                <c:pt idx="172">
                  <c:v>1.7373737373737401</c:v>
                </c:pt>
                <c:pt idx="173">
                  <c:v>1.7474747474747503</c:v>
                </c:pt>
                <c:pt idx="174">
                  <c:v>1.7575757575757605</c:v>
                </c:pt>
                <c:pt idx="175">
                  <c:v>1.7676767676767706</c:v>
                </c:pt>
                <c:pt idx="176">
                  <c:v>1.7777777777777808</c:v>
                </c:pt>
                <c:pt idx="177">
                  <c:v>1.787878787878791</c:v>
                </c:pt>
                <c:pt idx="178">
                  <c:v>1.7979797979798011</c:v>
                </c:pt>
                <c:pt idx="179">
                  <c:v>1.8080808080808113</c:v>
                </c:pt>
                <c:pt idx="180">
                  <c:v>1.8181818181818215</c:v>
                </c:pt>
                <c:pt idx="181">
                  <c:v>1.8282828282828316</c:v>
                </c:pt>
                <c:pt idx="182">
                  <c:v>1.8383838383838418</c:v>
                </c:pt>
                <c:pt idx="183">
                  <c:v>1.848484848484852</c:v>
                </c:pt>
                <c:pt idx="184">
                  <c:v>1.8585858585858621</c:v>
                </c:pt>
                <c:pt idx="185">
                  <c:v>1.8686868686868723</c:v>
                </c:pt>
                <c:pt idx="186">
                  <c:v>1.8787878787878824</c:v>
                </c:pt>
                <c:pt idx="187">
                  <c:v>1.8888888888888926</c:v>
                </c:pt>
                <c:pt idx="188">
                  <c:v>1.8989898989899028</c:v>
                </c:pt>
                <c:pt idx="189">
                  <c:v>1.9090909090909129</c:v>
                </c:pt>
                <c:pt idx="190">
                  <c:v>1.9191919191919231</c:v>
                </c:pt>
                <c:pt idx="191">
                  <c:v>1.9292929292929333</c:v>
                </c:pt>
                <c:pt idx="192">
                  <c:v>1.9393939393939434</c:v>
                </c:pt>
                <c:pt idx="193">
                  <c:v>1.9494949494949536</c:v>
                </c:pt>
                <c:pt idx="194">
                  <c:v>1.9595959595959638</c:v>
                </c:pt>
                <c:pt idx="195">
                  <c:v>1.9696969696969739</c:v>
                </c:pt>
                <c:pt idx="196">
                  <c:v>1.9797979797979841</c:v>
                </c:pt>
                <c:pt idx="197">
                  <c:v>1.9898989898989943</c:v>
                </c:pt>
                <c:pt idx="198">
                  <c:v>2.0000000000000044</c:v>
                </c:pt>
                <c:pt idx="199">
                  <c:v>2.0101010101010144</c:v>
                </c:pt>
                <c:pt idx="200">
                  <c:v>2.0202020202020243</c:v>
                </c:pt>
                <c:pt idx="201">
                  <c:v>2.0303030303030343</c:v>
                </c:pt>
                <c:pt idx="202">
                  <c:v>2.0404040404040442</c:v>
                </c:pt>
                <c:pt idx="203">
                  <c:v>2.0505050505050542</c:v>
                </c:pt>
                <c:pt idx="204">
                  <c:v>2.0606060606060641</c:v>
                </c:pt>
                <c:pt idx="205">
                  <c:v>2.070707070707074</c:v>
                </c:pt>
                <c:pt idx="206">
                  <c:v>2.080808080808084</c:v>
                </c:pt>
                <c:pt idx="207">
                  <c:v>2.0909090909090939</c:v>
                </c:pt>
                <c:pt idx="208">
                  <c:v>2.1010101010101039</c:v>
                </c:pt>
                <c:pt idx="209">
                  <c:v>2.1111111111111138</c:v>
                </c:pt>
                <c:pt idx="210">
                  <c:v>2.1212121212121238</c:v>
                </c:pt>
                <c:pt idx="211">
                  <c:v>2.1313131313131337</c:v>
                </c:pt>
                <c:pt idx="212">
                  <c:v>2.1414141414141437</c:v>
                </c:pt>
                <c:pt idx="213">
                  <c:v>2.1515151515151536</c:v>
                </c:pt>
                <c:pt idx="214">
                  <c:v>2.1616161616161635</c:v>
                </c:pt>
                <c:pt idx="215">
                  <c:v>2.1717171717171735</c:v>
                </c:pt>
                <c:pt idx="216">
                  <c:v>2.1818181818181834</c:v>
                </c:pt>
                <c:pt idx="217">
                  <c:v>2.1919191919191934</c:v>
                </c:pt>
                <c:pt idx="218">
                  <c:v>2.2020202020202033</c:v>
                </c:pt>
                <c:pt idx="219">
                  <c:v>2.2121212121212133</c:v>
                </c:pt>
                <c:pt idx="220">
                  <c:v>2.2222222222222232</c:v>
                </c:pt>
                <c:pt idx="221">
                  <c:v>2.2323232323232332</c:v>
                </c:pt>
                <c:pt idx="222">
                  <c:v>2.2424242424242431</c:v>
                </c:pt>
                <c:pt idx="223">
                  <c:v>2.252525252525253</c:v>
                </c:pt>
                <c:pt idx="224">
                  <c:v>2.262626262626263</c:v>
                </c:pt>
                <c:pt idx="225">
                  <c:v>2.2727272727272729</c:v>
                </c:pt>
                <c:pt idx="226">
                  <c:v>2.2828282828282829</c:v>
                </c:pt>
                <c:pt idx="227">
                  <c:v>2.2929292929292928</c:v>
                </c:pt>
                <c:pt idx="228">
                  <c:v>2.3030303030303028</c:v>
                </c:pt>
                <c:pt idx="229">
                  <c:v>2.3131313131313127</c:v>
                </c:pt>
                <c:pt idx="230">
                  <c:v>2.3232323232323226</c:v>
                </c:pt>
                <c:pt idx="231">
                  <c:v>2.3333333333333326</c:v>
                </c:pt>
                <c:pt idx="232">
                  <c:v>2.3434343434343425</c:v>
                </c:pt>
                <c:pt idx="233">
                  <c:v>2.3535353535353525</c:v>
                </c:pt>
                <c:pt idx="234">
                  <c:v>2.3636363636363624</c:v>
                </c:pt>
                <c:pt idx="235">
                  <c:v>2.3737373737373724</c:v>
                </c:pt>
                <c:pt idx="236">
                  <c:v>2.3838383838383823</c:v>
                </c:pt>
                <c:pt idx="237">
                  <c:v>2.3939393939393923</c:v>
                </c:pt>
                <c:pt idx="238">
                  <c:v>2.4040404040404022</c:v>
                </c:pt>
                <c:pt idx="239">
                  <c:v>2.4141414141414121</c:v>
                </c:pt>
                <c:pt idx="240">
                  <c:v>2.4242424242424221</c:v>
                </c:pt>
                <c:pt idx="241">
                  <c:v>2.434343434343432</c:v>
                </c:pt>
                <c:pt idx="242">
                  <c:v>2.444444444444442</c:v>
                </c:pt>
                <c:pt idx="243">
                  <c:v>2.4545454545454519</c:v>
                </c:pt>
                <c:pt idx="244">
                  <c:v>2.4646464646464619</c:v>
                </c:pt>
                <c:pt idx="245">
                  <c:v>2.4747474747474718</c:v>
                </c:pt>
                <c:pt idx="246">
                  <c:v>2.4848484848484818</c:v>
                </c:pt>
                <c:pt idx="247">
                  <c:v>2.4949494949494917</c:v>
                </c:pt>
                <c:pt idx="248">
                  <c:v>2.5050505050505016</c:v>
                </c:pt>
                <c:pt idx="249">
                  <c:v>2.5151515151515116</c:v>
                </c:pt>
                <c:pt idx="250">
                  <c:v>2.5252525252525215</c:v>
                </c:pt>
                <c:pt idx="251">
                  <c:v>2.5353535353535315</c:v>
                </c:pt>
                <c:pt idx="252">
                  <c:v>2.5454545454545414</c:v>
                </c:pt>
                <c:pt idx="253">
                  <c:v>2.5555555555555514</c:v>
                </c:pt>
                <c:pt idx="254">
                  <c:v>2.5656565656565613</c:v>
                </c:pt>
                <c:pt idx="255">
                  <c:v>2.5757575757575712</c:v>
                </c:pt>
                <c:pt idx="256">
                  <c:v>2.5858585858585812</c:v>
                </c:pt>
                <c:pt idx="257">
                  <c:v>2.5959595959595911</c:v>
                </c:pt>
                <c:pt idx="258">
                  <c:v>2.6060606060606011</c:v>
                </c:pt>
                <c:pt idx="259">
                  <c:v>2.616161616161611</c:v>
                </c:pt>
                <c:pt idx="260">
                  <c:v>2.626262626262621</c:v>
                </c:pt>
                <c:pt idx="261">
                  <c:v>2.6363636363636309</c:v>
                </c:pt>
                <c:pt idx="262">
                  <c:v>2.6464646464646409</c:v>
                </c:pt>
                <c:pt idx="263">
                  <c:v>2.6565656565656508</c:v>
                </c:pt>
                <c:pt idx="264">
                  <c:v>2.6666666666666607</c:v>
                </c:pt>
                <c:pt idx="265">
                  <c:v>2.6767676767676707</c:v>
                </c:pt>
                <c:pt idx="266">
                  <c:v>2.6868686868686806</c:v>
                </c:pt>
                <c:pt idx="267">
                  <c:v>2.6969696969696906</c:v>
                </c:pt>
                <c:pt idx="268">
                  <c:v>2.7070707070707005</c:v>
                </c:pt>
                <c:pt idx="269">
                  <c:v>2.7171717171717105</c:v>
                </c:pt>
                <c:pt idx="270">
                  <c:v>2.7272727272727204</c:v>
                </c:pt>
                <c:pt idx="271">
                  <c:v>2.7373737373737304</c:v>
                </c:pt>
                <c:pt idx="272">
                  <c:v>2.7474747474747403</c:v>
                </c:pt>
                <c:pt idx="273">
                  <c:v>2.7575757575757502</c:v>
                </c:pt>
                <c:pt idx="274">
                  <c:v>2.7676767676767602</c:v>
                </c:pt>
                <c:pt idx="275">
                  <c:v>2.7777777777777701</c:v>
                </c:pt>
                <c:pt idx="276">
                  <c:v>2.7878787878787801</c:v>
                </c:pt>
                <c:pt idx="277">
                  <c:v>2.79797979797979</c:v>
                </c:pt>
                <c:pt idx="278">
                  <c:v>2.8080808080808</c:v>
                </c:pt>
                <c:pt idx="279">
                  <c:v>2.8181818181818099</c:v>
                </c:pt>
                <c:pt idx="280">
                  <c:v>2.8282828282828198</c:v>
                </c:pt>
                <c:pt idx="281">
                  <c:v>2.8383838383838298</c:v>
                </c:pt>
                <c:pt idx="282">
                  <c:v>2.8484848484848397</c:v>
                </c:pt>
                <c:pt idx="283">
                  <c:v>2.8585858585858497</c:v>
                </c:pt>
                <c:pt idx="284">
                  <c:v>2.8686868686868596</c:v>
                </c:pt>
                <c:pt idx="285">
                  <c:v>2.8787878787878696</c:v>
                </c:pt>
                <c:pt idx="286">
                  <c:v>2.8888888888888795</c:v>
                </c:pt>
                <c:pt idx="287">
                  <c:v>2.8989898989898895</c:v>
                </c:pt>
                <c:pt idx="288">
                  <c:v>2.9090909090908994</c:v>
                </c:pt>
                <c:pt idx="289">
                  <c:v>2.9191919191919093</c:v>
                </c:pt>
                <c:pt idx="290">
                  <c:v>2.9292929292929193</c:v>
                </c:pt>
                <c:pt idx="291">
                  <c:v>2.9393939393939292</c:v>
                </c:pt>
                <c:pt idx="292">
                  <c:v>2.9494949494949392</c:v>
                </c:pt>
                <c:pt idx="293">
                  <c:v>2.9595959595959491</c:v>
                </c:pt>
                <c:pt idx="294">
                  <c:v>2.9696969696969591</c:v>
                </c:pt>
                <c:pt idx="295">
                  <c:v>2.979797979797969</c:v>
                </c:pt>
                <c:pt idx="296">
                  <c:v>2.989898989898979</c:v>
                </c:pt>
                <c:pt idx="297">
                  <c:v>2.9999999999999889</c:v>
                </c:pt>
                <c:pt idx="298">
                  <c:v>3.0101010101009988</c:v>
                </c:pt>
                <c:pt idx="299">
                  <c:v>3.0202020202020088</c:v>
                </c:pt>
                <c:pt idx="300">
                  <c:v>3.0303030303030187</c:v>
                </c:pt>
                <c:pt idx="301">
                  <c:v>3.0404040404040287</c:v>
                </c:pt>
                <c:pt idx="302">
                  <c:v>3.0505050505050386</c:v>
                </c:pt>
                <c:pt idx="303">
                  <c:v>3.0606060606060486</c:v>
                </c:pt>
                <c:pt idx="304">
                  <c:v>3.0707070707070585</c:v>
                </c:pt>
                <c:pt idx="305">
                  <c:v>3.0808080808080684</c:v>
                </c:pt>
                <c:pt idx="306">
                  <c:v>3.0909090909090784</c:v>
                </c:pt>
                <c:pt idx="307">
                  <c:v>3.1010101010100883</c:v>
                </c:pt>
                <c:pt idx="308">
                  <c:v>3.1111111111110983</c:v>
                </c:pt>
                <c:pt idx="309">
                  <c:v>3.1212121212121082</c:v>
                </c:pt>
                <c:pt idx="310">
                  <c:v>3.1313131313131182</c:v>
                </c:pt>
                <c:pt idx="311">
                  <c:v>3.1414141414141281</c:v>
                </c:pt>
                <c:pt idx="312">
                  <c:v>3.1515151515151381</c:v>
                </c:pt>
                <c:pt idx="313">
                  <c:v>3.161616161616148</c:v>
                </c:pt>
                <c:pt idx="314">
                  <c:v>3.1717171717171579</c:v>
                </c:pt>
                <c:pt idx="315">
                  <c:v>3.1818181818181679</c:v>
                </c:pt>
                <c:pt idx="316">
                  <c:v>3.1919191919191778</c:v>
                </c:pt>
                <c:pt idx="317">
                  <c:v>3.2020202020201878</c:v>
                </c:pt>
                <c:pt idx="318">
                  <c:v>3.2121212121211977</c:v>
                </c:pt>
                <c:pt idx="319">
                  <c:v>3.2222222222222077</c:v>
                </c:pt>
                <c:pt idx="320">
                  <c:v>3.2323232323232176</c:v>
                </c:pt>
                <c:pt idx="321">
                  <c:v>3.2424242424242276</c:v>
                </c:pt>
                <c:pt idx="322">
                  <c:v>3.2525252525252375</c:v>
                </c:pt>
                <c:pt idx="323">
                  <c:v>3.2626262626262474</c:v>
                </c:pt>
                <c:pt idx="324">
                  <c:v>3.2727272727272574</c:v>
                </c:pt>
                <c:pt idx="325">
                  <c:v>3.2828282828282673</c:v>
                </c:pt>
                <c:pt idx="326">
                  <c:v>3.2929292929292773</c:v>
                </c:pt>
                <c:pt idx="327">
                  <c:v>3.3030303030302872</c:v>
                </c:pt>
                <c:pt idx="328">
                  <c:v>3.3131313131312972</c:v>
                </c:pt>
                <c:pt idx="329">
                  <c:v>3.3232323232323071</c:v>
                </c:pt>
                <c:pt idx="330">
                  <c:v>3.3333333333333171</c:v>
                </c:pt>
                <c:pt idx="331">
                  <c:v>3.343434343434327</c:v>
                </c:pt>
                <c:pt idx="332">
                  <c:v>3.3535353535353369</c:v>
                </c:pt>
                <c:pt idx="333">
                  <c:v>3.3636363636363469</c:v>
                </c:pt>
                <c:pt idx="334">
                  <c:v>3.3737373737373568</c:v>
                </c:pt>
                <c:pt idx="335">
                  <c:v>3.3838383838383668</c:v>
                </c:pt>
                <c:pt idx="336">
                  <c:v>3.3939393939393767</c:v>
                </c:pt>
                <c:pt idx="337">
                  <c:v>3.4040404040403867</c:v>
                </c:pt>
                <c:pt idx="338">
                  <c:v>3.4141414141413966</c:v>
                </c:pt>
                <c:pt idx="339">
                  <c:v>3.4242424242424065</c:v>
                </c:pt>
                <c:pt idx="340">
                  <c:v>3.4343434343434165</c:v>
                </c:pt>
                <c:pt idx="341">
                  <c:v>3.4444444444444264</c:v>
                </c:pt>
                <c:pt idx="342">
                  <c:v>3.4545454545454364</c:v>
                </c:pt>
                <c:pt idx="343">
                  <c:v>3.4646464646464463</c:v>
                </c:pt>
                <c:pt idx="344">
                  <c:v>3.4747474747474563</c:v>
                </c:pt>
                <c:pt idx="345">
                  <c:v>3.4848484848484662</c:v>
                </c:pt>
                <c:pt idx="346">
                  <c:v>3.4949494949494762</c:v>
                </c:pt>
                <c:pt idx="347">
                  <c:v>3.5050505050504861</c:v>
                </c:pt>
                <c:pt idx="348">
                  <c:v>3.515151515151496</c:v>
                </c:pt>
                <c:pt idx="349">
                  <c:v>3.525252525252506</c:v>
                </c:pt>
                <c:pt idx="350">
                  <c:v>3.5353535353535159</c:v>
                </c:pt>
                <c:pt idx="351">
                  <c:v>3.5454545454545259</c:v>
                </c:pt>
                <c:pt idx="352">
                  <c:v>3.5555555555555358</c:v>
                </c:pt>
                <c:pt idx="353">
                  <c:v>3.5656565656565458</c:v>
                </c:pt>
                <c:pt idx="354">
                  <c:v>3.5757575757575557</c:v>
                </c:pt>
                <c:pt idx="355">
                  <c:v>3.5858585858585657</c:v>
                </c:pt>
                <c:pt idx="356">
                  <c:v>3.5959595959595756</c:v>
                </c:pt>
                <c:pt idx="357">
                  <c:v>3.6060606060605855</c:v>
                </c:pt>
                <c:pt idx="358">
                  <c:v>3.6161616161615955</c:v>
                </c:pt>
                <c:pt idx="359">
                  <c:v>3.6262626262626054</c:v>
                </c:pt>
                <c:pt idx="360">
                  <c:v>3.6363636363636154</c:v>
                </c:pt>
                <c:pt idx="361">
                  <c:v>3.6464646464646253</c:v>
                </c:pt>
                <c:pt idx="362">
                  <c:v>3.6565656565656353</c:v>
                </c:pt>
                <c:pt idx="363">
                  <c:v>3.6666666666666452</c:v>
                </c:pt>
                <c:pt idx="364">
                  <c:v>3.6767676767676551</c:v>
                </c:pt>
                <c:pt idx="365">
                  <c:v>3.6868686868686651</c:v>
                </c:pt>
                <c:pt idx="366">
                  <c:v>3.696969696969675</c:v>
                </c:pt>
                <c:pt idx="367">
                  <c:v>3.707070707070685</c:v>
                </c:pt>
                <c:pt idx="368">
                  <c:v>3.7171717171716949</c:v>
                </c:pt>
                <c:pt idx="369">
                  <c:v>3.7272727272727049</c:v>
                </c:pt>
                <c:pt idx="370">
                  <c:v>3.7373737373737148</c:v>
                </c:pt>
                <c:pt idx="371">
                  <c:v>3.7474747474747248</c:v>
                </c:pt>
                <c:pt idx="372">
                  <c:v>3.7575757575757347</c:v>
                </c:pt>
                <c:pt idx="373">
                  <c:v>3.7676767676767446</c:v>
                </c:pt>
                <c:pt idx="374">
                  <c:v>3.7777777777777546</c:v>
                </c:pt>
                <c:pt idx="375">
                  <c:v>3.7878787878787645</c:v>
                </c:pt>
                <c:pt idx="376">
                  <c:v>3.7979797979797745</c:v>
                </c:pt>
                <c:pt idx="377">
                  <c:v>3.8080808080807844</c:v>
                </c:pt>
                <c:pt idx="378">
                  <c:v>3.8181818181817944</c:v>
                </c:pt>
                <c:pt idx="379">
                  <c:v>3.8282828282828043</c:v>
                </c:pt>
                <c:pt idx="380">
                  <c:v>3.8383838383838143</c:v>
                </c:pt>
                <c:pt idx="381">
                  <c:v>3.8484848484848242</c:v>
                </c:pt>
                <c:pt idx="382">
                  <c:v>3.8585858585858341</c:v>
                </c:pt>
                <c:pt idx="383">
                  <c:v>3.8686868686868441</c:v>
                </c:pt>
                <c:pt idx="384">
                  <c:v>3.878787878787854</c:v>
                </c:pt>
                <c:pt idx="385">
                  <c:v>3.888888888888864</c:v>
                </c:pt>
                <c:pt idx="386">
                  <c:v>3.8989898989898739</c:v>
                </c:pt>
                <c:pt idx="387">
                  <c:v>3.9090909090908839</c:v>
                </c:pt>
                <c:pt idx="388">
                  <c:v>3.9191919191918938</c:v>
                </c:pt>
                <c:pt idx="389">
                  <c:v>3.9292929292929037</c:v>
                </c:pt>
                <c:pt idx="390">
                  <c:v>3.9393939393939137</c:v>
                </c:pt>
                <c:pt idx="391">
                  <c:v>3.9494949494949236</c:v>
                </c:pt>
                <c:pt idx="392">
                  <c:v>3.9595959595959336</c:v>
                </c:pt>
                <c:pt idx="393">
                  <c:v>3.9696969696969435</c:v>
                </c:pt>
                <c:pt idx="394">
                  <c:v>3.9797979797979535</c:v>
                </c:pt>
                <c:pt idx="395">
                  <c:v>3.9898989898989634</c:v>
                </c:pt>
                <c:pt idx="396">
                  <c:v>3.9999999999999734</c:v>
                </c:pt>
                <c:pt idx="397">
                  <c:v>4.0101010101009837</c:v>
                </c:pt>
                <c:pt idx="398">
                  <c:v>4.0202020202019941</c:v>
                </c:pt>
                <c:pt idx="399">
                  <c:v>4.0303030303030045</c:v>
                </c:pt>
                <c:pt idx="400">
                  <c:v>4.0404040404040149</c:v>
                </c:pt>
                <c:pt idx="401">
                  <c:v>4.0505050505050253</c:v>
                </c:pt>
                <c:pt idx="402">
                  <c:v>4.0606060606060357</c:v>
                </c:pt>
                <c:pt idx="403">
                  <c:v>4.0707070707070461</c:v>
                </c:pt>
                <c:pt idx="404">
                  <c:v>4.0808080808080565</c:v>
                </c:pt>
                <c:pt idx="405">
                  <c:v>4.0909090909090668</c:v>
                </c:pt>
                <c:pt idx="406">
                  <c:v>4.1010101010100772</c:v>
                </c:pt>
                <c:pt idx="407">
                  <c:v>4.1111111111110876</c:v>
                </c:pt>
                <c:pt idx="408">
                  <c:v>4.121212121212098</c:v>
                </c:pt>
                <c:pt idx="409">
                  <c:v>4.1313131313131084</c:v>
                </c:pt>
                <c:pt idx="410">
                  <c:v>4.1414141414141188</c:v>
                </c:pt>
                <c:pt idx="411">
                  <c:v>4.1515151515151292</c:v>
                </c:pt>
                <c:pt idx="412">
                  <c:v>4.1616161616161396</c:v>
                </c:pt>
                <c:pt idx="413">
                  <c:v>4.17171717171715</c:v>
                </c:pt>
                <c:pt idx="414">
                  <c:v>4.1818181818181603</c:v>
                </c:pt>
                <c:pt idx="415">
                  <c:v>4.1919191919191707</c:v>
                </c:pt>
                <c:pt idx="416">
                  <c:v>4.2020202020201811</c:v>
                </c:pt>
                <c:pt idx="417">
                  <c:v>4.2121212121211915</c:v>
                </c:pt>
                <c:pt idx="418">
                  <c:v>4.2222222222222019</c:v>
                </c:pt>
                <c:pt idx="419">
                  <c:v>4.2323232323232123</c:v>
                </c:pt>
                <c:pt idx="420">
                  <c:v>4.2424242424242227</c:v>
                </c:pt>
                <c:pt idx="421">
                  <c:v>4.2525252525252331</c:v>
                </c:pt>
                <c:pt idx="422">
                  <c:v>4.2626262626262434</c:v>
                </c:pt>
                <c:pt idx="423">
                  <c:v>4.2727272727272538</c:v>
                </c:pt>
                <c:pt idx="424">
                  <c:v>4.2828282828282642</c:v>
                </c:pt>
                <c:pt idx="425">
                  <c:v>4.2929292929292746</c:v>
                </c:pt>
                <c:pt idx="426">
                  <c:v>4.303030303030285</c:v>
                </c:pt>
                <c:pt idx="427">
                  <c:v>4.3131313131312954</c:v>
                </c:pt>
                <c:pt idx="428">
                  <c:v>4.3232323232323058</c:v>
                </c:pt>
                <c:pt idx="429">
                  <c:v>4.3333333333333162</c:v>
                </c:pt>
                <c:pt idx="430">
                  <c:v>4.3434343434343265</c:v>
                </c:pt>
                <c:pt idx="431">
                  <c:v>4.3535353535353369</c:v>
                </c:pt>
                <c:pt idx="432">
                  <c:v>4.3636363636363473</c:v>
                </c:pt>
                <c:pt idx="433">
                  <c:v>4.3737373737373577</c:v>
                </c:pt>
                <c:pt idx="434">
                  <c:v>4.3838383838383681</c:v>
                </c:pt>
                <c:pt idx="435">
                  <c:v>4.3939393939393785</c:v>
                </c:pt>
                <c:pt idx="436">
                  <c:v>4.4040404040403889</c:v>
                </c:pt>
                <c:pt idx="437">
                  <c:v>4.4141414141413993</c:v>
                </c:pt>
                <c:pt idx="438">
                  <c:v>4.4242424242424097</c:v>
                </c:pt>
                <c:pt idx="439">
                  <c:v>4.43434343434342</c:v>
                </c:pt>
                <c:pt idx="440">
                  <c:v>4.4444444444444304</c:v>
                </c:pt>
                <c:pt idx="441">
                  <c:v>4.4545454545454408</c:v>
                </c:pt>
                <c:pt idx="442">
                  <c:v>4.4646464646464512</c:v>
                </c:pt>
                <c:pt idx="443">
                  <c:v>4.4747474747474616</c:v>
                </c:pt>
                <c:pt idx="444">
                  <c:v>4.484848484848472</c:v>
                </c:pt>
                <c:pt idx="445">
                  <c:v>4.4949494949494824</c:v>
                </c:pt>
                <c:pt idx="446">
                  <c:v>4.5050505050504928</c:v>
                </c:pt>
                <c:pt idx="447">
                  <c:v>4.5151515151515031</c:v>
                </c:pt>
                <c:pt idx="448">
                  <c:v>4.5252525252525135</c:v>
                </c:pt>
                <c:pt idx="449">
                  <c:v>4.5353535353535239</c:v>
                </c:pt>
                <c:pt idx="450">
                  <c:v>4.5454545454545343</c:v>
                </c:pt>
                <c:pt idx="451">
                  <c:v>4.5555555555555447</c:v>
                </c:pt>
                <c:pt idx="452">
                  <c:v>4.5656565656565551</c:v>
                </c:pt>
                <c:pt idx="453">
                  <c:v>4.5757575757575655</c:v>
                </c:pt>
                <c:pt idx="454">
                  <c:v>4.5858585858585759</c:v>
                </c:pt>
                <c:pt idx="455">
                  <c:v>4.5959595959595863</c:v>
                </c:pt>
                <c:pt idx="456">
                  <c:v>4.6060606060605966</c:v>
                </c:pt>
                <c:pt idx="457">
                  <c:v>4.616161616161607</c:v>
                </c:pt>
                <c:pt idx="458">
                  <c:v>4.6262626262626174</c:v>
                </c:pt>
                <c:pt idx="459">
                  <c:v>4.6363636363636278</c:v>
                </c:pt>
                <c:pt idx="460">
                  <c:v>4.6464646464646382</c:v>
                </c:pt>
                <c:pt idx="461">
                  <c:v>4.6565656565656486</c:v>
                </c:pt>
                <c:pt idx="462">
                  <c:v>4.666666666666659</c:v>
                </c:pt>
                <c:pt idx="463">
                  <c:v>4.6767676767676694</c:v>
                </c:pt>
                <c:pt idx="464">
                  <c:v>4.6868686868686797</c:v>
                </c:pt>
                <c:pt idx="465">
                  <c:v>4.6969696969696901</c:v>
                </c:pt>
                <c:pt idx="466">
                  <c:v>4.7070707070707005</c:v>
                </c:pt>
                <c:pt idx="467">
                  <c:v>4.7171717171717109</c:v>
                </c:pt>
                <c:pt idx="468">
                  <c:v>4.7272727272727213</c:v>
                </c:pt>
                <c:pt idx="469">
                  <c:v>4.7373737373737317</c:v>
                </c:pt>
                <c:pt idx="470">
                  <c:v>4.7474747474747421</c:v>
                </c:pt>
                <c:pt idx="471">
                  <c:v>4.7575757575757525</c:v>
                </c:pt>
                <c:pt idx="472">
                  <c:v>4.7676767676767629</c:v>
                </c:pt>
                <c:pt idx="473">
                  <c:v>4.7777777777777732</c:v>
                </c:pt>
                <c:pt idx="474">
                  <c:v>4.7878787878787836</c:v>
                </c:pt>
                <c:pt idx="475">
                  <c:v>4.797979797979794</c:v>
                </c:pt>
                <c:pt idx="476">
                  <c:v>4.8080808080808044</c:v>
                </c:pt>
                <c:pt idx="477">
                  <c:v>4.8181818181818148</c:v>
                </c:pt>
                <c:pt idx="478">
                  <c:v>4.8282828282828252</c:v>
                </c:pt>
                <c:pt idx="479">
                  <c:v>4.8383838383838356</c:v>
                </c:pt>
                <c:pt idx="480">
                  <c:v>4.848484848484846</c:v>
                </c:pt>
                <c:pt idx="481">
                  <c:v>4.8585858585858563</c:v>
                </c:pt>
                <c:pt idx="482">
                  <c:v>4.8686868686868667</c:v>
                </c:pt>
                <c:pt idx="483">
                  <c:v>4.8787878787878771</c:v>
                </c:pt>
                <c:pt idx="484">
                  <c:v>4.8888888888888875</c:v>
                </c:pt>
                <c:pt idx="485">
                  <c:v>4.8989898989898979</c:v>
                </c:pt>
                <c:pt idx="486">
                  <c:v>4.9090909090909083</c:v>
                </c:pt>
                <c:pt idx="487">
                  <c:v>4.9191919191919187</c:v>
                </c:pt>
                <c:pt idx="488">
                  <c:v>4.9292929292929291</c:v>
                </c:pt>
                <c:pt idx="489">
                  <c:v>4.9393939393939394</c:v>
                </c:pt>
                <c:pt idx="490">
                  <c:v>4.9494949494949498</c:v>
                </c:pt>
                <c:pt idx="491">
                  <c:v>4.9595959595959602</c:v>
                </c:pt>
                <c:pt idx="492">
                  <c:v>4.9696969696969706</c:v>
                </c:pt>
                <c:pt idx="493">
                  <c:v>4.979797979797981</c:v>
                </c:pt>
                <c:pt idx="494">
                  <c:v>4.9898989898989914</c:v>
                </c:pt>
                <c:pt idx="495">
                  <c:v>5.0000000000000018</c:v>
                </c:pt>
                <c:pt idx="496">
                  <c:v>5.0101010101010122</c:v>
                </c:pt>
                <c:pt idx="497">
                  <c:v>5.0202020202020226</c:v>
                </c:pt>
                <c:pt idx="498">
                  <c:v>5.0303030303030329</c:v>
                </c:pt>
                <c:pt idx="499">
                  <c:v>5.0404040404040433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SimData!$P$508</c:f>
              <c:strCache>
                <c:ptCount val="1"/>
                <c:pt idx="0">
                  <c:v>Empirical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SimData!$P$509:$P$1008</c:f>
              <c:numCache>
                <c:formatCode>General</c:formatCode>
                <c:ptCount val="500"/>
                <c:pt idx="0">
                  <c:v>9.9990583643867783</c:v>
                </c:pt>
                <c:pt idx="1">
                  <c:v>9.999110295197557</c:v>
                </c:pt>
                <c:pt idx="2">
                  <c:v>9.9992721139747118</c:v>
                </c:pt>
                <c:pt idx="3">
                  <c:v>9.9993687567140839</c:v>
                </c:pt>
                <c:pt idx="4">
                  <c:v>9.999431983583964</c:v>
                </c:pt>
                <c:pt idx="5">
                  <c:v>9.9995857271680819</c:v>
                </c:pt>
                <c:pt idx="6">
                  <c:v>9.9996084611354412</c:v>
                </c:pt>
                <c:pt idx="7">
                  <c:v>9.9997640112944559</c:v>
                </c:pt>
                <c:pt idx="8">
                  <c:v>9.9998624309638657</c:v>
                </c:pt>
                <c:pt idx="9">
                  <c:v>9.9999249233433112</c:v>
                </c:pt>
                <c:pt idx="10">
                  <c:v>10.010715412141456</c:v>
                </c:pt>
                <c:pt idx="11">
                  <c:v>10.152201619151095</c:v>
                </c:pt>
                <c:pt idx="12">
                  <c:v>10.217616893727708</c:v>
                </c:pt>
                <c:pt idx="13">
                  <c:v>10.336333127048876</c:v>
                </c:pt>
                <c:pt idx="14">
                  <c:v>10.442961144783292</c:v>
                </c:pt>
                <c:pt idx="15">
                  <c:v>10.506435748656848</c:v>
                </c:pt>
                <c:pt idx="16">
                  <c:v>10.605462597172117</c:v>
                </c:pt>
                <c:pt idx="17">
                  <c:v>10.778557043703868</c:v>
                </c:pt>
                <c:pt idx="18">
                  <c:v>10.810867390458208</c:v>
                </c:pt>
                <c:pt idx="19">
                  <c:v>10.968414977953866</c:v>
                </c:pt>
                <c:pt idx="20">
                  <c:v>11.003794791527044</c:v>
                </c:pt>
                <c:pt idx="21">
                  <c:v>11.11893304333066</c:v>
                </c:pt>
                <c:pt idx="22">
                  <c:v>11.237884912974639</c:v>
                </c:pt>
                <c:pt idx="23">
                  <c:v>11.315828017917422</c:v>
                </c:pt>
                <c:pt idx="24">
                  <c:v>11.444423147417703</c:v>
                </c:pt>
                <c:pt idx="25">
                  <c:v>11.513820658115163</c:v>
                </c:pt>
                <c:pt idx="26">
                  <c:v>11.657040865616183</c:v>
                </c:pt>
                <c:pt idx="27">
                  <c:v>11.733632186272562</c:v>
                </c:pt>
                <c:pt idx="28">
                  <c:v>11.889943179765238</c:v>
                </c:pt>
                <c:pt idx="29">
                  <c:v>11.99185967726909</c:v>
                </c:pt>
                <c:pt idx="30">
                  <c:v>12.046965071569888</c:v>
                </c:pt>
                <c:pt idx="31">
                  <c:v>12.092389924892316</c:v>
                </c:pt>
                <c:pt idx="32">
                  <c:v>12.140215626321783</c:v>
                </c:pt>
                <c:pt idx="33">
                  <c:v>12.18776910301246</c:v>
                </c:pt>
                <c:pt idx="34">
                  <c:v>12.225183396501276</c:v>
                </c:pt>
                <c:pt idx="35">
                  <c:v>12.277885238937541</c:v>
                </c:pt>
                <c:pt idx="36">
                  <c:v>12.336018177211754</c:v>
                </c:pt>
                <c:pt idx="37">
                  <c:v>12.380859532878002</c:v>
                </c:pt>
                <c:pt idx="38">
                  <c:v>12.401138254022491</c:v>
                </c:pt>
                <c:pt idx="39">
                  <c:v>12.460208985549446</c:v>
                </c:pt>
                <c:pt idx="40">
                  <c:v>12.543604935494626</c:v>
                </c:pt>
                <c:pt idx="41">
                  <c:v>12.584955354310795</c:v>
                </c:pt>
                <c:pt idx="42">
                  <c:v>12.643479757032702</c:v>
                </c:pt>
                <c:pt idx="43">
                  <c:v>12.663548304725799</c:v>
                </c:pt>
                <c:pt idx="44">
                  <c:v>12.708592253133792</c:v>
                </c:pt>
                <c:pt idx="45">
                  <c:v>12.763698429931816</c:v>
                </c:pt>
                <c:pt idx="46">
                  <c:v>12.825309354154232</c:v>
                </c:pt>
                <c:pt idx="47">
                  <c:v>12.870277615874139</c:v>
                </c:pt>
                <c:pt idx="48">
                  <c:v>12.912051616809809</c:v>
                </c:pt>
                <c:pt idx="49">
                  <c:v>12.956972768625006</c:v>
                </c:pt>
                <c:pt idx="50">
                  <c:v>13.04185022976991</c:v>
                </c:pt>
                <c:pt idx="51">
                  <c:v>13.056345828228245</c:v>
                </c:pt>
                <c:pt idx="52">
                  <c:v>13.149470920476473</c:v>
                </c:pt>
                <c:pt idx="53">
                  <c:v>13.160922589784237</c:v>
                </c:pt>
                <c:pt idx="54">
                  <c:v>13.249003656522605</c:v>
                </c:pt>
                <c:pt idx="55">
                  <c:v>13.285163983687564</c:v>
                </c:pt>
                <c:pt idx="56">
                  <c:v>13.315732147373662</c:v>
                </c:pt>
                <c:pt idx="57">
                  <c:v>13.374356794409536</c:v>
                </c:pt>
                <c:pt idx="58">
                  <c:v>13.430451918714786</c:v>
                </c:pt>
                <c:pt idx="59">
                  <c:v>13.464551200930623</c:v>
                </c:pt>
                <c:pt idx="60">
                  <c:v>13.527262841276187</c:v>
                </c:pt>
                <c:pt idx="61">
                  <c:v>13.594299471307149</c:v>
                </c:pt>
                <c:pt idx="62">
                  <c:v>13.609421023169864</c:v>
                </c:pt>
                <c:pt idx="63">
                  <c:v>13.687330521535438</c:v>
                </c:pt>
                <c:pt idx="64">
                  <c:v>13.72336027882373</c:v>
                </c:pt>
                <c:pt idx="65">
                  <c:v>13.781933122205533</c:v>
                </c:pt>
                <c:pt idx="66">
                  <c:v>13.808248800332251</c:v>
                </c:pt>
                <c:pt idx="67">
                  <c:v>13.892279237553542</c:v>
                </c:pt>
                <c:pt idx="68">
                  <c:v>13.916169066847342</c:v>
                </c:pt>
                <c:pt idx="69">
                  <c:v>13.982112630371031</c:v>
                </c:pt>
                <c:pt idx="70">
                  <c:v>14.026460495387777</c:v>
                </c:pt>
                <c:pt idx="71">
                  <c:v>14.095484785268894</c:v>
                </c:pt>
                <c:pt idx="72">
                  <c:v>14.110845273246721</c:v>
                </c:pt>
                <c:pt idx="73">
                  <c:v>14.194692216428159</c:v>
                </c:pt>
                <c:pt idx="74">
                  <c:v>14.227959019627413</c:v>
                </c:pt>
                <c:pt idx="75">
                  <c:v>14.250228361936806</c:v>
                </c:pt>
                <c:pt idx="76">
                  <c:v>14.3026634617482</c:v>
                </c:pt>
                <c:pt idx="77">
                  <c:v>14.381322888199083</c:v>
                </c:pt>
                <c:pt idx="78">
                  <c:v>14.401985428447832</c:v>
                </c:pt>
                <c:pt idx="79">
                  <c:v>14.477856100019499</c:v>
                </c:pt>
                <c:pt idx="80">
                  <c:v>14.526106126822089</c:v>
                </c:pt>
                <c:pt idx="81">
                  <c:v>14.593222537018178</c:v>
                </c:pt>
                <c:pt idx="82">
                  <c:v>14.631787359896531</c:v>
                </c:pt>
                <c:pt idx="83">
                  <c:v>14.691384662371451</c:v>
                </c:pt>
                <c:pt idx="84">
                  <c:v>14.717495522640528</c:v>
                </c:pt>
                <c:pt idx="85">
                  <c:v>14.773466642171487</c:v>
                </c:pt>
                <c:pt idx="86">
                  <c:v>14.823378362628487</c:v>
                </c:pt>
                <c:pt idx="87">
                  <c:v>14.860405894056989</c:v>
                </c:pt>
                <c:pt idx="88">
                  <c:v>14.915940483465311</c:v>
                </c:pt>
                <c:pt idx="89">
                  <c:v>14.979845557403715</c:v>
                </c:pt>
                <c:pt idx="90">
                  <c:v>15.00010735496455</c:v>
                </c:pt>
                <c:pt idx="91">
                  <c:v>15.00018869841456</c:v>
                </c:pt>
                <c:pt idx="92">
                  <c:v>15.00041620665831</c:v>
                </c:pt>
                <c:pt idx="93">
                  <c:v>15.000592065820934</c:v>
                </c:pt>
                <c:pt idx="94">
                  <c:v>15.000608648772458</c:v>
                </c:pt>
                <c:pt idx="95">
                  <c:v>15.000815051155925</c:v>
                </c:pt>
                <c:pt idx="96">
                  <c:v>15.000960550946372</c:v>
                </c:pt>
                <c:pt idx="97">
                  <c:v>15.00119699435964</c:v>
                </c:pt>
                <c:pt idx="98">
                  <c:v>15.001245276318921</c:v>
                </c:pt>
                <c:pt idx="99">
                  <c:v>15.001470549299887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SimData!$Q$509:$Q$1008</c:f>
              <c:numCache>
                <c:formatCode>General</c:formatCode>
                <c:ptCount val="5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  <c:pt idx="100">
                  <c:v>1.0101010101010082</c:v>
                </c:pt>
                <c:pt idx="101">
                  <c:v>1.0202020202020183</c:v>
                </c:pt>
                <c:pt idx="102">
                  <c:v>1.0303030303030285</c:v>
                </c:pt>
                <c:pt idx="103">
                  <c:v>1.0404040404040387</c:v>
                </c:pt>
                <c:pt idx="104">
                  <c:v>1.0505050505050488</c:v>
                </c:pt>
                <c:pt idx="105">
                  <c:v>1.060606060606059</c:v>
                </c:pt>
                <c:pt idx="106">
                  <c:v>1.0707070707070692</c:v>
                </c:pt>
                <c:pt idx="107">
                  <c:v>1.0808080808080793</c:v>
                </c:pt>
                <c:pt idx="108">
                  <c:v>1.0909090909090895</c:v>
                </c:pt>
                <c:pt idx="109">
                  <c:v>1.1010101010100997</c:v>
                </c:pt>
                <c:pt idx="110">
                  <c:v>1.1111111111111098</c:v>
                </c:pt>
                <c:pt idx="111">
                  <c:v>1.12121212121212</c:v>
                </c:pt>
                <c:pt idx="112">
                  <c:v>1.1313131313131302</c:v>
                </c:pt>
                <c:pt idx="113">
                  <c:v>1.1414141414141403</c:v>
                </c:pt>
                <c:pt idx="114">
                  <c:v>1.1515151515151505</c:v>
                </c:pt>
                <c:pt idx="115">
                  <c:v>1.1616161616161607</c:v>
                </c:pt>
                <c:pt idx="116">
                  <c:v>1.1717171717171708</c:v>
                </c:pt>
                <c:pt idx="117">
                  <c:v>1.181818181818181</c:v>
                </c:pt>
                <c:pt idx="118">
                  <c:v>1.1919191919191912</c:v>
                </c:pt>
                <c:pt idx="119">
                  <c:v>1.2020202020202013</c:v>
                </c:pt>
                <c:pt idx="120">
                  <c:v>1.2121212121212115</c:v>
                </c:pt>
                <c:pt idx="121">
                  <c:v>1.2222222222222217</c:v>
                </c:pt>
                <c:pt idx="122">
                  <c:v>1.2323232323232318</c:v>
                </c:pt>
                <c:pt idx="123">
                  <c:v>1.242424242424242</c:v>
                </c:pt>
                <c:pt idx="124">
                  <c:v>1.2525252525252522</c:v>
                </c:pt>
                <c:pt idx="125">
                  <c:v>1.2626262626262623</c:v>
                </c:pt>
                <c:pt idx="126">
                  <c:v>1.2727272727272725</c:v>
                </c:pt>
                <c:pt idx="127">
                  <c:v>1.2828282828282827</c:v>
                </c:pt>
                <c:pt idx="128">
                  <c:v>1.2929292929292928</c:v>
                </c:pt>
                <c:pt idx="129">
                  <c:v>1.303030303030303</c:v>
                </c:pt>
                <c:pt idx="130">
                  <c:v>1.3131313131313131</c:v>
                </c:pt>
                <c:pt idx="131">
                  <c:v>1.3232323232323233</c:v>
                </c:pt>
                <c:pt idx="132">
                  <c:v>1.3333333333333335</c:v>
                </c:pt>
                <c:pt idx="133">
                  <c:v>1.3434343434343436</c:v>
                </c:pt>
                <c:pt idx="134">
                  <c:v>1.3535353535353538</c:v>
                </c:pt>
                <c:pt idx="135">
                  <c:v>1.363636363636364</c:v>
                </c:pt>
                <c:pt idx="136">
                  <c:v>1.3737373737373741</c:v>
                </c:pt>
                <c:pt idx="137">
                  <c:v>1.3838383838383843</c:v>
                </c:pt>
                <c:pt idx="138">
                  <c:v>1.3939393939393945</c:v>
                </c:pt>
                <c:pt idx="139">
                  <c:v>1.4040404040404046</c:v>
                </c:pt>
                <c:pt idx="140">
                  <c:v>1.4141414141414148</c:v>
                </c:pt>
                <c:pt idx="141">
                  <c:v>1.424242424242425</c:v>
                </c:pt>
                <c:pt idx="142">
                  <c:v>1.4343434343434351</c:v>
                </c:pt>
                <c:pt idx="143">
                  <c:v>1.4444444444444453</c:v>
                </c:pt>
                <c:pt idx="144">
                  <c:v>1.4545454545454555</c:v>
                </c:pt>
                <c:pt idx="145">
                  <c:v>1.4646464646464656</c:v>
                </c:pt>
                <c:pt idx="146">
                  <c:v>1.4747474747474758</c:v>
                </c:pt>
                <c:pt idx="147">
                  <c:v>1.484848484848486</c:v>
                </c:pt>
                <c:pt idx="148">
                  <c:v>1.4949494949494961</c:v>
                </c:pt>
                <c:pt idx="149">
                  <c:v>1.5050505050505063</c:v>
                </c:pt>
                <c:pt idx="150">
                  <c:v>1.5151515151515165</c:v>
                </c:pt>
                <c:pt idx="151">
                  <c:v>1.5252525252525266</c:v>
                </c:pt>
                <c:pt idx="152">
                  <c:v>1.5353535353535368</c:v>
                </c:pt>
                <c:pt idx="153">
                  <c:v>1.545454545454547</c:v>
                </c:pt>
                <c:pt idx="154">
                  <c:v>1.5555555555555571</c:v>
                </c:pt>
                <c:pt idx="155">
                  <c:v>1.5656565656565673</c:v>
                </c:pt>
                <c:pt idx="156">
                  <c:v>1.5757575757575775</c:v>
                </c:pt>
                <c:pt idx="157">
                  <c:v>1.5858585858585876</c:v>
                </c:pt>
                <c:pt idx="158">
                  <c:v>1.5959595959595978</c:v>
                </c:pt>
                <c:pt idx="159">
                  <c:v>1.606060606060608</c:v>
                </c:pt>
                <c:pt idx="160">
                  <c:v>1.6161616161616181</c:v>
                </c:pt>
                <c:pt idx="161">
                  <c:v>1.6262626262626283</c:v>
                </c:pt>
                <c:pt idx="162">
                  <c:v>1.6363636363636385</c:v>
                </c:pt>
                <c:pt idx="163">
                  <c:v>1.6464646464646486</c:v>
                </c:pt>
                <c:pt idx="164">
                  <c:v>1.6565656565656588</c:v>
                </c:pt>
                <c:pt idx="165">
                  <c:v>1.666666666666669</c:v>
                </c:pt>
                <c:pt idx="166">
                  <c:v>1.6767676767676791</c:v>
                </c:pt>
                <c:pt idx="167">
                  <c:v>1.6868686868686893</c:v>
                </c:pt>
                <c:pt idx="168">
                  <c:v>1.6969696969696995</c:v>
                </c:pt>
                <c:pt idx="169">
                  <c:v>1.7070707070707096</c:v>
                </c:pt>
                <c:pt idx="170">
                  <c:v>1.7171717171717198</c:v>
                </c:pt>
                <c:pt idx="171">
                  <c:v>1.72727272727273</c:v>
                </c:pt>
                <c:pt idx="172">
                  <c:v>1.7373737373737401</c:v>
                </c:pt>
                <c:pt idx="173">
                  <c:v>1.7474747474747503</c:v>
                </c:pt>
                <c:pt idx="174">
                  <c:v>1.7575757575757605</c:v>
                </c:pt>
                <c:pt idx="175">
                  <c:v>1.7676767676767706</c:v>
                </c:pt>
                <c:pt idx="176">
                  <c:v>1.7777777777777808</c:v>
                </c:pt>
                <c:pt idx="177">
                  <c:v>1.787878787878791</c:v>
                </c:pt>
                <c:pt idx="178">
                  <c:v>1.7979797979798011</c:v>
                </c:pt>
                <c:pt idx="179">
                  <c:v>1.8080808080808113</c:v>
                </c:pt>
                <c:pt idx="180">
                  <c:v>1.8181818181818215</c:v>
                </c:pt>
                <c:pt idx="181">
                  <c:v>1.8282828282828316</c:v>
                </c:pt>
                <c:pt idx="182">
                  <c:v>1.8383838383838418</c:v>
                </c:pt>
                <c:pt idx="183">
                  <c:v>1.848484848484852</c:v>
                </c:pt>
                <c:pt idx="184">
                  <c:v>1.8585858585858621</c:v>
                </c:pt>
                <c:pt idx="185">
                  <c:v>1.8686868686868723</c:v>
                </c:pt>
                <c:pt idx="186">
                  <c:v>1.8787878787878824</c:v>
                </c:pt>
                <c:pt idx="187">
                  <c:v>1.8888888888888926</c:v>
                </c:pt>
                <c:pt idx="188">
                  <c:v>1.8989898989899028</c:v>
                </c:pt>
                <c:pt idx="189">
                  <c:v>1.9090909090909129</c:v>
                </c:pt>
                <c:pt idx="190">
                  <c:v>1.9191919191919231</c:v>
                </c:pt>
                <c:pt idx="191">
                  <c:v>1.9292929292929333</c:v>
                </c:pt>
                <c:pt idx="192">
                  <c:v>1.9393939393939434</c:v>
                </c:pt>
                <c:pt idx="193">
                  <c:v>1.9494949494949536</c:v>
                </c:pt>
                <c:pt idx="194">
                  <c:v>1.9595959595959638</c:v>
                </c:pt>
                <c:pt idx="195">
                  <c:v>1.9696969696969739</c:v>
                </c:pt>
                <c:pt idx="196">
                  <c:v>1.9797979797979841</c:v>
                </c:pt>
                <c:pt idx="197">
                  <c:v>1.9898989898989943</c:v>
                </c:pt>
                <c:pt idx="198">
                  <c:v>2.0000000000000044</c:v>
                </c:pt>
                <c:pt idx="199">
                  <c:v>2.0101010101010144</c:v>
                </c:pt>
                <c:pt idx="200">
                  <c:v>2.0202020202020243</c:v>
                </c:pt>
                <c:pt idx="201">
                  <c:v>2.0303030303030343</c:v>
                </c:pt>
                <c:pt idx="202">
                  <c:v>2.0404040404040442</c:v>
                </c:pt>
                <c:pt idx="203">
                  <c:v>2.0505050505050542</c:v>
                </c:pt>
                <c:pt idx="204">
                  <c:v>2.0606060606060641</c:v>
                </c:pt>
                <c:pt idx="205">
                  <c:v>2.070707070707074</c:v>
                </c:pt>
                <c:pt idx="206">
                  <c:v>2.080808080808084</c:v>
                </c:pt>
                <c:pt idx="207">
                  <c:v>2.0909090909090939</c:v>
                </c:pt>
                <c:pt idx="208">
                  <c:v>2.1010101010101039</c:v>
                </c:pt>
                <c:pt idx="209">
                  <c:v>2.1111111111111138</c:v>
                </c:pt>
                <c:pt idx="210">
                  <c:v>2.1212121212121238</c:v>
                </c:pt>
                <c:pt idx="211">
                  <c:v>2.1313131313131337</c:v>
                </c:pt>
                <c:pt idx="212">
                  <c:v>2.1414141414141437</c:v>
                </c:pt>
                <c:pt idx="213">
                  <c:v>2.1515151515151536</c:v>
                </c:pt>
                <c:pt idx="214">
                  <c:v>2.1616161616161635</c:v>
                </c:pt>
                <c:pt idx="215">
                  <c:v>2.1717171717171735</c:v>
                </c:pt>
                <c:pt idx="216">
                  <c:v>2.1818181818181834</c:v>
                </c:pt>
                <c:pt idx="217">
                  <c:v>2.1919191919191934</c:v>
                </c:pt>
                <c:pt idx="218">
                  <c:v>2.2020202020202033</c:v>
                </c:pt>
                <c:pt idx="219">
                  <c:v>2.2121212121212133</c:v>
                </c:pt>
                <c:pt idx="220">
                  <c:v>2.2222222222222232</c:v>
                </c:pt>
                <c:pt idx="221">
                  <c:v>2.2323232323232332</c:v>
                </c:pt>
                <c:pt idx="222">
                  <c:v>2.2424242424242431</c:v>
                </c:pt>
                <c:pt idx="223">
                  <c:v>2.252525252525253</c:v>
                </c:pt>
                <c:pt idx="224">
                  <c:v>2.262626262626263</c:v>
                </c:pt>
                <c:pt idx="225">
                  <c:v>2.2727272727272729</c:v>
                </c:pt>
                <c:pt idx="226">
                  <c:v>2.2828282828282829</c:v>
                </c:pt>
                <c:pt idx="227">
                  <c:v>2.2929292929292928</c:v>
                </c:pt>
                <c:pt idx="228">
                  <c:v>2.3030303030303028</c:v>
                </c:pt>
                <c:pt idx="229">
                  <c:v>2.3131313131313127</c:v>
                </c:pt>
                <c:pt idx="230">
                  <c:v>2.3232323232323226</c:v>
                </c:pt>
                <c:pt idx="231">
                  <c:v>2.3333333333333326</c:v>
                </c:pt>
                <c:pt idx="232">
                  <c:v>2.3434343434343425</c:v>
                </c:pt>
                <c:pt idx="233">
                  <c:v>2.3535353535353525</c:v>
                </c:pt>
                <c:pt idx="234">
                  <c:v>2.3636363636363624</c:v>
                </c:pt>
                <c:pt idx="235">
                  <c:v>2.3737373737373724</c:v>
                </c:pt>
                <c:pt idx="236">
                  <c:v>2.3838383838383823</c:v>
                </c:pt>
                <c:pt idx="237">
                  <c:v>2.3939393939393923</c:v>
                </c:pt>
                <c:pt idx="238">
                  <c:v>2.4040404040404022</c:v>
                </c:pt>
                <c:pt idx="239">
                  <c:v>2.4141414141414121</c:v>
                </c:pt>
                <c:pt idx="240">
                  <c:v>2.4242424242424221</c:v>
                </c:pt>
                <c:pt idx="241">
                  <c:v>2.434343434343432</c:v>
                </c:pt>
                <c:pt idx="242">
                  <c:v>2.444444444444442</c:v>
                </c:pt>
                <c:pt idx="243">
                  <c:v>2.4545454545454519</c:v>
                </c:pt>
                <c:pt idx="244">
                  <c:v>2.4646464646464619</c:v>
                </c:pt>
                <c:pt idx="245">
                  <c:v>2.4747474747474718</c:v>
                </c:pt>
                <c:pt idx="246">
                  <c:v>2.4848484848484818</c:v>
                </c:pt>
                <c:pt idx="247">
                  <c:v>2.4949494949494917</c:v>
                </c:pt>
                <c:pt idx="248">
                  <c:v>2.5050505050505016</c:v>
                </c:pt>
                <c:pt idx="249">
                  <c:v>2.5151515151515116</c:v>
                </c:pt>
                <c:pt idx="250">
                  <c:v>2.5252525252525215</c:v>
                </c:pt>
                <c:pt idx="251">
                  <c:v>2.5353535353535315</c:v>
                </c:pt>
                <c:pt idx="252">
                  <c:v>2.5454545454545414</c:v>
                </c:pt>
                <c:pt idx="253">
                  <c:v>2.5555555555555514</c:v>
                </c:pt>
                <c:pt idx="254">
                  <c:v>2.5656565656565613</c:v>
                </c:pt>
                <c:pt idx="255">
                  <c:v>2.5757575757575712</c:v>
                </c:pt>
                <c:pt idx="256">
                  <c:v>2.5858585858585812</c:v>
                </c:pt>
                <c:pt idx="257">
                  <c:v>2.5959595959595911</c:v>
                </c:pt>
                <c:pt idx="258">
                  <c:v>2.6060606060606011</c:v>
                </c:pt>
                <c:pt idx="259">
                  <c:v>2.616161616161611</c:v>
                </c:pt>
                <c:pt idx="260">
                  <c:v>2.626262626262621</c:v>
                </c:pt>
                <c:pt idx="261">
                  <c:v>2.6363636363636309</c:v>
                </c:pt>
                <c:pt idx="262">
                  <c:v>2.6464646464646409</c:v>
                </c:pt>
                <c:pt idx="263">
                  <c:v>2.6565656565656508</c:v>
                </c:pt>
                <c:pt idx="264">
                  <c:v>2.6666666666666607</c:v>
                </c:pt>
                <c:pt idx="265">
                  <c:v>2.6767676767676707</c:v>
                </c:pt>
                <c:pt idx="266">
                  <c:v>2.6868686868686806</c:v>
                </c:pt>
                <c:pt idx="267">
                  <c:v>2.6969696969696906</c:v>
                </c:pt>
                <c:pt idx="268">
                  <c:v>2.7070707070707005</c:v>
                </c:pt>
                <c:pt idx="269">
                  <c:v>2.7171717171717105</c:v>
                </c:pt>
                <c:pt idx="270">
                  <c:v>2.7272727272727204</c:v>
                </c:pt>
                <c:pt idx="271">
                  <c:v>2.7373737373737304</c:v>
                </c:pt>
                <c:pt idx="272">
                  <c:v>2.7474747474747403</c:v>
                </c:pt>
                <c:pt idx="273">
                  <c:v>2.7575757575757502</c:v>
                </c:pt>
                <c:pt idx="274">
                  <c:v>2.7676767676767602</c:v>
                </c:pt>
                <c:pt idx="275">
                  <c:v>2.7777777777777701</c:v>
                </c:pt>
                <c:pt idx="276">
                  <c:v>2.7878787878787801</c:v>
                </c:pt>
                <c:pt idx="277">
                  <c:v>2.79797979797979</c:v>
                </c:pt>
                <c:pt idx="278">
                  <c:v>2.8080808080808</c:v>
                </c:pt>
                <c:pt idx="279">
                  <c:v>2.8181818181818099</c:v>
                </c:pt>
                <c:pt idx="280">
                  <c:v>2.8282828282828198</c:v>
                </c:pt>
                <c:pt idx="281">
                  <c:v>2.8383838383838298</c:v>
                </c:pt>
                <c:pt idx="282">
                  <c:v>2.8484848484848397</c:v>
                </c:pt>
                <c:pt idx="283">
                  <c:v>2.8585858585858497</c:v>
                </c:pt>
                <c:pt idx="284">
                  <c:v>2.8686868686868596</c:v>
                </c:pt>
                <c:pt idx="285">
                  <c:v>2.8787878787878696</c:v>
                </c:pt>
                <c:pt idx="286">
                  <c:v>2.8888888888888795</c:v>
                </c:pt>
                <c:pt idx="287">
                  <c:v>2.8989898989898895</c:v>
                </c:pt>
                <c:pt idx="288">
                  <c:v>2.9090909090908994</c:v>
                </c:pt>
                <c:pt idx="289">
                  <c:v>2.9191919191919093</c:v>
                </c:pt>
                <c:pt idx="290">
                  <c:v>2.9292929292929193</c:v>
                </c:pt>
                <c:pt idx="291">
                  <c:v>2.9393939393939292</c:v>
                </c:pt>
                <c:pt idx="292">
                  <c:v>2.9494949494949392</c:v>
                </c:pt>
                <c:pt idx="293">
                  <c:v>2.9595959595959491</c:v>
                </c:pt>
                <c:pt idx="294">
                  <c:v>2.9696969696969591</c:v>
                </c:pt>
                <c:pt idx="295">
                  <c:v>2.979797979797969</c:v>
                </c:pt>
                <c:pt idx="296">
                  <c:v>2.989898989898979</c:v>
                </c:pt>
                <c:pt idx="297">
                  <c:v>2.9999999999999889</c:v>
                </c:pt>
                <c:pt idx="298">
                  <c:v>3.0101010101009988</c:v>
                </c:pt>
                <c:pt idx="299">
                  <c:v>3.0202020202020088</c:v>
                </c:pt>
                <c:pt idx="300">
                  <c:v>3.0303030303030187</c:v>
                </c:pt>
                <c:pt idx="301">
                  <c:v>3.0404040404040287</c:v>
                </c:pt>
                <c:pt idx="302">
                  <c:v>3.0505050505050386</c:v>
                </c:pt>
                <c:pt idx="303">
                  <c:v>3.0606060606060486</c:v>
                </c:pt>
                <c:pt idx="304">
                  <c:v>3.0707070707070585</c:v>
                </c:pt>
                <c:pt idx="305">
                  <c:v>3.0808080808080684</c:v>
                </c:pt>
                <c:pt idx="306">
                  <c:v>3.0909090909090784</c:v>
                </c:pt>
                <c:pt idx="307">
                  <c:v>3.1010101010100883</c:v>
                </c:pt>
                <c:pt idx="308">
                  <c:v>3.1111111111110983</c:v>
                </c:pt>
                <c:pt idx="309">
                  <c:v>3.1212121212121082</c:v>
                </c:pt>
                <c:pt idx="310">
                  <c:v>3.1313131313131182</c:v>
                </c:pt>
                <c:pt idx="311">
                  <c:v>3.1414141414141281</c:v>
                </c:pt>
                <c:pt idx="312">
                  <c:v>3.1515151515151381</c:v>
                </c:pt>
                <c:pt idx="313">
                  <c:v>3.161616161616148</c:v>
                </c:pt>
                <c:pt idx="314">
                  <c:v>3.1717171717171579</c:v>
                </c:pt>
                <c:pt idx="315">
                  <c:v>3.1818181818181679</c:v>
                </c:pt>
                <c:pt idx="316">
                  <c:v>3.1919191919191778</c:v>
                </c:pt>
                <c:pt idx="317">
                  <c:v>3.2020202020201878</c:v>
                </c:pt>
                <c:pt idx="318">
                  <c:v>3.2121212121211977</c:v>
                </c:pt>
                <c:pt idx="319">
                  <c:v>3.2222222222222077</c:v>
                </c:pt>
                <c:pt idx="320">
                  <c:v>3.2323232323232176</c:v>
                </c:pt>
                <c:pt idx="321">
                  <c:v>3.2424242424242276</c:v>
                </c:pt>
                <c:pt idx="322">
                  <c:v>3.2525252525252375</c:v>
                </c:pt>
                <c:pt idx="323">
                  <c:v>3.2626262626262474</c:v>
                </c:pt>
                <c:pt idx="324">
                  <c:v>3.2727272727272574</c:v>
                </c:pt>
                <c:pt idx="325">
                  <c:v>3.2828282828282673</c:v>
                </c:pt>
                <c:pt idx="326">
                  <c:v>3.2929292929292773</c:v>
                </c:pt>
                <c:pt idx="327">
                  <c:v>3.3030303030302872</c:v>
                </c:pt>
                <c:pt idx="328">
                  <c:v>3.3131313131312972</c:v>
                </c:pt>
                <c:pt idx="329">
                  <c:v>3.3232323232323071</c:v>
                </c:pt>
                <c:pt idx="330">
                  <c:v>3.3333333333333171</c:v>
                </c:pt>
                <c:pt idx="331">
                  <c:v>3.343434343434327</c:v>
                </c:pt>
                <c:pt idx="332">
                  <c:v>3.3535353535353369</c:v>
                </c:pt>
                <c:pt idx="333">
                  <c:v>3.3636363636363469</c:v>
                </c:pt>
                <c:pt idx="334">
                  <c:v>3.3737373737373568</c:v>
                </c:pt>
                <c:pt idx="335">
                  <c:v>3.3838383838383668</c:v>
                </c:pt>
                <c:pt idx="336">
                  <c:v>3.3939393939393767</c:v>
                </c:pt>
                <c:pt idx="337">
                  <c:v>3.4040404040403867</c:v>
                </c:pt>
                <c:pt idx="338">
                  <c:v>3.4141414141413966</c:v>
                </c:pt>
                <c:pt idx="339">
                  <c:v>3.4242424242424065</c:v>
                </c:pt>
                <c:pt idx="340">
                  <c:v>3.4343434343434165</c:v>
                </c:pt>
                <c:pt idx="341">
                  <c:v>3.4444444444444264</c:v>
                </c:pt>
                <c:pt idx="342">
                  <c:v>3.4545454545454364</c:v>
                </c:pt>
                <c:pt idx="343">
                  <c:v>3.4646464646464463</c:v>
                </c:pt>
                <c:pt idx="344">
                  <c:v>3.4747474747474563</c:v>
                </c:pt>
                <c:pt idx="345">
                  <c:v>3.4848484848484662</c:v>
                </c:pt>
                <c:pt idx="346">
                  <c:v>3.4949494949494762</c:v>
                </c:pt>
                <c:pt idx="347">
                  <c:v>3.5050505050504861</c:v>
                </c:pt>
                <c:pt idx="348">
                  <c:v>3.515151515151496</c:v>
                </c:pt>
                <c:pt idx="349">
                  <c:v>3.525252525252506</c:v>
                </c:pt>
                <c:pt idx="350">
                  <c:v>3.5353535353535159</c:v>
                </c:pt>
                <c:pt idx="351">
                  <c:v>3.5454545454545259</c:v>
                </c:pt>
                <c:pt idx="352">
                  <c:v>3.5555555555555358</c:v>
                </c:pt>
                <c:pt idx="353">
                  <c:v>3.5656565656565458</c:v>
                </c:pt>
                <c:pt idx="354">
                  <c:v>3.5757575757575557</c:v>
                </c:pt>
                <c:pt idx="355">
                  <c:v>3.5858585858585657</c:v>
                </c:pt>
                <c:pt idx="356">
                  <c:v>3.5959595959595756</c:v>
                </c:pt>
                <c:pt idx="357">
                  <c:v>3.6060606060605855</c:v>
                </c:pt>
                <c:pt idx="358">
                  <c:v>3.6161616161615955</c:v>
                </c:pt>
                <c:pt idx="359">
                  <c:v>3.6262626262626054</c:v>
                </c:pt>
                <c:pt idx="360">
                  <c:v>3.6363636363636154</c:v>
                </c:pt>
                <c:pt idx="361">
                  <c:v>3.6464646464646253</c:v>
                </c:pt>
                <c:pt idx="362">
                  <c:v>3.6565656565656353</c:v>
                </c:pt>
                <c:pt idx="363">
                  <c:v>3.6666666666666452</c:v>
                </c:pt>
                <c:pt idx="364">
                  <c:v>3.6767676767676551</c:v>
                </c:pt>
                <c:pt idx="365">
                  <c:v>3.6868686868686651</c:v>
                </c:pt>
                <c:pt idx="366">
                  <c:v>3.696969696969675</c:v>
                </c:pt>
                <c:pt idx="367">
                  <c:v>3.707070707070685</c:v>
                </c:pt>
                <c:pt idx="368">
                  <c:v>3.7171717171716949</c:v>
                </c:pt>
                <c:pt idx="369">
                  <c:v>3.7272727272727049</c:v>
                </c:pt>
                <c:pt idx="370">
                  <c:v>3.7373737373737148</c:v>
                </c:pt>
                <c:pt idx="371">
                  <c:v>3.7474747474747248</c:v>
                </c:pt>
                <c:pt idx="372">
                  <c:v>3.7575757575757347</c:v>
                </c:pt>
                <c:pt idx="373">
                  <c:v>3.7676767676767446</c:v>
                </c:pt>
                <c:pt idx="374">
                  <c:v>3.7777777777777546</c:v>
                </c:pt>
                <c:pt idx="375">
                  <c:v>3.7878787878787645</c:v>
                </c:pt>
                <c:pt idx="376">
                  <c:v>3.7979797979797745</c:v>
                </c:pt>
                <c:pt idx="377">
                  <c:v>3.8080808080807844</c:v>
                </c:pt>
                <c:pt idx="378">
                  <c:v>3.8181818181817944</c:v>
                </c:pt>
                <c:pt idx="379">
                  <c:v>3.8282828282828043</c:v>
                </c:pt>
                <c:pt idx="380">
                  <c:v>3.8383838383838143</c:v>
                </c:pt>
                <c:pt idx="381">
                  <c:v>3.8484848484848242</c:v>
                </c:pt>
                <c:pt idx="382">
                  <c:v>3.8585858585858341</c:v>
                </c:pt>
                <c:pt idx="383">
                  <c:v>3.8686868686868441</c:v>
                </c:pt>
                <c:pt idx="384">
                  <c:v>3.878787878787854</c:v>
                </c:pt>
                <c:pt idx="385">
                  <c:v>3.888888888888864</c:v>
                </c:pt>
                <c:pt idx="386">
                  <c:v>3.8989898989898739</c:v>
                </c:pt>
                <c:pt idx="387">
                  <c:v>3.9090909090908839</c:v>
                </c:pt>
                <c:pt idx="388">
                  <c:v>3.9191919191918938</c:v>
                </c:pt>
                <c:pt idx="389">
                  <c:v>3.9292929292929037</c:v>
                </c:pt>
                <c:pt idx="390">
                  <c:v>3.9393939393939137</c:v>
                </c:pt>
                <c:pt idx="391">
                  <c:v>3.9494949494949236</c:v>
                </c:pt>
                <c:pt idx="392">
                  <c:v>3.9595959595959336</c:v>
                </c:pt>
                <c:pt idx="393">
                  <c:v>3.9696969696969435</c:v>
                </c:pt>
                <c:pt idx="394">
                  <c:v>3.9797979797979535</c:v>
                </c:pt>
                <c:pt idx="395">
                  <c:v>3.9898989898989634</c:v>
                </c:pt>
                <c:pt idx="396">
                  <c:v>3.9999999999999734</c:v>
                </c:pt>
                <c:pt idx="397">
                  <c:v>4.0101010101009837</c:v>
                </c:pt>
                <c:pt idx="398">
                  <c:v>4.0202020202019941</c:v>
                </c:pt>
                <c:pt idx="399">
                  <c:v>4.0303030303030045</c:v>
                </c:pt>
                <c:pt idx="400">
                  <c:v>4.0404040404040149</c:v>
                </c:pt>
                <c:pt idx="401">
                  <c:v>4.0505050505050253</c:v>
                </c:pt>
                <c:pt idx="402">
                  <c:v>4.0606060606060357</c:v>
                </c:pt>
                <c:pt idx="403">
                  <c:v>4.0707070707070461</c:v>
                </c:pt>
                <c:pt idx="404">
                  <c:v>4.0808080808080565</c:v>
                </c:pt>
                <c:pt idx="405">
                  <c:v>4.0909090909090668</c:v>
                </c:pt>
                <c:pt idx="406">
                  <c:v>4.1010101010100772</c:v>
                </c:pt>
                <c:pt idx="407">
                  <c:v>4.1111111111110876</c:v>
                </c:pt>
                <c:pt idx="408">
                  <c:v>4.121212121212098</c:v>
                </c:pt>
                <c:pt idx="409">
                  <c:v>4.1313131313131084</c:v>
                </c:pt>
                <c:pt idx="410">
                  <c:v>4.1414141414141188</c:v>
                </c:pt>
                <c:pt idx="411">
                  <c:v>4.1515151515151292</c:v>
                </c:pt>
                <c:pt idx="412">
                  <c:v>4.1616161616161396</c:v>
                </c:pt>
                <c:pt idx="413">
                  <c:v>4.17171717171715</c:v>
                </c:pt>
                <c:pt idx="414">
                  <c:v>4.1818181818181603</c:v>
                </c:pt>
                <c:pt idx="415">
                  <c:v>4.1919191919191707</c:v>
                </c:pt>
                <c:pt idx="416">
                  <c:v>4.2020202020201811</c:v>
                </c:pt>
                <c:pt idx="417">
                  <c:v>4.2121212121211915</c:v>
                </c:pt>
                <c:pt idx="418">
                  <c:v>4.2222222222222019</c:v>
                </c:pt>
                <c:pt idx="419">
                  <c:v>4.2323232323232123</c:v>
                </c:pt>
                <c:pt idx="420">
                  <c:v>4.2424242424242227</c:v>
                </c:pt>
                <c:pt idx="421">
                  <c:v>4.2525252525252331</c:v>
                </c:pt>
                <c:pt idx="422">
                  <c:v>4.2626262626262434</c:v>
                </c:pt>
                <c:pt idx="423">
                  <c:v>4.2727272727272538</c:v>
                </c:pt>
                <c:pt idx="424">
                  <c:v>4.2828282828282642</c:v>
                </c:pt>
                <c:pt idx="425">
                  <c:v>4.2929292929292746</c:v>
                </c:pt>
                <c:pt idx="426">
                  <c:v>4.303030303030285</c:v>
                </c:pt>
                <c:pt idx="427">
                  <c:v>4.3131313131312954</c:v>
                </c:pt>
                <c:pt idx="428">
                  <c:v>4.3232323232323058</c:v>
                </c:pt>
                <c:pt idx="429">
                  <c:v>4.3333333333333162</c:v>
                </c:pt>
                <c:pt idx="430">
                  <c:v>4.3434343434343265</c:v>
                </c:pt>
                <c:pt idx="431">
                  <c:v>4.3535353535353369</c:v>
                </c:pt>
                <c:pt idx="432">
                  <c:v>4.3636363636363473</c:v>
                </c:pt>
                <c:pt idx="433">
                  <c:v>4.3737373737373577</c:v>
                </c:pt>
                <c:pt idx="434">
                  <c:v>4.3838383838383681</c:v>
                </c:pt>
                <c:pt idx="435">
                  <c:v>4.3939393939393785</c:v>
                </c:pt>
                <c:pt idx="436">
                  <c:v>4.4040404040403889</c:v>
                </c:pt>
                <c:pt idx="437">
                  <c:v>4.4141414141413993</c:v>
                </c:pt>
                <c:pt idx="438">
                  <c:v>4.4242424242424097</c:v>
                </c:pt>
                <c:pt idx="439">
                  <c:v>4.43434343434342</c:v>
                </c:pt>
                <c:pt idx="440">
                  <c:v>4.4444444444444304</c:v>
                </c:pt>
                <c:pt idx="441">
                  <c:v>4.4545454545454408</c:v>
                </c:pt>
                <c:pt idx="442">
                  <c:v>4.4646464646464512</c:v>
                </c:pt>
                <c:pt idx="443">
                  <c:v>4.4747474747474616</c:v>
                </c:pt>
                <c:pt idx="444">
                  <c:v>4.484848484848472</c:v>
                </c:pt>
                <c:pt idx="445">
                  <c:v>4.4949494949494824</c:v>
                </c:pt>
                <c:pt idx="446">
                  <c:v>4.5050505050504928</c:v>
                </c:pt>
                <c:pt idx="447">
                  <c:v>4.5151515151515031</c:v>
                </c:pt>
                <c:pt idx="448">
                  <c:v>4.5252525252525135</c:v>
                </c:pt>
                <c:pt idx="449">
                  <c:v>4.5353535353535239</c:v>
                </c:pt>
                <c:pt idx="450">
                  <c:v>4.5454545454545343</c:v>
                </c:pt>
                <c:pt idx="451">
                  <c:v>4.5555555555555447</c:v>
                </c:pt>
                <c:pt idx="452">
                  <c:v>4.5656565656565551</c:v>
                </c:pt>
                <c:pt idx="453">
                  <c:v>4.5757575757575655</c:v>
                </c:pt>
                <c:pt idx="454">
                  <c:v>4.5858585858585759</c:v>
                </c:pt>
                <c:pt idx="455">
                  <c:v>4.5959595959595863</c:v>
                </c:pt>
                <c:pt idx="456">
                  <c:v>4.6060606060605966</c:v>
                </c:pt>
                <c:pt idx="457">
                  <c:v>4.616161616161607</c:v>
                </c:pt>
                <c:pt idx="458">
                  <c:v>4.6262626262626174</c:v>
                </c:pt>
                <c:pt idx="459">
                  <c:v>4.6363636363636278</c:v>
                </c:pt>
                <c:pt idx="460">
                  <c:v>4.6464646464646382</c:v>
                </c:pt>
                <c:pt idx="461">
                  <c:v>4.6565656565656486</c:v>
                </c:pt>
                <c:pt idx="462">
                  <c:v>4.666666666666659</c:v>
                </c:pt>
                <c:pt idx="463">
                  <c:v>4.6767676767676694</c:v>
                </c:pt>
                <c:pt idx="464">
                  <c:v>4.6868686868686797</c:v>
                </c:pt>
                <c:pt idx="465">
                  <c:v>4.6969696969696901</c:v>
                </c:pt>
                <c:pt idx="466">
                  <c:v>4.7070707070707005</c:v>
                </c:pt>
                <c:pt idx="467">
                  <c:v>4.7171717171717109</c:v>
                </c:pt>
                <c:pt idx="468">
                  <c:v>4.7272727272727213</c:v>
                </c:pt>
                <c:pt idx="469">
                  <c:v>4.7373737373737317</c:v>
                </c:pt>
                <c:pt idx="470">
                  <c:v>4.7474747474747421</c:v>
                </c:pt>
                <c:pt idx="471">
                  <c:v>4.7575757575757525</c:v>
                </c:pt>
                <c:pt idx="472">
                  <c:v>4.7676767676767629</c:v>
                </c:pt>
                <c:pt idx="473">
                  <c:v>4.7777777777777732</c:v>
                </c:pt>
                <c:pt idx="474">
                  <c:v>4.7878787878787836</c:v>
                </c:pt>
                <c:pt idx="475">
                  <c:v>4.797979797979794</c:v>
                </c:pt>
                <c:pt idx="476">
                  <c:v>4.8080808080808044</c:v>
                </c:pt>
                <c:pt idx="477">
                  <c:v>4.8181818181818148</c:v>
                </c:pt>
                <c:pt idx="478">
                  <c:v>4.8282828282828252</c:v>
                </c:pt>
                <c:pt idx="479">
                  <c:v>4.8383838383838356</c:v>
                </c:pt>
                <c:pt idx="480">
                  <c:v>4.848484848484846</c:v>
                </c:pt>
                <c:pt idx="481">
                  <c:v>4.8585858585858563</c:v>
                </c:pt>
                <c:pt idx="482">
                  <c:v>4.8686868686868667</c:v>
                </c:pt>
                <c:pt idx="483">
                  <c:v>4.8787878787878771</c:v>
                </c:pt>
                <c:pt idx="484">
                  <c:v>4.8888888888888875</c:v>
                </c:pt>
                <c:pt idx="485">
                  <c:v>4.8989898989898979</c:v>
                </c:pt>
                <c:pt idx="486">
                  <c:v>4.9090909090909083</c:v>
                </c:pt>
                <c:pt idx="487">
                  <c:v>4.9191919191919187</c:v>
                </c:pt>
                <c:pt idx="488">
                  <c:v>4.9292929292929291</c:v>
                </c:pt>
                <c:pt idx="489">
                  <c:v>4.9393939393939394</c:v>
                </c:pt>
                <c:pt idx="490">
                  <c:v>4.9494949494949498</c:v>
                </c:pt>
                <c:pt idx="491">
                  <c:v>4.9595959595959602</c:v>
                </c:pt>
                <c:pt idx="492">
                  <c:v>4.9696969696969706</c:v>
                </c:pt>
                <c:pt idx="493">
                  <c:v>4.979797979797981</c:v>
                </c:pt>
                <c:pt idx="494">
                  <c:v>4.9898989898989914</c:v>
                </c:pt>
                <c:pt idx="495">
                  <c:v>5.0000000000000018</c:v>
                </c:pt>
                <c:pt idx="496">
                  <c:v>5.0101010101010122</c:v>
                </c:pt>
                <c:pt idx="497">
                  <c:v>5.0202020202020226</c:v>
                </c:pt>
                <c:pt idx="498">
                  <c:v>5.0303030303030329</c:v>
                </c:pt>
                <c:pt idx="499">
                  <c:v>5.0404040404040433</c:v>
                </c:pt>
              </c:numCache>
            </c:numRef>
          </c:yVal>
          <c:smooth val="1"/>
        </c:ser>
        <c:axId val="47748992"/>
        <c:axId val="47750528"/>
      </c:scatterChart>
      <c:valAx>
        <c:axId val="47748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50528"/>
        <c:crosses val="autoZero"/>
        <c:crossBetween val="midCat"/>
      </c:valAx>
      <c:valAx>
        <c:axId val="4775052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</a:t>
                </a:r>
              </a:p>
            </c:rich>
          </c:tx>
          <c:layout>
            <c:manualLayout>
              <c:xMode val="edge"/>
              <c:yMode val="edge"/>
              <c:x val="2.8730452104807229E-2"/>
              <c:y val="0.480334424013042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489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526105361357675"/>
          <c:y val="0.93005930139780224"/>
          <c:w val="0.43275243482865888"/>
          <c:h val="5.41553517269606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6333520638689807"/>
          <c:y val="3.53275213120862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95987496217873"/>
          <c:y val="0.23316164065976905"/>
          <c:w val="0.82684616099125297"/>
          <c:h val="0.50871630689404157"/>
        </c:manualLayout>
      </c:layout>
      <c:scatterChart>
        <c:scatterStyle val="smoothMarker"/>
        <c:ser>
          <c:idx val="0"/>
          <c:order val="0"/>
          <c:tx>
            <c:strRef>
              <c:f>SimData!$F$7</c:f>
              <c:strCache>
                <c:ptCount val="1"/>
                <c:pt idx="0">
                  <c:v>Uniform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SimData!$F$8:$F$107</c:f>
              <c:numCache>
                <c:formatCode>General</c:formatCode>
                <c:ptCount val="100"/>
                <c:pt idx="0">
                  <c:v>10.049514120549317</c:v>
                </c:pt>
                <c:pt idx="1">
                  <c:v>10.099866716680086</c:v>
                </c:pt>
                <c:pt idx="2">
                  <c:v>10.12057109006461</c:v>
                </c:pt>
                <c:pt idx="3">
                  <c:v>10.199445809330662</c:v>
                </c:pt>
                <c:pt idx="4">
                  <c:v>10.214869099195317</c:v>
                </c:pt>
                <c:pt idx="5">
                  <c:v>10.272374613716353</c:v>
                </c:pt>
                <c:pt idx="6">
                  <c:v>10.332094312804307</c:v>
                </c:pt>
                <c:pt idx="7">
                  <c:v>10.35522216969524</c:v>
                </c:pt>
                <c:pt idx="8">
                  <c:v>10.436558192872107</c:v>
                </c:pt>
                <c:pt idx="9">
                  <c:v>10.466683349576007</c:v>
                </c:pt>
                <c:pt idx="10">
                  <c:v>10.516658831088957</c:v>
                </c:pt>
                <c:pt idx="11">
                  <c:v>10.595852329115349</c:v>
                </c:pt>
                <c:pt idx="12">
                  <c:v>10.629386200518205</c:v>
                </c:pt>
                <c:pt idx="13">
                  <c:v>10.698754907387485</c:v>
                </c:pt>
                <c:pt idx="14">
                  <c:v>10.712612542606102</c:v>
                </c:pt>
                <c:pt idx="15">
                  <c:v>10.779132909264678</c:v>
                </c:pt>
                <c:pt idx="16">
                  <c:v>10.830262003135928</c:v>
                </c:pt>
                <c:pt idx="17">
                  <c:v>10.896771941845484</c:v>
                </c:pt>
                <c:pt idx="18">
                  <c:v>10.904398376635369</c:v>
                </c:pt>
                <c:pt idx="19">
                  <c:v>10.973071000753686</c:v>
                </c:pt>
                <c:pt idx="20">
                  <c:v>11.002644081437644</c:v>
                </c:pt>
                <c:pt idx="21">
                  <c:v>11.060509540911417</c:v>
                </c:pt>
                <c:pt idx="22">
                  <c:v>11.109335571098917</c:v>
                </c:pt>
                <c:pt idx="23">
                  <c:v>11.156733222761362</c:v>
                </c:pt>
                <c:pt idx="24">
                  <c:v>11.23191404552942</c:v>
                </c:pt>
                <c:pt idx="25">
                  <c:v>11.263085095424458</c:v>
                </c:pt>
                <c:pt idx="26">
                  <c:v>11.320244395132233</c:v>
                </c:pt>
                <c:pt idx="27">
                  <c:v>11.374898070126049</c:v>
                </c:pt>
                <c:pt idx="28">
                  <c:v>11.422492094471234</c:v>
                </c:pt>
                <c:pt idx="29">
                  <c:v>11.487363555069864</c:v>
                </c:pt>
                <c:pt idx="30">
                  <c:v>11.542162712626663</c:v>
                </c:pt>
                <c:pt idx="31">
                  <c:v>11.578672454151947</c:v>
                </c:pt>
                <c:pt idx="32">
                  <c:v>11.609127815093176</c:v>
                </c:pt>
                <c:pt idx="33">
                  <c:v>11.668462767467942</c:v>
                </c:pt>
                <c:pt idx="34">
                  <c:v>11.713764651902896</c:v>
                </c:pt>
                <c:pt idx="35">
                  <c:v>11.797763113770113</c:v>
                </c:pt>
                <c:pt idx="36">
                  <c:v>11.8492874238522</c:v>
                </c:pt>
                <c:pt idx="37">
                  <c:v>11.879984511116051</c:v>
                </c:pt>
                <c:pt idx="38">
                  <c:v>11.913201529186498</c:v>
                </c:pt>
                <c:pt idx="39">
                  <c:v>11.970332008209157</c:v>
                </c:pt>
                <c:pt idx="40">
                  <c:v>12.015218186894248</c:v>
                </c:pt>
                <c:pt idx="41">
                  <c:v>12.09232904555796</c:v>
                </c:pt>
                <c:pt idx="42">
                  <c:v>12.10247564076038</c:v>
                </c:pt>
                <c:pt idx="43">
                  <c:v>12.179156885209762</c:v>
                </c:pt>
                <c:pt idx="44">
                  <c:v>12.233818201588889</c:v>
                </c:pt>
                <c:pt idx="45">
                  <c:v>12.264523750244296</c:v>
                </c:pt>
                <c:pt idx="46">
                  <c:v>12.308913936339998</c:v>
                </c:pt>
                <c:pt idx="47">
                  <c:v>12.360640980468746</c:v>
                </c:pt>
                <c:pt idx="48">
                  <c:v>12.419814625608225</c:v>
                </c:pt>
                <c:pt idx="49">
                  <c:v>12.480709207216442</c:v>
                </c:pt>
                <c:pt idx="50">
                  <c:v>12.509337163357841</c:v>
                </c:pt>
                <c:pt idx="51">
                  <c:v>12.576958215405922</c:v>
                </c:pt>
                <c:pt idx="52">
                  <c:v>12.608001380217727</c:v>
                </c:pt>
                <c:pt idx="53">
                  <c:v>12.689191866977882</c:v>
                </c:pt>
                <c:pt idx="54">
                  <c:v>12.733099635605026</c:v>
                </c:pt>
                <c:pt idx="55">
                  <c:v>12.789202823778428</c:v>
                </c:pt>
                <c:pt idx="56">
                  <c:v>12.848608581733099</c:v>
                </c:pt>
                <c:pt idx="57">
                  <c:v>12.874042659817274</c:v>
                </c:pt>
                <c:pt idx="58">
                  <c:v>12.934960736563653</c:v>
                </c:pt>
                <c:pt idx="59">
                  <c:v>12.957256866597398</c:v>
                </c:pt>
                <c:pt idx="60">
                  <c:v>13.013203277849406</c:v>
                </c:pt>
                <c:pt idx="61">
                  <c:v>13.09744565756932</c:v>
                </c:pt>
                <c:pt idx="62">
                  <c:v>13.145329192524153</c:v>
                </c:pt>
                <c:pt idx="63">
                  <c:v>13.17511649111405</c:v>
                </c:pt>
                <c:pt idx="64">
                  <c:v>13.22899844251317</c:v>
                </c:pt>
                <c:pt idx="65">
                  <c:v>13.272709192864761</c:v>
                </c:pt>
                <c:pt idx="66">
                  <c:v>13.332904593735678</c:v>
                </c:pt>
                <c:pt idx="67">
                  <c:v>13.360883473875207</c:v>
                </c:pt>
                <c:pt idx="68">
                  <c:v>13.443790816968258</c:v>
                </c:pt>
                <c:pt idx="69">
                  <c:v>13.462240656351726</c:v>
                </c:pt>
                <c:pt idx="70">
                  <c:v>13.510628321350232</c:v>
                </c:pt>
                <c:pt idx="71">
                  <c:v>13.556353388716548</c:v>
                </c:pt>
                <c:pt idx="72">
                  <c:v>13.613902051191289</c:v>
                </c:pt>
                <c:pt idx="73">
                  <c:v>13.688646390624029</c:v>
                </c:pt>
                <c:pt idx="74">
                  <c:v>13.700870099279767</c:v>
                </c:pt>
                <c:pt idx="75">
                  <c:v>13.784842392635728</c:v>
                </c:pt>
                <c:pt idx="76">
                  <c:v>13.808240935941749</c:v>
                </c:pt>
                <c:pt idx="77">
                  <c:v>13.850007093686147</c:v>
                </c:pt>
                <c:pt idx="78">
                  <c:v>13.93828981148272</c:v>
                </c:pt>
                <c:pt idx="79">
                  <c:v>13.993372900538001</c:v>
                </c:pt>
                <c:pt idx="80">
                  <c:v>14.033148669156514</c:v>
                </c:pt>
                <c:pt idx="81">
                  <c:v>14.074964748107586</c:v>
                </c:pt>
                <c:pt idx="82">
                  <c:v>14.132893783676646</c:v>
                </c:pt>
                <c:pt idx="83">
                  <c:v>14.166549054758285</c:v>
                </c:pt>
                <c:pt idx="84">
                  <c:v>14.236872038498259</c:v>
                </c:pt>
                <c:pt idx="85">
                  <c:v>14.252243623650223</c:v>
                </c:pt>
                <c:pt idx="86">
                  <c:v>14.327196799993327</c:v>
                </c:pt>
                <c:pt idx="87">
                  <c:v>14.379954156111914</c:v>
                </c:pt>
                <c:pt idx="88">
                  <c:v>14.449067109718236</c:v>
                </c:pt>
                <c:pt idx="89">
                  <c:v>14.45686310000179</c:v>
                </c:pt>
                <c:pt idx="90">
                  <c:v>14.523155519522996</c:v>
                </c:pt>
                <c:pt idx="91">
                  <c:v>14.557109590435193</c:v>
                </c:pt>
                <c:pt idx="92">
                  <c:v>14.625621265260415</c:v>
                </c:pt>
                <c:pt idx="93">
                  <c:v>14.684826450255891</c:v>
                </c:pt>
                <c:pt idx="94">
                  <c:v>14.711994914818089</c:v>
                </c:pt>
                <c:pt idx="95">
                  <c:v>14.778264003824038</c:v>
                </c:pt>
                <c:pt idx="96">
                  <c:v>14.824069590441432</c:v>
                </c:pt>
                <c:pt idx="97">
                  <c:v>14.887241216373454</c:v>
                </c:pt>
                <c:pt idx="98">
                  <c:v>14.939714905826774</c:v>
                </c:pt>
                <c:pt idx="99">
                  <c:v>14.983243759554636</c:v>
                </c:pt>
              </c:numCache>
            </c:numRef>
          </c:xVal>
          <c:yVal>
            <c:numRef>
              <c:f>SimData!$G$8:$G$107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SimData!$H$7</c:f>
              <c:strCache>
                <c:ptCount val="1"/>
                <c:pt idx="0">
                  <c:v>Normal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SimData!$H$8:$H$107</c:f>
              <c:numCache>
                <c:formatCode>General</c:formatCode>
                <c:ptCount val="100"/>
                <c:pt idx="0">
                  <c:v>2.0915785801688243</c:v>
                </c:pt>
                <c:pt idx="1">
                  <c:v>3.8332270418016403</c:v>
                </c:pt>
                <c:pt idx="2">
                  <c:v>4.306442779894204</c:v>
                </c:pt>
                <c:pt idx="3">
                  <c:v>4.4976920437086241</c:v>
                </c:pt>
                <c:pt idx="4">
                  <c:v>4.9925971990361919</c:v>
                </c:pt>
                <c:pt idx="5">
                  <c:v>5.0736041851865519</c:v>
                </c:pt>
                <c:pt idx="6">
                  <c:v>5.3499943008867135</c:v>
                </c:pt>
                <c:pt idx="7">
                  <c:v>5.6197924253165361</c:v>
                </c:pt>
                <c:pt idx="8">
                  <c:v>5.8785140904850479</c:v>
                </c:pt>
                <c:pt idx="9">
                  <c:v>6.1478181632810305</c:v>
                </c:pt>
                <c:pt idx="10">
                  <c:v>6.1834802130769564</c:v>
                </c:pt>
                <c:pt idx="11">
                  <c:v>6.3313992741518916</c:v>
                </c:pt>
                <c:pt idx="12">
                  <c:v>6.4805839107224816</c:v>
                </c:pt>
                <c:pt idx="13">
                  <c:v>6.6554652238637981</c:v>
                </c:pt>
                <c:pt idx="14">
                  <c:v>6.8883817083955137</c:v>
                </c:pt>
                <c:pt idx="15">
                  <c:v>6.9803751356257813</c:v>
                </c:pt>
                <c:pt idx="16">
                  <c:v>7.1016419836619313</c:v>
                </c:pt>
                <c:pt idx="17">
                  <c:v>7.2123077000133664</c:v>
                </c:pt>
                <c:pt idx="18">
                  <c:v>7.2655529323855088</c:v>
                </c:pt>
                <c:pt idx="19">
                  <c:v>7.3760804010926186</c:v>
                </c:pt>
                <c:pt idx="20">
                  <c:v>7.5356063257117016</c:v>
                </c:pt>
                <c:pt idx="21">
                  <c:v>7.6365377615201471</c:v>
                </c:pt>
                <c:pt idx="22">
                  <c:v>7.7634081975140496</c:v>
                </c:pt>
                <c:pt idx="23">
                  <c:v>7.8776622552221962</c:v>
                </c:pt>
                <c:pt idx="24">
                  <c:v>7.964061261855834</c:v>
                </c:pt>
                <c:pt idx="25">
                  <c:v>7.9839809717358063</c:v>
                </c:pt>
                <c:pt idx="26">
                  <c:v>8.0813939751268418</c:v>
                </c:pt>
                <c:pt idx="27">
                  <c:v>8.2305285329226727</c:v>
                </c:pt>
                <c:pt idx="28">
                  <c:v>8.2734039488690616</c:v>
                </c:pt>
                <c:pt idx="29">
                  <c:v>8.3537303000376468</c:v>
                </c:pt>
                <c:pt idx="30">
                  <c:v>8.4324342957228211</c:v>
                </c:pt>
                <c:pt idx="31">
                  <c:v>8.5250083784870156</c:v>
                </c:pt>
                <c:pt idx="32">
                  <c:v>8.6133488438755688</c:v>
                </c:pt>
                <c:pt idx="33">
                  <c:v>8.7351826494724438</c:v>
                </c:pt>
                <c:pt idx="34">
                  <c:v>8.8210078917323731</c:v>
                </c:pt>
                <c:pt idx="35">
                  <c:v>8.8576608798521583</c:v>
                </c:pt>
                <c:pt idx="36">
                  <c:v>8.9328960627947183</c:v>
                </c:pt>
                <c:pt idx="37">
                  <c:v>9.018375623798855</c:v>
                </c:pt>
                <c:pt idx="38">
                  <c:v>9.1198448267533259</c:v>
                </c:pt>
                <c:pt idx="39">
                  <c:v>9.2264289875222634</c:v>
                </c:pt>
                <c:pt idx="40">
                  <c:v>9.3139276261699688</c:v>
                </c:pt>
                <c:pt idx="41">
                  <c:v>9.3827018610166775</c:v>
                </c:pt>
                <c:pt idx="42">
                  <c:v>9.4524833438450617</c:v>
                </c:pt>
                <c:pt idx="43">
                  <c:v>9.4907582918520195</c:v>
                </c:pt>
                <c:pt idx="44">
                  <c:v>9.6102876505999983</c:v>
                </c:pt>
                <c:pt idx="45">
                  <c:v>9.653298749316793</c:v>
                </c:pt>
                <c:pt idx="46">
                  <c:v>9.7337866376985875</c:v>
                </c:pt>
                <c:pt idx="47">
                  <c:v>9.7815322025954181</c:v>
                </c:pt>
                <c:pt idx="48">
                  <c:v>9.8643472083522283</c:v>
                </c:pt>
                <c:pt idx="49">
                  <c:v>9.9785814066562661</c:v>
                </c:pt>
                <c:pt idx="50">
                  <c:v>10.005786818826511</c:v>
                </c:pt>
                <c:pt idx="51">
                  <c:v>10.084093425932732</c:v>
                </c:pt>
                <c:pt idx="52">
                  <c:v>10.171220169434212</c:v>
                </c:pt>
                <c:pt idx="53">
                  <c:v>10.297233237686958</c:v>
                </c:pt>
                <c:pt idx="54">
                  <c:v>10.342305524357363</c:v>
                </c:pt>
                <c:pt idx="55">
                  <c:v>10.442859012594118</c:v>
                </c:pt>
                <c:pt idx="56">
                  <c:v>10.509543510274657</c:v>
                </c:pt>
                <c:pt idx="57">
                  <c:v>10.600316773162481</c:v>
                </c:pt>
                <c:pt idx="58">
                  <c:v>10.627943104619417</c:v>
                </c:pt>
                <c:pt idx="59">
                  <c:v>10.753864476693545</c:v>
                </c:pt>
                <c:pt idx="60">
                  <c:v>10.824068675373706</c:v>
                </c:pt>
                <c:pt idx="61">
                  <c:v>10.89373087953753</c:v>
                </c:pt>
                <c:pt idx="62">
                  <c:v>10.978171758418561</c:v>
                </c:pt>
                <c:pt idx="63">
                  <c:v>11.015084844845894</c:v>
                </c:pt>
                <c:pt idx="64">
                  <c:v>11.094212503490963</c:v>
                </c:pt>
                <c:pt idx="65">
                  <c:v>11.211380818798222</c:v>
                </c:pt>
                <c:pt idx="66">
                  <c:v>11.243242839026735</c:v>
                </c:pt>
                <c:pt idx="67">
                  <c:v>11.381981037942056</c:v>
                </c:pt>
                <c:pt idx="68">
                  <c:v>11.462036772840918</c:v>
                </c:pt>
                <c:pt idx="69">
                  <c:v>11.493578404289661</c:v>
                </c:pt>
                <c:pt idx="70">
                  <c:v>11.594320578282918</c:v>
                </c:pt>
                <c:pt idx="71">
                  <c:v>11.722288211586008</c:v>
                </c:pt>
                <c:pt idx="72">
                  <c:v>11.806503348940302</c:v>
                </c:pt>
                <c:pt idx="73">
                  <c:v>11.9079474774035</c:v>
                </c:pt>
                <c:pt idx="74">
                  <c:v>11.961948766413867</c:v>
                </c:pt>
                <c:pt idx="75">
                  <c:v>12.038839329081206</c:v>
                </c:pt>
                <c:pt idx="76">
                  <c:v>12.145940552012522</c:v>
                </c:pt>
                <c:pt idx="77">
                  <c:v>12.261168582814383</c:v>
                </c:pt>
                <c:pt idx="78">
                  <c:v>12.364497412417574</c:v>
                </c:pt>
                <c:pt idx="79">
                  <c:v>12.471012297773717</c:v>
                </c:pt>
                <c:pt idx="80">
                  <c:v>12.527477058046394</c:v>
                </c:pt>
                <c:pt idx="81">
                  <c:v>12.650977465639908</c:v>
                </c:pt>
                <c:pt idx="82">
                  <c:v>12.764211394665875</c:v>
                </c:pt>
                <c:pt idx="83">
                  <c:v>12.926973581771668</c:v>
                </c:pt>
                <c:pt idx="84">
                  <c:v>13.09963278501499</c:v>
                </c:pt>
                <c:pt idx="85">
                  <c:v>13.141381503641956</c:v>
                </c:pt>
                <c:pt idx="86">
                  <c:v>13.251304731660635</c:v>
                </c:pt>
                <c:pt idx="87">
                  <c:v>13.454095206795312</c:v>
                </c:pt>
                <c:pt idx="88">
                  <c:v>13.622304985614022</c:v>
                </c:pt>
                <c:pt idx="89">
                  <c:v>13.807084001590422</c:v>
                </c:pt>
                <c:pt idx="90">
                  <c:v>14.021974419436217</c:v>
                </c:pt>
                <c:pt idx="91">
                  <c:v>14.080040345814758</c:v>
                </c:pt>
                <c:pt idx="92">
                  <c:v>14.273339109339954</c:v>
                </c:pt>
                <c:pt idx="93">
                  <c:v>14.551628679628518</c:v>
                </c:pt>
                <c:pt idx="94">
                  <c:v>14.83511086767431</c:v>
                </c:pt>
                <c:pt idx="95">
                  <c:v>15.136162704983974</c:v>
                </c:pt>
                <c:pt idx="96">
                  <c:v>15.408639009151925</c:v>
                </c:pt>
                <c:pt idx="97">
                  <c:v>15.877837239104828</c:v>
                </c:pt>
                <c:pt idx="98">
                  <c:v>16.707259873341819</c:v>
                </c:pt>
                <c:pt idx="99">
                  <c:v>17.154482324562807</c:v>
                </c:pt>
              </c:numCache>
            </c:numRef>
          </c:xVal>
          <c:yVal>
            <c:numRef>
              <c:f>SimData!$I$8:$I$107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SimData!$J$7</c:f>
              <c:strCache>
                <c:ptCount val="1"/>
                <c:pt idx="0">
                  <c:v>Empirical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SimData!$J$8:$J$107</c:f>
              <c:numCache>
                <c:formatCode>General</c:formatCode>
                <c:ptCount val="100"/>
                <c:pt idx="0">
                  <c:v>9.9990583643867783</c:v>
                </c:pt>
                <c:pt idx="1">
                  <c:v>9.999110295197557</c:v>
                </c:pt>
                <c:pt idx="2">
                  <c:v>9.9992721139747118</c:v>
                </c:pt>
                <c:pt idx="3">
                  <c:v>9.9993687567140839</c:v>
                </c:pt>
                <c:pt idx="4">
                  <c:v>9.999431983583964</c:v>
                </c:pt>
                <c:pt idx="5">
                  <c:v>9.9995857271680819</c:v>
                </c:pt>
                <c:pt idx="6">
                  <c:v>9.9996084611354412</c:v>
                </c:pt>
                <c:pt idx="7">
                  <c:v>9.9997640112944559</c:v>
                </c:pt>
                <c:pt idx="8">
                  <c:v>9.9998624309638657</c:v>
                </c:pt>
                <c:pt idx="9">
                  <c:v>9.9999249233433112</c:v>
                </c:pt>
                <c:pt idx="10">
                  <c:v>10.010715412141456</c:v>
                </c:pt>
                <c:pt idx="11">
                  <c:v>10.152201619151095</c:v>
                </c:pt>
                <c:pt idx="12">
                  <c:v>10.217616893727708</c:v>
                </c:pt>
                <c:pt idx="13">
                  <c:v>10.336333127048876</c:v>
                </c:pt>
                <c:pt idx="14">
                  <c:v>10.442961144783292</c:v>
                </c:pt>
                <c:pt idx="15">
                  <c:v>10.506435748656848</c:v>
                </c:pt>
                <c:pt idx="16">
                  <c:v>10.605462597172117</c:v>
                </c:pt>
                <c:pt idx="17">
                  <c:v>10.778557043703868</c:v>
                </c:pt>
                <c:pt idx="18">
                  <c:v>10.810867390458208</c:v>
                </c:pt>
                <c:pt idx="19">
                  <c:v>10.968414977953866</c:v>
                </c:pt>
                <c:pt idx="20">
                  <c:v>11.003794791527044</c:v>
                </c:pt>
                <c:pt idx="21">
                  <c:v>11.11893304333066</c:v>
                </c:pt>
                <c:pt idx="22">
                  <c:v>11.237884912974639</c:v>
                </c:pt>
                <c:pt idx="23">
                  <c:v>11.315828017917422</c:v>
                </c:pt>
                <c:pt idx="24">
                  <c:v>11.444423147417703</c:v>
                </c:pt>
                <c:pt idx="25">
                  <c:v>11.513820658115163</c:v>
                </c:pt>
                <c:pt idx="26">
                  <c:v>11.657040865616183</c:v>
                </c:pt>
                <c:pt idx="27">
                  <c:v>11.733632186272562</c:v>
                </c:pt>
                <c:pt idx="28">
                  <c:v>11.889943179765238</c:v>
                </c:pt>
                <c:pt idx="29">
                  <c:v>11.99185967726909</c:v>
                </c:pt>
                <c:pt idx="30">
                  <c:v>12.046965071569888</c:v>
                </c:pt>
                <c:pt idx="31">
                  <c:v>12.092389924892316</c:v>
                </c:pt>
                <c:pt idx="32">
                  <c:v>12.140215626321783</c:v>
                </c:pt>
                <c:pt idx="33">
                  <c:v>12.18776910301246</c:v>
                </c:pt>
                <c:pt idx="34">
                  <c:v>12.225183396501276</c:v>
                </c:pt>
                <c:pt idx="35">
                  <c:v>12.277885238937541</c:v>
                </c:pt>
                <c:pt idx="36">
                  <c:v>12.336018177211754</c:v>
                </c:pt>
                <c:pt idx="37">
                  <c:v>12.380859532878002</c:v>
                </c:pt>
                <c:pt idx="38">
                  <c:v>12.401138254022491</c:v>
                </c:pt>
                <c:pt idx="39">
                  <c:v>12.460208985549446</c:v>
                </c:pt>
                <c:pt idx="40">
                  <c:v>12.543604935494626</c:v>
                </c:pt>
                <c:pt idx="41">
                  <c:v>12.584955354310795</c:v>
                </c:pt>
                <c:pt idx="42">
                  <c:v>12.643479757032702</c:v>
                </c:pt>
                <c:pt idx="43">
                  <c:v>12.663548304725799</c:v>
                </c:pt>
                <c:pt idx="44">
                  <c:v>12.708592253133792</c:v>
                </c:pt>
                <c:pt idx="45">
                  <c:v>12.763698429931816</c:v>
                </c:pt>
                <c:pt idx="46">
                  <c:v>12.825309354154232</c:v>
                </c:pt>
                <c:pt idx="47">
                  <c:v>12.870277615874139</c:v>
                </c:pt>
                <c:pt idx="48">
                  <c:v>12.912051616809809</c:v>
                </c:pt>
                <c:pt idx="49">
                  <c:v>12.956972768625006</c:v>
                </c:pt>
                <c:pt idx="50">
                  <c:v>13.04185022976991</c:v>
                </c:pt>
                <c:pt idx="51">
                  <c:v>13.056345828228245</c:v>
                </c:pt>
                <c:pt idx="52">
                  <c:v>13.149470920476473</c:v>
                </c:pt>
                <c:pt idx="53">
                  <c:v>13.160922589784237</c:v>
                </c:pt>
                <c:pt idx="54">
                  <c:v>13.249003656522605</c:v>
                </c:pt>
                <c:pt idx="55">
                  <c:v>13.285163983687564</c:v>
                </c:pt>
                <c:pt idx="56">
                  <c:v>13.315732147373662</c:v>
                </c:pt>
                <c:pt idx="57">
                  <c:v>13.374356794409536</c:v>
                </c:pt>
                <c:pt idx="58">
                  <c:v>13.430451918714786</c:v>
                </c:pt>
                <c:pt idx="59">
                  <c:v>13.464551200930623</c:v>
                </c:pt>
                <c:pt idx="60">
                  <c:v>13.527262841276187</c:v>
                </c:pt>
                <c:pt idx="61">
                  <c:v>13.594299471307149</c:v>
                </c:pt>
                <c:pt idx="62">
                  <c:v>13.609421023169864</c:v>
                </c:pt>
                <c:pt idx="63">
                  <c:v>13.687330521535438</c:v>
                </c:pt>
                <c:pt idx="64">
                  <c:v>13.72336027882373</c:v>
                </c:pt>
                <c:pt idx="65">
                  <c:v>13.781933122205533</c:v>
                </c:pt>
                <c:pt idx="66">
                  <c:v>13.808248800332251</c:v>
                </c:pt>
                <c:pt idx="67">
                  <c:v>13.892279237553542</c:v>
                </c:pt>
                <c:pt idx="68">
                  <c:v>13.916169066847342</c:v>
                </c:pt>
                <c:pt idx="69">
                  <c:v>13.982112630371031</c:v>
                </c:pt>
                <c:pt idx="70">
                  <c:v>14.026460495387777</c:v>
                </c:pt>
                <c:pt idx="71">
                  <c:v>14.095484785268894</c:v>
                </c:pt>
                <c:pt idx="72">
                  <c:v>14.110845273246721</c:v>
                </c:pt>
                <c:pt idx="73">
                  <c:v>14.194692216428159</c:v>
                </c:pt>
                <c:pt idx="74">
                  <c:v>14.227959019627413</c:v>
                </c:pt>
                <c:pt idx="75">
                  <c:v>14.250228361936806</c:v>
                </c:pt>
                <c:pt idx="76">
                  <c:v>14.3026634617482</c:v>
                </c:pt>
                <c:pt idx="77">
                  <c:v>14.381322888199083</c:v>
                </c:pt>
                <c:pt idx="78">
                  <c:v>14.401985428447832</c:v>
                </c:pt>
                <c:pt idx="79">
                  <c:v>14.477856100019499</c:v>
                </c:pt>
                <c:pt idx="80">
                  <c:v>14.526106126822089</c:v>
                </c:pt>
                <c:pt idx="81">
                  <c:v>14.593222537018178</c:v>
                </c:pt>
                <c:pt idx="82">
                  <c:v>14.631787359896531</c:v>
                </c:pt>
                <c:pt idx="83">
                  <c:v>14.691384662371451</c:v>
                </c:pt>
                <c:pt idx="84">
                  <c:v>14.717495522640528</c:v>
                </c:pt>
                <c:pt idx="85">
                  <c:v>14.773466642171487</c:v>
                </c:pt>
                <c:pt idx="86">
                  <c:v>14.823378362628487</c:v>
                </c:pt>
                <c:pt idx="87">
                  <c:v>14.860405894056989</c:v>
                </c:pt>
                <c:pt idx="88">
                  <c:v>14.915940483465311</c:v>
                </c:pt>
                <c:pt idx="89">
                  <c:v>14.979845557403715</c:v>
                </c:pt>
                <c:pt idx="90">
                  <c:v>15.00010735496455</c:v>
                </c:pt>
                <c:pt idx="91">
                  <c:v>15.00018869841456</c:v>
                </c:pt>
                <c:pt idx="92">
                  <c:v>15.00041620665831</c:v>
                </c:pt>
                <c:pt idx="93">
                  <c:v>15.000592065820934</c:v>
                </c:pt>
                <c:pt idx="94">
                  <c:v>15.000608648772458</c:v>
                </c:pt>
                <c:pt idx="95">
                  <c:v>15.000815051155925</c:v>
                </c:pt>
                <c:pt idx="96">
                  <c:v>15.000960550946372</c:v>
                </c:pt>
                <c:pt idx="97">
                  <c:v>15.00119699435964</c:v>
                </c:pt>
                <c:pt idx="98">
                  <c:v>15.001245276318921</c:v>
                </c:pt>
                <c:pt idx="99">
                  <c:v>15.001470549299887</c:v>
                </c:pt>
              </c:numCache>
            </c:numRef>
          </c:xVal>
          <c:yVal>
            <c:numRef>
              <c:f>SimData!$K$8:$K$107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axId val="47880064"/>
        <c:axId val="47881600"/>
      </c:scatterChart>
      <c:valAx>
        <c:axId val="47880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81600"/>
        <c:crosses val="autoZero"/>
        <c:crossBetween val="midCat"/>
      </c:valAx>
      <c:valAx>
        <c:axId val="478816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3.013562317963565E-2"/>
              <c:y val="0.427463007876243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80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454056693744725"/>
          <c:y val="0.89025353706457289"/>
          <c:w val="0.45768477704071642"/>
          <c:h val="8.478605114900696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7</xdr:row>
      <xdr:rowOff>142875</xdr:rowOff>
    </xdr:from>
    <xdr:to>
      <xdr:col>14</xdr:col>
      <xdr:colOff>542925</xdr:colOff>
      <xdr:row>36</xdr:row>
      <xdr:rowOff>28575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142875</xdr:rowOff>
    </xdr:from>
    <xdr:to>
      <xdr:col>13</xdr:col>
      <xdr:colOff>476250</xdr:colOff>
      <xdr:row>20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>
      <selection activeCell="A3" sqref="A3"/>
    </sheetView>
  </sheetViews>
  <sheetFormatPr defaultRowHeight="12"/>
  <cols>
    <col min="1" max="7" width="10.7109375" customWidth="1"/>
    <col min="8" max="13" width="9.85546875" customWidth="1"/>
  </cols>
  <sheetData>
    <row r="1" spans="1:5">
      <c r="A1" s="2" t="str">
        <f ca="1">_xll.WBNAME()</f>
        <v>Inverse Transform Demo.xlsx</v>
      </c>
    </row>
    <row r="2" spans="1:5">
      <c r="A2" t="s">
        <v>0</v>
      </c>
    </row>
    <row r="3" spans="1:5">
      <c r="A3" t="s">
        <v>60</v>
      </c>
    </row>
    <row r="4" spans="1:5">
      <c r="A4" t="s">
        <v>47</v>
      </c>
    </row>
    <row r="6" spans="1:5">
      <c r="A6" s="2" t="s">
        <v>1</v>
      </c>
    </row>
    <row r="8" spans="1:5">
      <c r="A8" s="2" t="s">
        <v>2</v>
      </c>
    </row>
    <row r="10" spans="1:5">
      <c r="A10" s="5" t="s">
        <v>3</v>
      </c>
    </row>
    <row r="11" spans="1:5">
      <c r="A11" t="s">
        <v>4</v>
      </c>
      <c r="B11">
        <f ca="1">_xll.UNIFORM(0,1)</f>
        <v>0.89593505859375</v>
      </c>
    </row>
    <row r="13" spans="1:5">
      <c r="A13" t="s">
        <v>43</v>
      </c>
    </row>
    <row r="14" spans="1:5">
      <c r="A14" t="s">
        <v>5</v>
      </c>
    </row>
    <row r="15" spans="1:5">
      <c r="A15" t="s">
        <v>6</v>
      </c>
      <c r="B15">
        <v>10</v>
      </c>
      <c r="D15" t="s">
        <v>7</v>
      </c>
      <c r="E15">
        <v>15</v>
      </c>
    </row>
    <row r="17" spans="1:5">
      <c r="A17" t="s">
        <v>8</v>
      </c>
    </row>
    <row r="18" spans="1:5" ht="12.75" thickBot="1">
      <c r="A18" t="s">
        <v>9</v>
      </c>
    </row>
    <row r="19" spans="1:5" ht="12.75" thickBot="1">
      <c r="A19" t="s">
        <v>30</v>
      </c>
      <c r="B19" s="1">
        <f ca="1">B15+(E15-B15) * B11</f>
        <v>14.47967529296875</v>
      </c>
      <c r="D19" t="str">
        <f ca="1">_xll.VFORMULA(B19)</f>
        <v>=B15+(E15-B15) * B11</v>
      </c>
    </row>
    <row r="23" spans="1:5">
      <c r="A23" s="2" t="s">
        <v>10</v>
      </c>
    </row>
    <row r="25" spans="1:5">
      <c r="A25" t="str">
        <f>A10</f>
        <v>Step 1.  Simulate a Uniform Standard Deviate (USD) ~ U(0,1)</v>
      </c>
    </row>
    <row r="26" spans="1:5">
      <c r="A26" t="str">
        <f>A11</f>
        <v xml:space="preserve">USD </v>
      </c>
      <c r="B26">
        <f ca="1">_xll.UNIFORM(0,1)</f>
        <v>0.35028076171875</v>
      </c>
      <c r="D26" t="str">
        <f ca="1">_xll.VFORMULA(B26)</f>
        <v>=UNIFORM(0,1)</v>
      </c>
    </row>
    <row r="28" spans="1:5">
      <c r="A28" t="s">
        <v>14</v>
      </c>
    </row>
    <row r="29" spans="1:5">
      <c r="A29" t="s">
        <v>11</v>
      </c>
      <c r="B29">
        <f ca="1">NORMSINV(B26)</f>
        <v>-0.38456257897015766</v>
      </c>
      <c r="D29" t="str">
        <f ca="1">_xll.VFORMULA(B29)</f>
        <v>=NORMSINV(B26)</v>
      </c>
    </row>
    <row r="31" spans="1:5">
      <c r="A31" t="s">
        <v>15</v>
      </c>
    </row>
    <row r="32" spans="1:5">
      <c r="A32" t="s">
        <v>12</v>
      </c>
      <c r="B32">
        <v>10</v>
      </c>
      <c r="D32" t="s">
        <v>42</v>
      </c>
      <c r="E32">
        <v>3</v>
      </c>
    </row>
    <row r="34" spans="1:4">
      <c r="A34" t="s">
        <v>16</v>
      </c>
    </row>
    <row r="35" spans="1:4">
      <c r="A35" t="s">
        <v>13</v>
      </c>
    </row>
    <row r="37" spans="1:4">
      <c r="A37" t="s">
        <v>17</v>
      </c>
    </row>
    <row r="38" spans="1:4" ht="12.75" thickBot="1">
      <c r="A38" t="str">
        <f>A18</f>
        <v>Press F9 to sample the U(0,1) for alternative realizations of USD.</v>
      </c>
    </row>
    <row r="39" spans="1:4" ht="12.75" thickBot="1">
      <c r="A39" t="s">
        <v>31</v>
      </c>
      <c r="B39" s="1">
        <f ca="1">B32+E32*B29</f>
        <v>8.8463122630895263</v>
      </c>
      <c r="D39" t="str">
        <f ca="1">_xll.VFORMULA(B39)</f>
        <v>=B32+E32*B29</v>
      </c>
    </row>
    <row r="43" spans="1:4">
      <c r="A43" s="2" t="s">
        <v>18</v>
      </c>
    </row>
    <row r="45" spans="1:4">
      <c r="A45" t="str">
        <f>A25</f>
        <v>Step 1.  Simulate a Uniform Standard Deviate (USD) ~ U(0,1)</v>
      </c>
    </row>
    <row r="46" spans="1:4">
      <c r="A46" t="str">
        <f>A26</f>
        <v xml:space="preserve">USD </v>
      </c>
      <c r="B46">
        <f ca="1">_xll.UNIFORM()</f>
        <v>0.82281494140625</v>
      </c>
    </row>
    <row r="48" spans="1:4">
      <c r="A48" t="s">
        <v>19</v>
      </c>
    </row>
    <row r="49" spans="1:4">
      <c r="A49" t="s">
        <v>20</v>
      </c>
      <c r="B49" t="s">
        <v>21</v>
      </c>
      <c r="C49" t="s">
        <v>22</v>
      </c>
    </row>
    <row r="50" spans="1:4">
      <c r="A50">
        <v>0</v>
      </c>
      <c r="B50">
        <v>9.9990000000000006</v>
      </c>
      <c r="C50" s="3">
        <v>0</v>
      </c>
    </row>
    <row r="51" spans="1:4">
      <c r="A51">
        <v>1</v>
      </c>
      <c r="B51">
        <v>10</v>
      </c>
      <c r="C51" s="3">
        <v>0.1</v>
      </c>
    </row>
    <row r="52" spans="1:4">
      <c r="A52">
        <v>2</v>
      </c>
      <c r="B52">
        <v>12</v>
      </c>
      <c r="C52" s="3">
        <v>0.3</v>
      </c>
    </row>
    <row r="53" spans="1:4">
      <c r="A53">
        <v>3</v>
      </c>
      <c r="B53">
        <v>13</v>
      </c>
      <c r="C53" s="3">
        <v>0.5</v>
      </c>
    </row>
    <row r="54" spans="1:4">
      <c r="A54">
        <v>4</v>
      </c>
      <c r="B54">
        <v>14</v>
      </c>
      <c r="C54" s="3">
        <v>0.7</v>
      </c>
    </row>
    <row r="55" spans="1:4">
      <c r="A55">
        <v>5</v>
      </c>
      <c r="B55">
        <v>15</v>
      </c>
      <c r="C55" s="3">
        <v>0.9</v>
      </c>
    </row>
    <row r="56" spans="1:4">
      <c r="A56">
        <v>6</v>
      </c>
      <c r="B56">
        <f>B55*1.0001</f>
        <v>15.0015</v>
      </c>
      <c r="C56" s="3">
        <v>1</v>
      </c>
    </row>
    <row r="58" spans="1:4" ht="12.75" thickBot="1">
      <c r="A58" t="s">
        <v>23</v>
      </c>
    </row>
    <row r="59" spans="1:4" ht="12.75" thickBot="1">
      <c r="A59" t="s">
        <v>32</v>
      </c>
      <c r="B59" s="1">
        <f ca="1">_xll.EMPIRICAL(B50:B56,C50:C56,B46)</f>
        <v>14.61407470703125</v>
      </c>
      <c r="D59" t="str">
        <f ca="1">_xll.VFORMULA(B59)</f>
        <v>=EMPIRICAL(B50:B56,C50:C56,B46)</v>
      </c>
    </row>
    <row r="63" spans="1:4">
      <c r="A63" s="2" t="s">
        <v>34</v>
      </c>
    </row>
    <row r="64" spans="1:4">
      <c r="A64" s="2" t="s">
        <v>35</v>
      </c>
    </row>
    <row r="65" spans="2:7">
      <c r="B65" t="s">
        <v>40</v>
      </c>
      <c r="D65" t="s">
        <v>37</v>
      </c>
      <c r="F65" t="s">
        <v>44</v>
      </c>
    </row>
    <row r="66" spans="2:7">
      <c r="B66" t="s">
        <v>41</v>
      </c>
      <c r="D66" t="s">
        <v>38</v>
      </c>
      <c r="F66" t="s">
        <v>46</v>
      </c>
    </row>
    <row r="67" spans="2:7">
      <c r="B67" s="4" t="s">
        <v>36</v>
      </c>
      <c r="D67" s="4" t="s">
        <v>39</v>
      </c>
      <c r="F67" s="4" t="s">
        <v>45</v>
      </c>
      <c r="G67" s="4"/>
    </row>
    <row r="68" spans="2:7">
      <c r="B68">
        <v>1.0000000000000001E-5</v>
      </c>
      <c r="D68">
        <f t="shared" ref="D68:D73" si="0">NORMSINV(B68)</f>
        <v>-4.2648907939602747</v>
      </c>
      <c r="F68" t="str">
        <f ca="1">_xll.VFORMULA(D68)</f>
        <v>=NORMSINV(B68)</v>
      </c>
    </row>
    <row r="69" spans="2:7">
      <c r="B69">
        <v>0.25</v>
      </c>
      <c r="D69">
        <f t="shared" si="0"/>
        <v>-0.67448975019608182</v>
      </c>
      <c r="F69" t="str">
        <f ca="1">_xll.VFORMULA(D69)</f>
        <v>=NORMSINV(B69)</v>
      </c>
    </row>
    <row r="70" spans="2:7">
      <c r="B70">
        <v>0.5</v>
      </c>
      <c r="D70">
        <f t="shared" si="0"/>
        <v>-1.392137635291833E-16</v>
      </c>
      <c r="F70" t="str">
        <f ca="1">_xll.VFORMULA(D70)</f>
        <v>=NORMSINV(B70)</v>
      </c>
    </row>
    <row r="71" spans="2:7">
      <c r="B71">
        <v>0.8</v>
      </c>
      <c r="D71">
        <f t="shared" si="0"/>
        <v>0.8416212335729143</v>
      </c>
      <c r="F71" t="str">
        <f ca="1">_xll.VFORMULA(D71)</f>
        <v>=NORMSINV(B71)</v>
      </c>
    </row>
    <row r="72" spans="2:7">
      <c r="B72">
        <v>0.96</v>
      </c>
      <c r="D72">
        <f t="shared" si="0"/>
        <v>1.7506860712521699</v>
      </c>
      <c r="F72" t="str">
        <f ca="1">_xll.VFORMULA(D72)</f>
        <v>=NORMSINV(B72)</v>
      </c>
    </row>
    <row r="73" spans="2:7">
      <c r="B73">
        <v>0.99990000000000001</v>
      </c>
      <c r="D73">
        <f t="shared" si="0"/>
        <v>3.719016485457308</v>
      </c>
      <c r="F73" t="str">
        <f ca="1">_xll.VFORMULA(D73)</f>
        <v>=NORMSINV(B73)</v>
      </c>
    </row>
  </sheetData>
  <phoneticPr fontId="0" type="noConversion"/>
  <printOptions headings="1"/>
  <pageMargins left="0.75" right="0.75" top="0.5" bottom="0.83" header="0.5" footer="0.5"/>
  <pageSetup scale="72" orientation="portrait" r:id="rId1"/>
  <headerFooter alignWithMargins="0">
    <oddFooter>demoinvtrans.xls&amp;RPage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8"/>
  <sheetViews>
    <sheetView workbookViewId="0"/>
  </sheetViews>
  <sheetFormatPr defaultRowHeight="12"/>
  <cols>
    <col min="2" max="2" width="11.140625" customWidth="1"/>
    <col min="3" max="3" width="11" customWidth="1"/>
  </cols>
  <sheetData>
    <row r="1" spans="1:11">
      <c r="A1" t="s">
        <v>59</v>
      </c>
    </row>
    <row r="2" spans="1:11">
      <c r="A2" t="s">
        <v>48</v>
      </c>
      <c r="B2" t="str">
        <f ca="1">ADDRESS(ROW(Sheet1!$B$19),COLUMN(Sheet1!$B$19),4,,_xll.WSNAME(Sheet1!$B$19))</f>
        <v>Sheet1!B19</v>
      </c>
      <c r="C2" t="str">
        <f ca="1">ADDRESS(ROW(Sheet1!$B$39),COLUMN(Sheet1!$B$39),4,,_xll.WSNAME(Sheet1!$B$39))</f>
        <v>Sheet1!B39</v>
      </c>
      <c r="D2" t="str">
        <f ca="1">ADDRESS(ROW(Sheet1!$B$59),COLUMN(Sheet1!$B$59),4,,_xll.WSNAME(Sheet1!$B$59))</f>
        <v>Sheet1!B59</v>
      </c>
    </row>
    <row r="3" spans="1:11">
      <c r="A3" t="s">
        <v>24</v>
      </c>
      <c r="B3">
        <f>AVERAGE(B9:B108)</f>
        <v>12.500171090469157</v>
      </c>
      <c r="C3">
        <f>AVERAGE(C9:C108)</f>
        <v>9.9950977467373807</v>
      </c>
      <c r="D3">
        <f>AVERAGE(D9:D108)</f>
        <v>12.797932360425719</v>
      </c>
    </row>
    <row r="4" spans="1:11">
      <c r="A4" t="s">
        <v>25</v>
      </c>
      <c r="B4">
        <f>STDEV(B9:B108)</f>
        <v>1.4501638527110314</v>
      </c>
      <c r="C4">
        <f>STDEV(C9:C108)</f>
        <v>2.9860885380012445</v>
      </c>
      <c r="D4">
        <f>STDEV(D9:D108)</f>
        <v>1.6630334830160554</v>
      </c>
    </row>
    <row r="5" spans="1:11">
      <c r="A5" t="s">
        <v>26</v>
      </c>
      <c r="B5">
        <f>100*B4/B3</f>
        <v>11.601152033964709</v>
      </c>
      <c r="C5">
        <f>100*C4/C3</f>
        <v>29.875531122003977</v>
      </c>
      <c r="D5">
        <f>100*D4/D3</f>
        <v>12.994548151844858</v>
      </c>
    </row>
    <row r="6" spans="1:11">
      <c r="A6" t="s">
        <v>27</v>
      </c>
      <c r="B6">
        <f>MIN(B9:B108)</f>
        <v>10.049514120549317</v>
      </c>
      <c r="C6">
        <f>MIN(C9:C108)</f>
        <v>2.0915785801688243</v>
      </c>
      <c r="D6">
        <f>MIN(D9:D108)</f>
        <v>9.9990583643867783</v>
      </c>
    </row>
    <row r="7" spans="1:11">
      <c r="A7" t="s">
        <v>28</v>
      </c>
      <c r="B7">
        <f>MAX(B9:B108)</f>
        <v>14.983243759554636</v>
      </c>
      <c r="C7">
        <f>MAX(C9:C108)</f>
        <v>17.154482324562807</v>
      </c>
      <c r="D7">
        <f>MAX(D9:D108)</f>
        <v>15.001470549299887</v>
      </c>
      <c r="F7" t="str">
        <f>SimData!$B$8</f>
        <v>Uniform</v>
      </c>
      <c r="G7" t="s">
        <v>33</v>
      </c>
      <c r="H7" t="str">
        <f>SimData!$C$8</f>
        <v>Normal</v>
      </c>
      <c r="I7" t="s">
        <v>33</v>
      </c>
      <c r="J7" t="str">
        <f>SimData!$D$8</f>
        <v>Empirical</v>
      </c>
      <c r="K7" t="s">
        <v>33</v>
      </c>
    </row>
    <row r="8" spans="1:11">
      <c r="A8" t="s">
        <v>29</v>
      </c>
      <c r="B8" t="str">
        <f>Sheet1!$A$19</f>
        <v>Uniform</v>
      </c>
      <c r="C8" t="str">
        <f>Sheet1!$A$39</f>
        <v>Normal</v>
      </c>
      <c r="D8" t="str">
        <f>Sheet1!$A$59</f>
        <v>Empirical</v>
      </c>
      <c r="F8">
        <f>SMALL(SimData!$B$9:$B$108,1)</f>
        <v>10.049514120549317</v>
      </c>
      <c r="G8">
        <v>0</v>
      </c>
      <c r="H8">
        <f>SMALL(SimData!$C$9:$C$108,1)</f>
        <v>2.0915785801688243</v>
      </c>
      <c r="I8">
        <v>0</v>
      </c>
      <c r="J8">
        <f>SMALL(SimData!$D$9:$D$108,1)</f>
        <v>9.9990583643867783</v>
      </c>
      <c r="K8">
        <v>0</v>
      </c>
    </row>
    <row r="9" spans="1:11">
      <c r="A9">
        <v>1</v>
      </c>
      <c r="B9">
        <v>14.625621265260415</v>
      </c>
      <c r="C9">
        <v>16.707259873341819</v>
      </c>
      <c r="D9">
        <v>13.056345828228245</v>
      </c>
      <c r="F9">
        <f>SMALL(SimData!$B$9:$B$108,2)</f>
        <v>10.099866716680086</v>
      </c>
      <c r="G9">
        <f>1/(COUNT(SimData!$B$9:$B$108)-1)+$G$8</f>
        <v>1.0101010101010102E-2</v>
      </c>
      <c r="H9">
        <f>SMALL(SimData!$C$9:$C$108,2)</f>
        <v>3.8332270418016403</v>
      </c>
      <c r="I9">
        <f>1/(COUNT(SimData!$C$9:$C$108)-1)+$I$8</f>
        <v>1.0101010101010102E-2</v>
      </c>
      <c r="J9">
        <f>SMALL(SimData!$D$9:$D$108,2)</f>
        <v>9.999110295197557</v>
      </c>
      <c r="K9">
        <f>1/(COUNT(SimData!$D$9:$D$108)-1)+$K$8</f>
        <v>1.0101010101010102E-2</v>
      </c>
    </row>
    <row r="10" spans="1:11">
      <c r="A10">
        <v>2</v>
      </c>
      <c r="B10">
        <v>10.896771941845484</v>
      </c>
      <c r="C10">
        <v>10.084093425932732</v>
      </c>
      <c r="D10">
        <v>12.092389924892316</v>
      </c>
      <c r="F10">
        <f>SMALL(SimData!$B$9:$B$108,3)</f>
        <v>10.12057109006461</v>
      </c>
      <c r="G10">
        <f>1/(COUNT(SimData!$B$9:$B$108)-1)+$G$9</f>
        <v>2.0202020202020204E-2</v>
      </c>
      <c r="H10">
        <f>SMALL(SimData!$C$9:$C$108,3)</f>
        <v>4.306442779894204</v>
      </c>
      <c r="I10">
        <f>1/(COUNT(SimData!$C$9:$C$108)-1)+$I$9</f>
        <v>2.0202020202020204E-2</v>
      </c>
      <c r="J10">
        <f>SMALL(SimData!$D$9:$D$108,3)</f>
        <v>9.9992721139747118</v>
      </c>
      <c r="K10">
        <f>1/(COUNT(SimData!$D$9:$D$108)-1)+$K$9</f>
        <v>2.0202020202020204E-2</v>
      </c>
    </row>
    <row r="11" spans="1:11">
      <c r="A11">
        <v>3</v>
      </c>
      <c r="B11">
        <v>12.419814625608225</v>
      </c>
      <c r="C11">
        <v>9.2264289875222634</v>
      </c>
      <c r="D11">
        <v>13.430451918714786</v>
      </c>
      <c r="F11">
        <f>SMALL(SimData!$B$9:$B$108,4)</f>
        <v>10.199445809330662</v>
      </c>
      <c r="G11">
        <f>1/(COUNT(SimData!$B$9:$B$108)-1)+$G$10</f>
        <v>3.0303030303030304E-2</v>
      </c>
      <c r="H11">
        <f>SMALL(SimData!$C$9:$C$108,4)</f>
        <v>4.4976920437086241</v>
      </c>
      <c r="I11">
        <f>1/(COUNT(SimData!$C$9:$C$108)-1)+$I$10</f>
        <v>3.0303030303030304E-2</v>
      </c>
      <c r="J11">
        <f>SMALL(SimData!$D$9:$D$108,4)</f>
        <v>9.9993687567140839</v>
      </c>
      <c r="K11">
        <f>1/(COUNT(SimData!$D$9:$D$108)-1)+$K$10</f>
        <v>3.0303030303030304E-2</v>
      </c>
    </row>
    <row r="12" spans="1:11">
      <c r="A12">
        <v>4</v>
      </c>
      <c r="B12">
        <v>13.332904593735678</v>
      </c>
      <c r="C12">
        <v>8.7351826494724438</v>
      </c>
      <c r="D12">
        <v>14.477856100019499</v>
      </c>
      <c r="F12">
        <f>SMALL(SimData!$B$9:$B$108,5)</f>
        <v>10.214869099195317</v>
      </c>
      <c r="G12">
        <f>1/(COUNT(SimData!$B$9:$B$108)-1)+$G$11</f>
        <v>4.0404040404040407E-2</v>
      </c>
      <c r="H12">
        <f>SMALL(SimData!$C$9:$C$108,5)</f>
        <v>4.9925971990361919</v>
      </c>
      <c r="I12">
        <f>1/(COUNT(SimData!$C$9:$C$108)-1)+$I$11</f>
        <v>4.0404040404040407E-2</v>
      </c>
      <c r="J12">
        <f>SMALL(SimData!$D$9:$D$108,5)</f>
        <v>9.999431983583964</v>
      </c>
      <c r="K12">
        <f>1/(COUNT(SimData!$D$9:$D$108)-1)+$K$11</f>
        <v>4.0404040404040407E-2</v>
      </c>
    </row>
    <row r="13" spans="1:11">
      <c r="A13">
        <v>5</v>
      </c>
      <c r="B13">
        <v>11.23191404552942</v>
      </c>
      <c r="C13">
        <v>12.527477058046394</v>
      </c>
      <c r="D13">
        <v>15.000608648772458</v>
      </c>
      <c r="F13">
        <f>SMALL(SimData!$B$9:$B$108,6)</f>
        <v>10.272374613716353</v>
      </c>
      <c r="G13">
        <f>1/(COUNT(SimData!$B$9:$B$108)-1)+$G$12</f>
        <v>5.0505050505050511E-2</v>
      </c>
      <c r="H13">
        <f>SMALL(SimData!$C$9:$C$108,6)</f>
        <v>5.0736041851865519</v>
      </c>
      <c r="I13">
        <f>1/(COUNT(SimData!$C$9:$C$108)-1)+$I$12</f>
        <v>5.0505050505050511E-2</v>
      </c>
      <c r="J13">
        <f>SMALL(SimData!$D$9:$D$108,6)</f>
        <v>9.9995857271680819</v>
      </c>
      <c r="K13">
        <f>1/(COUNT(SimData!$D$9:$D$108)-1)+$K$12</f>
        <v>5.0505050505050511E-2</v>
      </c>
    </row>
    <row r="14" spans="1:11">
      <c r="A14">
        <v>6</v>
      </c>
      <c r="B14">
        <v>11.487363555069864</v>
      </c>
      <c r="C14">
        <v>10.171220169434212</v>
      </c>
      <c r="D14">
        <v>14.227959019627413</v>
      </c>
      <c r="F14">
        <f>SMALL(SimData!$B$9:$B$108,7)</f>
        <v>10.332094312804307</v>
      </c>
      <c r="G14">
        <f>1/(COUNT(SimData!$B$9:$B$108)-1)+$G$13</f>
        <v>6.0606060606060615E-2</v>
      </c>
      <c r="H14">
        <f>SMALL(SimData!$C$9:$C$108,7)</f>
        <v>5.3499943008867135</v>
      </c>
      <c r="I14">
        <f>1/(COUNT(SimData!$C$9:$C$108)-1)+$I$13</f>
        <v>6.0606060606060615E-2</v>
      </c>
      <c r="J14">
        <f>SMALL(SimData!$D$9:$D$108,7)</f>
        <v>9.9996084611354412</v>
      </c>
      <c r="K14">
        <f>1/(COUNT(SimData!$D$9:$D$108)-1)+$K$13</f>
        <v>6.0606060606060615E-2</v>
      </c>
    </row>
    <row r="15" spans="1:11">
      <c r="A15">
        <v>7</v>
      </c>
      <c r="B15">
        <v>14.252243623650223</v>
      </c>
      <c r="C15">
        <v>6.1478181632810305</v>
      </c>
      <c r="D15">
        <v>9.9999249233433112</v>
      </c>
      <c r="F15">
        <f>SMALL(SimData!$B$9:$B$108,8)</f>
        <v>10.35522216969524</v>
      </c>
      <c r="G15">
        <f>1/(COUNT(SimData!$B$9:$B$108)-1)+$G$14</f>
        <v>7.0707070707070718E-2</v>
      </c>
      <c r="H15">
        <f>SMALL(SimData!$C$9:$C$108,8)</f>
        <v>5.6197924253165361</v>
      </c>
      <c r="I15">
        <f>1/(COUNT(SimData!$C$9:$C$108)-1)+$I$14</f>
        <v>7.0707070707070718E-2</v>
      </c>
      <c r="J15">
        <f>SMALL(SimData!$D$9:$D$108,8)</f>
        <v>9.9997640112944559</v>
      </c>
      <c r="K15">
        <f>1/(COUNT(SimData!$D$9:$D$108)-1)+$K$14</f>
        <v>7.0707070707070718E-2</v>
      </c>
    </row>
    <row r="16" spans="1:11">
      <c r="A16">
        <v>8</v>
      </c>
      <c r="B16">
        <v>11.8492874238522</v>
      </c>
      <c r="C16">
        <v>12.038839329081206</v>
      </c>
      <c r="D16">
        <v>11.889943179765238</v>
      </c>
      <c r="F16">
        <f>SMALL(SimData!$B$9:$B$108,9)</f>
        <v>10.436558192872107</v>
      </c>
      <c r="G16">
        <f>1/(COUNT(SimData!$B$9:$B$108)-1)+$G$15</f>
        <v>8.0808080808080815E-2</v>
      </c>
      <c r="H16">
        <f>SMALL(SimData!$C$9:$C$108,9)</f>
        <v>5.8785140904850479</v>
      </c>
      <c r="I16">
        <f>1/(COUNT(SimData!$C$9:$C$108)-1)+$I$15</f>
        <v>8.0808080808080815E-2</v>
      </c>
      <c r="J16">
        <f>SMALL(SimData!$D$9:$D$108,9)</f>
        <v>9.9998624309638657</v>
      </c>
      <c r="K16">
        <f>1/(COUNT(SimData!$D$9:$D$108)-1)+$K$15</f>
        <v>8.0808080808080815E-2</v>
      </c>
    </row>
    <row r="17" spans="1:11">
      <c r="A17">
        <v>9</v>
      </c>
      <c r="B17">
        <v>10.973071000753686</v>
      </c>
      <c r="C17">
        <v>11.493578404289661</v>
      </c>
      <c r="D17">
        <v>15.000815051155925</v>
      </c>
      <c r="F17">
        <f>SMALL(SimData!$B$9:$B$108,10)</f>
        <v>10.466683349576007</v>
      </c>
      <c r="G17">
        <f>1/(COUNT(SimData!$B$9:$B$108)-1)+$G$16</f>
        <v>9.0909090909090912E-2</v>
      </c>
      <c r="H17">
        <f>SMALL(SimData!$C$9:$C$108,10)</f>
        <v>6.1478181632810305</v>
      </c>
      <c r="I17">
        <f>1/(COUNT(SimData!$C$9:$C$108)-1)+$I$16</f>
        <v>9.0909090909090912E-2</v>
      </c>
      <c r="J17">
        <f>SMALL(SimData!$D$9:$D$108,10)</f>
        <v>9.9999249233433112</v>
      </c>
      <c r="K17">
        <f>1/(COUNT(SimData!$D$9:$D$108)-1)+$K$16</f>
        <v>9.0909090909090912E-2</v>
      </c>
    </row>
    <row r="18" spans="1:11">
      <c r="A18">
        <v>10</v>
      </c>
      <c r="B18">
        <v>14.983243759554636</v>
      </c>
      <c r="C18">
        <v>5.3499943008867135</v>
      </c>
      <c r="D18">
        <v>13.808248800332251</v>
      </c>
      <c r="F18">
        <f>SMALL(SimData!$B$9:$B$108,11)</f>
        <v>10.516658831088957</v>
      </c>
      <c r="G18">
        <f>1/(COUNT(SimData!$B$9:$B$108)-1)+$G$17</f>
        <v>0.10101010101010101</v>
      </c>
      <c r="H18">
        <f>SMALL(SimData!$C$9:$C$108,11)</f>
        <v>6.1834802130769564</v>
      </c>
      <c r="I18">
        <f>1/(COUNT(SimData!$C$9:$C$108)-1)+$I$17</f>
        <v>0.10101010101010101</v>
      </c>
      <c r="J18">
        <f>SMALL(SimData!$D$9:$D$108,11)</f>
        <v>10.010715412141456</v>
      </c>
      <c r="K18">
        <f>1/(COUNT(SimData!$D$9:$D$108)-1)+$K$17</f>
        <v>0.10101010101010101</v>
      </c>
    </row>
    <row r="19" spans="1:11">
      <c r="A19">
        <v>11</v>
      </c>
      <c r="B19">
        <v>12.689191866977882</v>
      </c>
      <c r="C19">
        <v>10.005786818826511</v>
      </c>
      <c r="D19">
        <v>13.892279237553542</v>
      </c>
      <c r="F19">
        <f>SMALL(SimData!$B$9:$B$108,12)</f>
        <v>10.595852329115349</v>
      </c>
      <c r="G19">
        <f>1/(COUNT(SimData!$B$9:$B$108)-1)+$G$18</f>
        <v>0.1111111111111111</v>
      </c>
      <c r="H19">
        <f>SMALL(SimData!$C$9:$C$108,12)</f>
        <v>6.3313992741518916</v>
      </c>
      <c r="I19">
        <f>1/(COUNT(SimData!$C$9:$C$108)-1)+$I$18</f>
        <v>0.1111111111111111</v>
      </c>
      <c r="J19">
        <f>SMALL(SimData!$D$9:$D$108,12)</f>
        <v>10.152201619151095</v>
      </c>
      <c r="K19">
        <f>1/(COUNT(SimData!$D$9:$D$108)-1)+$K$18</f>
        <v>0.1111111111111111</v>
      </c>
    </row>
    <row r="20" spans="1:11">
      <c r="A20">
        <v>12</v>
      </c>
      <c r="B20">
        <v>14.166549054758285</v>
      </c>
      <c r="C20">
        <v>7.2655529323855088</v>
      </c>
      <c r="D20">
        <v>11.444423147417703</v>
      </c>
      <c r="F20">
        <f>SMALL(SimData!$B$9:$B$108,13)</f>
        <v>10.629386200518205</v>
      </c>
      <c r="G20">
        <f>1/(COUNT(SimData!$B$9:$B$108)-1)+$G$19</f>
        <v>0.1212121212121212</v>
      </c>
      <c r="H20">
        <f>SMALL(SimData!$C$9:$C$108,13)</f>
        <v>6.4805839107224816</v>
      </c>
      <c r="I20">
        <f>1/(COUNT(SimData!$C$9:$C$108)-1)+$I$19</f>
        <v>0.1212121212121212</v>
      </c>
      <c r="J20">
        <f>SMALL(SimData!$D$9:$D$108,13)</f>
        <v>10.217616893727708</v>
      </c>
      <c r="K20">
        <f>1/(COUNT(SimData!$D$9:$D$108)-1)+$K$19</f>
        <v>0.1212121212121212</v>
      </c>
    </row>
    <row r="21" spans="1:11">
      <c r="A21">
        <v>13</v>
      </c>
      <c r="B21">
        <v>12.360640980468746</v>
      </c>
      <c r="C21">
        <v>11.015084844845894</v>
      </c>
      <c r="D21">
        <v>15.00041620665831</v>
      </c>
      <c r="F21">
        <f>SMALL(SimData!$B$9:$B$108,14)</f>
        <v>10.698754907387485</v>
      </c>
      <c r="G21">
        <f>1/(COUNT(SimData!$B$9:$B$108)-1)+$G$20</f>
        <v>0.1313131313131313</v>
      </c>
      <c r="H21">
        <f>SMALL(SimData!$C$9:$C$108,14)</f>
        <v>6.6554652238637981</v>
      </c>
      <c r="I21">
        <f>1/(COUNT(SimData!$C$9:$C$108)-1)+$I$20</f>
        <v>0.1313131313131313</v>
      </c>
      <c r="J21">
        <f>SMALL(SimData!$D$9:$D$108,14)</f>
        <v>10.336333127048876</v>
      </c>
      <c r="K21">
        <f>1/(COUNT(SimData!$D$9:$D$108)-1)+$K$20</f>
        <v>0.1313131313131313</v>
      </c>
    </row>
    <row r="22" spans="1:11">
      <c r="A22">
        <v>14</v>
      </c>
      <c r="B22">
        <v>11.109335571098917</v>
      </c>
      <c r="C22">
        <v>7.6365377615201471</v>
      </c>
      <c r="D22">
        <v>10.442961144783292</v>
      </c>
      <c r="F22">
        <f>SMALL(SimData!$B$9:$B$108,15)</f>
        <v>10.712612542606102</v>
      </c>
      <c r="G22">
        <f>1/(COUNT(SimData!$B$9:$B$108)-1)+$G$21</f>
        <v>0.14141414141414141</v>
      </c>
      <c r="H22">
        <f>SMALL(SimData!$C$9:$C$108,15)</f>
        <v>6.8883817083955137</v>
      </c>
      <c r="I22">
        <f>1/(COUNT(SimData!$C$9:$C$108)-1)+$I$21</f>
        <v>0.14141414141414141</v>
      </c>
      <c r="J22">
        <f>SMALL(SimData!$D$9:$D$108,15)</f>
        <v>10.442961144783292</v>
      </c>
      <c r="K22">
        <f>1/(COUNT(SimData!$D$9:$D$108)-1)+$K$21</f>
        <v>0.14141414141414141</v>
      </c>
    </row>
    <row r="23" spans="1:11">
      <c r="A23">
        <v>15</v>
      </c>
      <c r="B23">
        <v>10.332094312804307</v>
      </c>
      <c r="C23">
        <v>11.462036772840918</v>
      </c>
      <c r="D23">
        <v>11.99185967726909</v>
      </c>
      <c r="F23">
        <f>SMALL(SimData!$B$9:$B$108,16)</f>
        <v>10.779132909264678</v>
      </c>
      <c r="G23">
        <f>1/(COUNT(SimData!$B$9:$B$108)-1)+$G$22</f>
        <v>0.15151515151515152</v>
      </c>
      <c r="H23">
        <f>SMALL(SimData!$C$9:$C$108,16)</f>
        <v>6.9803751356257813</v>
      </c>
      <c r="I23">
        <f>1/(COUNT(SimData!$C$9:$C$108)-1)+$I$22</f>
        <v>0.15151515151515152</v>
      </c>
      <c r="J23">
        <f>SMALL(SimData!$D$9:$D$108,16)</f>
        <v>10.506435748656848</v>
      </c>
      <c r="K23">
        <f>1/(COUNT(SimData!$D$9:$D$108)-1)+$K$22</f>
        <v>0.15151515151515152</v>
      </c>
    </row>
    <row r="24" spans="1:11">
      <c r="A24">
        <v>16</v>
      </c>
      <c r="B24">
        <v>14.557109590435193</v>
      </c>
      <c r="C24">
        <v>13.141381503641956</v>
      </c>
      <c r="D24">
        <v>12.870277615874139</v>
      </c>
      <c r="F24">
        <f>SMALL(SimData!$B$9:$B$108,17)</f>
        <v>10.830262003135928</v>
      </c>
      <c r="G24">
        <f>1/(COUNT(SimData!$B$9:$B$108)-1)+$G$23</f>
        <v>0.16161616161616163</v>
      </c>
      <c r="H24">
        <f>SMALL(SimData!$C$9:$C$108,17)</f>
        <v>7.1016419836619313</v>
      </c>
      <c r="I24">
        <f>1/(COUNT(SimData!$C$9:$C$108)-1)+$I$23</f>
        <v>0.16161616161616163</v>
      </c>
      <c r="J24">
        <f>SMALL(SimData!$D$9:$D$108,17)</f>
        <v>10.605462597172117</v>
      </c>
      <c r="K24">
        <f>1/(COUNT(SimData!$D$9:$D$108)-1)+$K$23</f>
        <v>0.16161616161616163</v>
      </c>
    </row>
    <row r="25" spans="1:11">
      <c r="A25">
        <v>17</v>
      </c>
      <c r="B25">
        <v>13.272709192864761</v>
      </c>
      <c r="C25">
        <v>7.8776622552221962</v>
      </c>
      <c r="D25">
        <v>14.593222537018178</v>
      </c>
      <c r="F25">
        <f>SMALL(SimData!$B$9:$B$108,18)</f>
        <v>10.896771941845484</v>
      </c>
      <c r="G25">
        <f>1/(COUNT(SimData!$B$9:$B$108)-1)+$G$24</f>
        <v>0.17171717171717174</v>
      </c>
      <c r="H25">
        <f>SMALL(SimData!$C$9:$C$108,18)</f>
        <v>7.2123077000133664</v>
      </c>
      <c r="I25">
        <f>1/(COUNT(SimData!$C$9:$C$108)-1)+$I$24</f>
        <v>0.17171717171717174</v>
      </c>
      <c r="J25">
        <f>SMALL(SimData!$D$9:$D$108,18)</f>
        <v>10.778557043703868</v>
      </c>
      <c r="K25">
        <f>1/(COUNT(SimData!$D$9:$D$108)-1)+$K$24</f>
        <v>0.17171717171717174</v>
      </c>
    </row>
    <row r="26" spans="1:11">
      <c r="A26">
        <v>18</v>
      </c>
      <c r="B26">
        <v>13.93828981148272</v>
      </c>
      <c r="C26">
        <v>8.3537303000376468</v>
      </c>
      <c r="D26">
        <v>13.285163983687564</v>
      </c>
      <c r="F26">
        <f>SMALL(SimData!$B$9:$B$108,19)</f>
        <v>10.904398376635369</v>
      </c>
      <c r="G26">
        <f>1/(COUNT(SimData!$B$9:$B$108)-1)+$G$25</f>
        <v>0.18181818181818185</v>
      </c>
      <c r="H26">
        <f>SMALL(SimData!$C$9:$C$108,19)</f>
        <v>7.2655529323855088</v>
      </c>
      <c r="I26">
        <f>1/(COUNT(SimData!$C$9:$C$108)-1)+$I$25</f>
        <v>0.18181818181818185</v>
      </c>
      <c r="J26">
        <f>SMALL(SimData!$D$9:$D$108,19)</f>
        <v>10.810867390458208</v>
      </c>
      <c r="K26">
        <f>1/(COUNT(SimData!$D$9:$D$108)-1)+$K$25</f>
        <v>0.18181818181818185</v>
      </c>
    </row>
    <row r="27" spans="1:11">
      <c r="A27">
        <v>19</v>
      </c>
      <c r="B27">
        <v>11.542162712626663</v>
      </c>
      <c r="C27">
        <v>6.3313992741518916</v>
      </c>
      <c r="D27">
        <v>14.381322888199083</v>
      </c>
      <c r="F27">
        <f>SMALL(SimData!$B$9:$B$108,20)</f>
        <v>10.973071000753686</v>
      </c>
      <c r="G27">
        <f>1/(COUNT(SimData!$B$9:$B$108)-1)+$G$26</f>
        <v>0.19191919191919196</v>
      </c>
      <c r="H27">
        <f>SMALL(SimData!$C$9:$C$108,20)</f>
        <v>7.3760804010926186</v>
      </c>
      <c r="I27">
        <f>1/(COUNT(SimData!$C$9:$C$108)-1)+$I$26</f>
        <v>0.19191919191919196</v>
      </c>
      <c r="J27">
        <f>SMALL(SimData!$D$9:$D$108,20)</f>
        <v>10.968414977953866</v>
      </c>
      <c r="K27">
        <f>1/(COUNT(SimData!$D$9:$D$108)-1)+$K$26</f>
        <v>0.19191919191919196</v>
      </c>
    </row>
    <row r="28" spans="1:11">
      <c r="A28">
        <v>20</v>
      </c>
      <c r="B28">
        <v>12.015218186894248</v>
      </c>
      <c r="C28">
        <v>11.722288211586008</v>
      </c>
      <c r="D28">
        <v>13.609421023169864</v>
      </c>
      <c r="F28">
        <f>SMALL(SimData!$B$9:$B$108,21)</f>
        <v>11.002644081437644</v>
      </c>
      <c r="G28">
        <f>1/(COUNT(SimData!$B$9:$B$108)-1)+$G$27</f>
        <v>0.20202020202020207</v>
      </c>
      <c r="H28">
        <f>SMALL(SimData!$C$9:$C$108,21)</f>
        <v>7.5356063257117016</v>
      </c>
      <c r="I28">
        <f>1/(COUNT(SimData!$C$9:$C$108)-1)+$I$27</f>
        <v>0.20202020202020207</v>
      </c>
      <c r="J28">
        <f>SMALL(SimData!$D$9:$D$108,21)</f>
        <v>11.003794791527044</v>
      </c>
      <c r="K28">
        <f>1/(COUNT(SimData!$D$9:$D$108)-1)+$K$27</f>
        <v>0.20202020202020207</v>
      </c>
    </row>
    <row r="29" spans="1:11">
      <c r="A29">
        <v>21</v>
      </c>
      <c r="B29">
        <v>11.060509540911417</v>
      </c>
      <c r="C29">
        <v>6.8883817083955137</v>
      </c>
      <c r="D29">
        <v>9.999110295197557</v>
      </c>
      <c r="F29">
        <f>SMALL(SimData!$B$9:$B$108,22)</f>
        <v>11.060509540911417</v>
      </c>
      <c r="G29">
        <f>1/(COUNT(SimData!$B$9:$B$108)-1)+$G$28</f>
        <v>0.21212121212121218</v>
      </c>
      <c r="H29">
        <f>SMALL(SimData!$C$9:$C$108,22)</f>
        <v>7.6365377615201471</v>
      </c>
      <c r="I29">
        <f>1/(COUNT(SimData!$C$9:$C$108)-1)+$I$28</f>
        <v>0.21212121212121218</v>
      </c>
      <c r="J29">
        <f>SMALL(SimData!$D$9:$D$108,22)</f>
        <v>11.11893304333066</v>
      </c>
      <c r="K29">
        <f>1/(COUNT(SimData!$D$9:$D$108)-1)+$K$28</f>
        <v>0.21212121212121218</v>
      </c>
    </row>
    <row r="30" spans="1:11">
      <c r="A30">
        <v>22</v>
      </c>
      <c r="B30">
        <v>10.214869099195317</v>
      </c>
      <c r="C30">
        <v>9.7815322025954181</v>
      </c>
      <c r="D30">
        <v>10.810867390458208</v>
      </c>
      <c r="F30">
        <f>SMALL(SimData!$B$9:$B$108,23)</f>
        <v>11.109335571098917</v>
      </c>
      <c r="G30">
        <f>1/(COUNT(SimData!$B$9:$B$108)-1)+$G$29</f>
        <v>0.22222222222222229</v>
      </c>
      <c r="H30">
        <f>SMALL(SimData!$C$9:$C$108,23)</f>
        <v>7.7634081975140496</v>
      </c>
      <c r="I30">
        <f>1/(COUNT(SimData!$C$9:$C$108)-1)+$I$29</f>
        <v>0.22222222222222229</v>
      </c>
      <c r="J30">
        <f>SMALL(SimData!$D$9:$D$108,23)</f>
        <v>11.237884912974639</v>
      </c>
      <c r="K30">
        <f>1/(COUNT(SimData!$D$9:$D$108)-1)+$K$29</f>
        <v>0.22222222222222229</v>
      </c>
    </row>
    <row r="31" spans="1:11">
      <c r="A31">
        <v>23</v>
      </c>
      <c r="B31">
        <v>12.308913936339998</v>
      </c>
      <c r="C31">
        <v>8.8210078917323731</v>
      </c>
      <c r="D31">
        <v>13.687330521535438</v>
      </c>
      <c r="F31">
        <f>SMALL(SimData!$B$9:$B$108,24)</f>
        <v>11.156733222761362</v>
      </c>
      <c r="G31">
        <f>1/(COUNT(SimData!$B$9:$B$108)-1)+$G$30</f>
        <v>0.2323232323232324</v>
      </c>
      <c r="H31">
        <f>SMALL(SimData!$C$9:$C$108,24)</f>
        <v>7.8776622552221962</v>
      </c>
      <c r="I31">
        <f>1/(COUNT(SimData!$C$9:$C$108)-1)+$I$30</f>
        <v>0.2323232323232324</v>
      </c>
      <c r="J31">
        <f>SMALL(SimData!$D$9:$D$108,24)</f>
        <v>11.315828017917422</v>
      </c>
      <c r="K31">
        <f>1/(COUNT(SimData!$D$9:$D$108)-1)+$K$30</f>
        <v>0.2323232323232324</v>
      </c>
    </row>
    <row r="32" spans="1:11">
      <c r="A32">
        <v>24</v>
      </c>
      <c r="B32">
        <v>10.436558192872107</v>
      </c>
      <c r="C32">
        <v>9.4907582918520195</v>
      </c>
      <c r="D32">
        <v>10.336333127048876</v>
      </c>
      <c r="F32">
        <f>SMALL(SimData!$B$9:$B$108,25)</f>
        <v>11.23191404552942</v>
      </c>
      <c r="G32">
        <f>1/(COUNT(SimData!$B$9:$B$108)-1)+$G$31</f>
        <v>0.24242424242424251</v>
      </c>
      <c r="H32">
        <f>SMALL(SimData!$C$9:$C$108,25)</f>
        <v>7.964061261855834</v>
      </c>
      <c r="I32">
        <f>1/(COUNT(SimData!$C$9:$C$108)-1)+$I$31</f>
        <v>0.24242424242424251</v>
      </c>
      <c r="J32">
        <f>SMALL(SimData!$D$9:$D$108,25)</f>
        <v>11.444423147417703</v>
      </c>
      <c r="K32">
        <f>1/(COUNT(SimData!$D$9:$D$108)-1)+$K$31</f>
        <v>0.24242424242424251</v>
      </c>
    </row>
    <row r="33" spans="1:11">
      <c r="A33">
        <v>25</v>
      </c>
      <c r="B33">
        <v>11.422492094471234</v>
      </c>
      <c r="C33">
        <v>9.3139276261699688</v>
      </c>
      <c r="D33">
        <v>14.860405894056989</v>
      </c>
      <c r="F33">
        <f>SMALL(SimData!$B$9:$B$108,26)</f>
        <v>11.263085095424458</v>
      </c>
      <c r="G33">
        <f>1/(COUNT(SimData!$B$9:$B$108)-1)+$G$32</f>
        <v>0.2525252525252526</v>
      </c>
      <c r="H33">
        <f>SMALL(SimData!$C$9:$C$108,26)</f>
        <v>7.9839809717358063</v>
      </c>
      <c r="I33">
        <f>1/(COUNT(SimData!$C$9:$C$108)-1)+$I$32</f>
        <v>0.2525252525252526</v>
      </c>
      <c r="J33">
        <f>SMALL(SimData!$D$9:$D$108,26)</f>
        <v>11.513820658115163</v>
      </c>
      <c r="K33">
        <f>1/(COUNT(SimData!$D$9:$D$108)-1)+$K$32</f>
        <v>0.2525252525252526</v>
      </c>
    </row>
    <row r="34" spans="1:11">
      <c r="A34">
        <v>26</v>
      </c>
      <c r="B34">
        <v>14.132893783676646</v>
      </c>
      <c r="C34">
        <v>9.653298749316793</v>
      </c>
      <c r="D34">
        <v>12.543604935494626</v>
      </c>
      <c r="F34">
        <f>SMALL(SimData!$B$9:$B$108,27)</f>
        <v>11.320244395132233</v>
      </c>
      <c r="G34">
        <f>1/(COUNT(SimData!$B$9:$B$108)-1)+$G$33</f>
        <v>0.26262626262626271</v>
      </c>
      <c r="H34">
        <f>SMALL(SimData!$C$9:$C$108,27)</f>
        <v>8.0813939751268418</v>
      </c>
      <c r="I34">
        <f>1/(COUNT(SimData!$C$9:$C$108)-1)+$I$33</f>
        <v>0.26262626262626271</v>
      </c>
      <c r="J34">
        <f>SMALL(SimData!$D$9:$D$108,27)</f>
        <v>11.657040865616183</v>
      </c>
      <c r="K34">
        <f>1/(COUNT(SimData!$D$9:$D$108)-1)+$K$33</f>
        <v>0.26262626262626271</v>
      </c>
    </row>
    <row r="35" spans="1:11">
      <c r="A35">
        <v>27</v>
      </c>
      <c r="B35">
        <v>13.850007093686147</v>
      </c>
      <c r="C35">
        <v>5.0736041851865519</v>
      </c>
      <c r="D35">
        <v>13.04185022976991</v>
      </c>
      <c r="F35">
        <f>SMALL(SimData!$B$9:$B$108,28)</f>
        <v>11.374898070126049</v>
      </c>
      <c r="G35">
        <f>1/(COUNT(SimData!$B$9:$B$108)-1)+$G$34</f>
        <v>0.27272727272727282</v>
      </c>
      <c r="H35">
        <f>SMALL(SimData!$C$9:$C$108,28)</f>
        <v>8.2305285329226727</v>
      </c>
      <c r="I35">
        <f>1/(COUNT(SimData!$C$9:$C$108)-1)+$I$34</f>
        <v>0.27272727272727282</v>
      </c>
      <c r="J35">
        <f>SMALL(SimData!$D$9:$D$108,28)</f>
        <v>11.733632186272562</v>
      </c>
      <c r="K35">
        <f>1/(COUNT(SimData!$D$9:$D$108)-1)+$K$34</f>
        <v>0.27272727272727282</v>
      </c>
    </row>
    <row r="36" spans="1:11">
      <c r="A36">
        <v>28</v>
      </c>
      <c r="B36">
        <v>11.913201529186498</v>
      </c>
      <c r="C36">
        <v>8.8576608798521583</v>
      </c>
      <c r="D36">
        <v>11.657040865616183</v>
      </c>
      <c r="F36">
        <f>SMALL(SimData!$B$9:$B$108,29)</f>
        <v>11.422492094471234</v>
      </c>
      <c r="G36">
        <f>1/(COUNT(SimData!$B$9:$B$108)-1)+$G$35</f>
        <v>0.28282828282828293</v>
      </c>
      <c r="H36">
        <f>SMALL(SimData!$C$9:$C$108,29)</f>
        <v>8.2734039488690616</v>
      </c>
      <c r="I36">
        <f>1/(COUNT(SimData!$C$9:$C$108)-1)+$I$35</f>
        <v>0.28282828282828293</v>
      </c>
      <c r="J36">
        <f>SMALL(SimData!$D$9:$D$108,29)</f>
        <v>11.889943179765238</v>
      </c>
      <c r="K36">
        <f>1/(COUNT(SimData!$D$9:$D$108)-1)+$K$35</f>
        <v>0.28282828282828293</v>
      </c>
    </row>
    <row r="37" spans="1:11">
      <c r="A37">
        <v>29</v>
      </c>
      <c r="B37">
        <v>13.22899844251317</v>
      </c>
      <c r="C37">
        <v>9.1198448267533259</v>
      </c>
      <c r="D37">
        <v>14.691384662371451</v>
      </c>
      <c r="F37">
        <f>SMALL(SimData!$B$9:$B$108,30)</f>
        <v>11.487363555069864</v>
      </c>
      <c r="G37">
        <f>1/(COUNT(SimData!$B$9:$B$108)-1)+$G$36</f>
        <v>0.29292929292929304</v>
      </c>
      <c r="H37">
        <f>SMALL(SimData!$C$9:$C$108,30)</f>
        <v>8.3537303000376468</v>
      </c>
      <c r="I37">
        <f>1/(COUNT(SimData!$C$9:$C$108)-1)+$I$36</f>
        <v>0.29292929292929304</v>
      </c>
      <c r="J37">
        <f>SMALL(SimData!$D$9:$D$108,30)</f>
        <v>11.99185967726909</v>
      </c>
      <c r="K37">
        <f>1/(COUNT(SimData!$D$9:$D$108)-1)+$K$36</f>
        <v>0.29292929292929304</v>
      </c>
    </row>
    <row r="38" spans="1:11">
      <c r="A38">
        <v>30</v>
      </c>
      <c r="B38">
        <v>10.049514120549317</v>
      </c>
      <c r="C38">
        <v>10.627943104619417</v>
      </c>
      <c r="D38">
        <v>13.374356794409536</v>
      </c>
      <c r="F38">
        <f>SMALL(SimData!$B$9:$B$108,31)</f>
        <v>11.542162712626663</v>
      </c>
      <c r="G38">
        <f>1/(COUNT(SimData!$B$9:$B$108)-1)+$G$37</f>
        <v>0.30303030303030315</v>
      </c>
      <c r="H38">
        <f>SMALL(SimData!$C$9:$C$108,31)</f>
        <v>8.4324342957228211</v>
      </c>
      <c r="I38">
        <f>1/(COUNT(SimData!$C$9:$C$108)-1)+$I$37</f>
        <v>0.30303030303030315</v>
      </c>
      <c r="J38">
        <f>SMALL(SimData!$D$9:$D$108,31)</f>
        <v>12.046965071569888</v>
      </c>
      <c r="K38">
        <f>1/(COUNT(SimData!$D$9:$D$108)-1)+$K$37</f>
        <v>0.30303030303030315</v>
      </c>
    </row>
    <row r="39" spans="1:11">
      <c r="A39">
        <v>31</v>
      </c>
      <c r="B39">
        <v>13.808240935941749</v>
      </c>
      <c r="C39">
        <v>8.6133488438755688</v>
      </c>
      <c r="D39">
        <v>12.912051616809809</v>
      </c>
      <c r="F39">
        <f>SMALL(SimData!$B$9:$B$108,32)</f>
        <v>11.578672454151947</v>
      </c>
      <c r="G39">
        <f>1/(COUNT(SimData!$B$9:$B$108)-1)+$G$38</f>
        <v>0.31313131313131326</v>
      </c>
      <c r="H39">
        <f>SMALL(SimData!$C$9:$C$108,32)</f>
        <v>8.5250083784870156</v>
      </c>
      <c r="I39">
        <f>1/(COUNT(SimData!$C$9:$C$108)-1)+$I$38</f>
        <v>0.31313131313131326</v>
      </c>
      <c r="J39">
        <f>SMALL(SimData!$D$9:$D$108,32)</f>
        <v>12.092389924892316</v>
      </c>
      <c r="K39">
        <f>1/(COUNT(SimData!$D$9:$D$108)-1)+$K$38</f>
        <v>0.31313131313131326</v>
      </c>
    </row>
    <row r="40" spans="1:11">
      <c r="A40">
        <v>32</v>
      </c>
      <c r="B40">
        <v>10.199445809330662</v>
      </c>
      <c r="C40">
        <v>7.1016419836619313</v>
      </c>
      <c r="D40">
        <v>12.825309354154232</v>
      </c>
      <c r="F40">
        <f>SMALL(SimData!$B$9:$B$108,33)</f>
        <v>11.609127815093176</v>
      </c>
      <c r="G40">
        <f>1/(COUNT(SimData!$B$9:$B$108)-1)+$G$39</f>
        <v>0.32323232323232337</v>
      </c>
      <c r="H40">
        <f>SMALL(SimData!$C$9:$C$108,33)</f>
        <v>8.6133488438755688</v>
      </c>
      <c r="I40">
        <f>1/(COUNT(SimData!$C$9:$C$108)-1)+$I$39</f>
        <v>0.32323232323232337</v>
      </c>
      <c r="J40">
        <f>SMALL(SimData!$D$9:$D$108,33)</f>
        <v>12.140215626321783</v>
      </c>
      <c r="K40">
        <f>1/(COUNT(SimData!$D$9:$D$108)-1)+$K$39</f>
        <v>0.32323232323232337</v>
      </c>
    </row>
    <row r="41" spans="1:11">
      <c r="A41">
        <v>33</v>
      </c>
      <c r="B41">
        <v>12.233818201588889</v>
      </c>
      <c r="C41">
        <v>4.306442779894204</v>
      </c>
      <c r="D41">
        <v>12.763698429931816</v>
      </c>
      <c r="F41">
        <f>SMALL(SimData!$B$9:$B$108,34)</f>
        <v>11.668462767467942</v>
      </c>
      <c r="G41">
        <f>1/(COUNT(SimData!$B$9:$B$108)-1)+$G$40</f>
        <v>0.33333333333333348</v>
      </c>
      <c r="H41">
        <f>SMALL(SimData!$C$9:$C$108,34)</f>
        <v>8.7351826494724438</v>
      </c>
      <c r="I41">
        <f>1/(COUNT(SimData!$C$9:$C$108)-1)+$I$40</f>
        <v>0.33333333333333348</v>
      </c>
      <c r="J41">
        <f>SMALL(SimData!$D$9:$D$108,34)</f>
        <v>12.18776910301246</v>
      </c>
      <c r="K41">
        <f>1/(COUNT(SimData!$D$9:$D$108)-1)+$K$40</f>
        <v>0.33333333333333348</v>
      </c>
    </row>
    <row r="42" spans="1:11">
      <c r="A42">
        <v>34</v>
      </c>
      <c r="B42">
        <v>12.789202823778428</v>
      </c>
      <c r="C42">
        <v>9.018375623798855</v>
      </c>
      <c r="D42">
        <v>15.000960550946372</v>
      </c>
      <c r="F42">
        <f>SMALL(SimData!$B$9:$B$108,35)</f>
        <v>11.713764651902896</v>
      </c>
      <c r="G42">
        <f>1/(COUNT(SimData!$B$9:$B$108)-1)+$G$41</f>
        <v>0.34343434343434359</v>
      </c>
      <c r="H42">
        <f>SMALL(SimData!$C$9:$C$108,35)</f>
        <v>8.8210078917323731</v>
      </c>
      <c r="I42">
        <f>1/(COUNT(SimData!$C$9:$C$108)-1)+$I$41</f>
        <v>0.34343434343434359</v>
      </c>
      <c r="J42">
        <f>SMALL(SimData!$D$9:$D$108,35)</f>
        <v>12.225183396501276</v>
      </c>
      <c r="K42">
        <f>1/(COUNT(SimData!$D$9:$D$108)-1)+$K$41</f>
        <v>0.34343434343434359</v>
      </c>
    </row>
    <row r="43" spans="1:11">
      <c r="A43">
        <v>35</v>
      </c>
      <c r="B43">
        <v>14.449067109718236</v>
      </c>
      <c r="C43">
        <v>12.145940552012522</v>
      </c>
      <c r="D43">
        <v>14.526106126822089</v>
      </c>
      <c r="F43">
        <f>SMALL(SimData!$B$9:$B$108,36)</f>
        <v>11.797763113770113</v>
      </c>
      <c r="G43">
        <f>1/(COUNT(SimData!$B$9:$B$108)-1)+$G$42</f>
        <v>0.3535353535353537</v>
      </c>
      <c r="H43">
        <f>SMALL(SimData!$C$9:$C$108,36)</f>
        <v>8.8576608798521583</v>
      </c>
      <c r="I43">
        <f>1/(COUNT(SimData!$C$9:$C$108)-1)+$I$42</f>
        <v>0.3535353535353537</v>
      </c>
      <c r="J43">
        <f>SMALL(SimData!$D$9:$D$108,36)</f>
        <v>12.277885238937541</v>
      </c>
      <c r="K43">
        <f>1/(COUNT(SimData!$D$9:$D$108)-1)+$K$42</f>
        <v>0.3535353535353537</v>
      </c>
    </row>
    <row r="44" spans="1:11">
      <c r="A44">
        <v>36</v>
      </c>
      <c r="B44">
        <v>10.712612542606102</v>
      </c>
      <c r="C44">
        <v>7.7634081975140496</v>
      </c>
      <c r="D44">
        <v>10.778557043703868</v>
      </c>
      <c r="F44">
        <f>SMALL(SimData!$B$9:$B$108,37)</f>
        <v>11.8492874238522</v>
      </c>
      <c r="G44">
        <f>1/(COUNT(SimData!$B$9:$B$108)-1)+$G$43</f>
        <v>0.36363636363636381</v>
      </c>
      <c r="H44">
        <f>SMALL(SimData!$C$9:$C$108,37)</f>
        <v>8.9328960627947183</v>
      </c>
      <c r="I44">
        <f>1/(COUNT(SimData!$C$9:$C$108)-1)+$I$43</f>
        <v>0.36363636363636381</v>
      </c>
      <c r="J44">
        <f>SMALL(SimData!$D$9:$D$108,37)</f>
        <v>12.336018177211754</v>
      </c>
      <c r="K44">
        <f>1/(COUNT(SimData!$D$9:$D$108)-1)+$K$43</f>
        <v>0.36363636363636381</v>
      </c>
    </row>
    <row r="45" spans="1:11">
      <c r="A45">
        <v>37</v>
      </c>
      <c r="B45">
        <v>10.12057109006461</v>
      </c>
      <c r="C45">
        <v>10.753864476693545</v>
      </c>
      <c r="D45">
        <v>15.00018869841456</v>
      </c>
      <c r="F45">
        <f>SMALL(SimData!$B$9:$B$108,38)</f>
        <v>11.879984511116051</v>
      </c>
      <c r="G45">
        <f>1/(COUNT(SimData!$B$9:$B$108)-1)+$G$44</f>
        <v>0.37373737373737392</v>
      </c>
      <c r="H45">
        <f>SMALL(SimData!$C$9:$C$108,38)</f>
        <v>9.018375623798855</v>
      </c>
      <c r="I45">
        <f>1/(COUNT(SimData!$C$9:$C$108)-1)+$I$44</f>
        <v>0.37373737373737392</v>
      </c>
      <c r="J45">
        <f>SMALL(SimData!$D$9:$D$108,38)</f>
        <v>12.380859532878002</v>
      </c>
      <c r="K45">
        <f>1/(COUNT(SimData!$D$9:$D$108)-1)+$K$44</f>
        <v>0.37373737373737392</v>
      </c>
    </row>
    <row r="46" spans="1:11">
      <c r="A46">
        <v>38</v>
      </c>
      <c r="B46">
        <v>14.074964748107586</v>
      </c>
      <c r="C46">
        <v>12.764211394665875</v>
      </c>
      <c r="D46">
        <v>14.717495522640528</v>
      </c>
      <c r="F46">
        <f>SMALL(SimData!$B$9:$B$108,39)</f>
        <v>11.913201529186498</v>
      </c>
      <c r="G46">
        <f>1/(COUNT(SimData!$B$9:$B$108)-1)+$G$45</f>
        <v>0.38383838383838403</v>
      </c>
      <c r="H46">
        <f>SMALL(SimData!$C$9:$C$108,39)</f>
        <v>9.1198448267533259</v>
      </c>
      <c r="I46">
        <f>1/(COUNT(SimData!$C$9:$C$108)-1)+$I$45</f>
        <v>0.38383838383838403</v>
      </c>
      <c r="J46">
        <f>SMALL(SimData!$D$9:$D$108,39)</f>
        <v>12.401138254022491</v>
      </c>
      <c r="K46">
        <f>1/(COUNT(SimData!$D$9:$D$108)-1)+$K$45</f>
        <v>0.38383838383838403</v>
      </c>
    </row>
    <row r="47" spans="1:11">
      <c r="A47">
        <v>39</v>
      </c>
      <c r="B47">
        <v>12.934960736563653</v>
      </c>
      <c r="C47">
        <v>11.594320578282918</v>
      </c>
      <c r="D47">
        <v>13.315732147373662</v>
      </c>
      <c r="F47">
        <f>SMALL(SimData!$B$9:$B$108,40)</f>
        <v>11.970332008209157</v>
      </c>
      <c r="G47">
        <f>1/(COUNT(SimData!$B$9:$B$108)-1)+$G$46</f>
        <v>0.39393939393939414</v>
      </c>
      <c r="H47">
        <f>SMALL(SimData!$C$9:$C$108,40)</f>
        <v>9.2264289875222634</v>
      </c>
      <c r="I47">
        <f>1/(COUNT(SimData!$C$9:$C$108)-1)+$I$46</f>
        <v>0.39393939393939414</v>
      </c>
      <c r="J47">
        <f>SMALL(SimData!$D$9:$D$108,40)</f>
        <v>12.460208985549446</v>
      </c>
      <c r="K47">
        <f>1/(COUNT(SimData!$D$9:$D$108)-1)+$K$46</f>
        <v>0.39393939393939414</v>
      </c>
    </row>
    <row r="48" spans="1:11">
      <c r="A48">
        <v>40</v>
      </c>
      <c r="B48">
        <v>13.510628321350232</v>
      </c>
      <c r="C48">
        <v>6.6554652238637981</v>
      </c>
      <c r="D48">
        <v>12.663548304725799</v>
      </c>
      <c r="F48">
        <f>SMALL(SimData!$B$9:$B$108,41)</f>
        <v>12.015218186894248</v>
      </c>
      <c r="G48">
        <f>1/(COUNT(SimData!$B$9:$B$108)-1)+$G$47</f>
        <v>0.40404040404040426</v>
      </c>
      <c r="H48">
        <f>SMALL(SimData!$C$9:$C$108,41)</f>
        <v>9.3139276261699688</v>
      </c>
      <c r="I48">
        <f>1/(COUNT(SimData!$C$9:$C$108)-1)+$I$47</f>
        <v>0.40404040404040426</v>
      </c>
      <c r="J48">
        <f>SMALL(SimData!$D$9:$D$108,41)</f>
        <v>12.543604935494626</v>
      </c>
      <c r="K48">
        <f>1/(COUNT(SimData!$D$9:$D$108)-1)+$K$47</f>
        <v>0.40404040404040426</v>
      </c>
    </row>
    <row r="49" spans="1:11">
      <c r="A49">
        <v>41</v>
      </c>
      <c r="B49">
        <v>12.848608581733099</v>
      </c>
      <c r="C49">
        <v>10.297233237686958</v>
      </c>
      <c r="D49">
        <v>15.001470549299887</v>
      </c>
      <c r="F49">
        <f>SMALL(SimData!$B$9:$B$108,42)</f>
        <v>12.09232904555796</v>
      </c>
      <c r="G49">
        <f>1/(COUNT(SimData!$B$9:$B$108)-1)+$G$48</f>
        <v>0.41414141414141437</v>
      </c>
      <c r="H49">
        <f>SMALL(SimData!$C$9:$C$108,42)</f>
        <v>9.3827018610166775</v>
      </c>
      <c r="I49">
        <f>1/(COUNT(SimData!$C$9:$C$108)-1)+$I$48</f>
        <v>0.41414141414141437</v>
      </c>
      <c r="J49">
        <f>SMALL(SimData!$D$9:$D$108,42)</f>
        <v>12.584955354310795</v>
      </c>
      <c r="K49">
        <f>1/(COUNT(SimData!$D$9:$D$108)-1)+$K$48</f>
        <v>0.41414141414141437</v>
      </c>
    </row>
    <row r="50" spans="1:11">
      <c r="A50">
        <v>42</v>
      </c>
      <c r="B50">
        <v>14.523155519522996</v>
      </c>
      <c r="C50">
        <v>10.600316773162481</v>
      </c>
      <c r="D50">
        <v>13.916169066847342</v>
      </c>
      <c r="F50">
        <f>SMALL(SimData!$B$9:$B$108,43)</f>
        <v>12.10247564076038</v>
      </c>
      <c r="G50">
        <f>1/(COUNT(SimData!$B$9:$B$108)-1)+$G$49</f>
        <v>0.42424242424242448</v>
      </c>
      <c r="H50">
        <f>SMALL(SimData!$C$9:$C$108,43)</f>
        <v>9.4524833438450617</v>
      </c>
      <c r="I50">
        <f>1/(COUNT(SimData!$C$9:$C$108)-1)+$I$49</f>
        <v>0.42424242424242448</v>
      </c>
      <c r="J50">
        <f>SMALL(SimData!$D$9:$D$108,43)</f>
        <v>12.643479757032702</v>
      </c>
      <c r="K50">
        <f>1/(COUNT(SimData!$D$9:$D$108)-1)+$K$49</f>
        <v>0.42424242424242448</v>
      </c>
    </row>
    <row r="51" spans="1:11">
      <c r="A51">
        <v>43</v>
      </c>
      <c r="B51">
        <v>10.779132909264678</v>
      </c>
      <c r="C51">
        <v>10.89373087953753</v>
      </c>
      <c r="D51">
        <v>14.095484785268894</v>
      </c>
      <c r="F51">
        <f>SMALL(SimData!$B$9:$B$108,44)</f>
        <v>12.179156885209762</v>
      </c>
      <c r="G51">
        <f>1/(COUNT(SimData!$B$9:$B$108)-1)+$G$50</f>
        <v>0.43434343434343459</v>
      </c>
      <c r="H51">
        <f>SMALL(SimData!$C$9:$C$108,44)</f>
        <v>9.4907582918520195</v>
      </c>
      <c r="I51">
        <f>1/(COUNT(SimData!$C$9:$C$108)-1)+$I$50</f>
        <v>0.43434343434343459</v>
      </c>
      <c r="J51">
        <f>SMALL(SimData!$D$9:$D$108,44)</f>
        <v>12.663548304725799</v>
      </c>
      <c r="K51">
        <f>1/(COUNT(SimData!$D$9:$D$108)-1)+$K$50</f>
        <v>0.43434343434343459</v>
      </c>
    </row>
    <row r="52" spans="1:11">
      <c r="A52">
        <v>44</v>
      </c>
      <c r="B52">
        <v>10.272374613716353</v>
      </c>
      <c r="C52">
        <v>14.080040345814758</v>
      </c>
      <c r="D52">
        <v>11.003794791527044</v>
      </c>
      <c r="F52">
        <f>SMALL(SimData!$B$9:$B$108,45)</f>
        <v>12.233818201588889</v>
      </c>
      <c r="G52">
        <f>1/(COUNT(SimData!$B$9:$B$108)-1)+$G$51</f>
        <v>0.4444444444444447</v>
      </c>
      <c r="H52">
        <f>SMALL(SimData!$C$9:$C$108,45)</f>
        <v>9.6102876505999983</v>
      </c>
      <c r="I52">
        <f>1/(COUNT(SimData!$C$9:$C$108)-1)+$I$51</f>
        <v>0.4444444444444447</v>
      </c>
      <c r="J52">
        <f>SMALL(SimData!$D$9:$D$108,45)</f>
        <v>12.708592253133792</v>
      </c>
      <c r="K52">
        <f>1/(COUNT(SimData!$D$9:$D$108)-1)+$K$51</f>
        <v>0.4444444444444447</v>
      </c>
    </row>
    <row r="53" spans="1:11">
      <c r="A53">
        <v>45</v>
      </c>
      <c r="B53">
        <v>13.443790816968258</v>
      </c>
      <c r="C53">
        <v>13.807084001590422</v>
      </c>
      <c r="D53">
        <v>10.968414977953866</v>
      </c>
      <c r="F53">
        <f>SMALL(SimData!$B$9:$B$108,46)</f>
        <v>12.264523750244296</v>
      </c>
      <c r="G53">
        <f>1/(COUNT(SimData!$B$9:$B$108)-1)+$G$52</f>
        <v>0.45454545454545481</v>
      </c>
      <c r="H53">
        <f>SMALL(SimData!$C$9:$C$108,46)</f>
        <v>9.653298749316793</v>
      </c>
      <c r="I53">
        <f>1/(COUNT(SimData!$C$9:$C$108)-1)+$I$52</f>
        <v>0.45454545454545481</v>
      </c>
      <c r="J53">
        <f>SMALL(SimData!$D$9:$D$108,46)</f>
        <v>12.763698429931816</v>
      </c>
      <c r="K53">
        <f>1/(COUNT(SimData!$D$9:$D$108)-1)+$K$52</f>
        <v>0.45454545454545481</v>
      </c>
    </row>
    <row r="54" spans="1:11">
      <c r="A54">
        <v>46</v>
      </c>
      <c r="B54">
        <v>10.830262003135928</v>
      </c>
      <c r="C54">
        <v>14.273339109339954</v>
      </c>
      <c r="D54">
        <v>12.046965071569888</v>
      </c>
      <c r="F54">
        <f>SMALL(SimData!$B$9:$B$108,47)</f>
        <v>12.308913936339998</v>
      </c>
      <c r="G54">
        <f>1/(COUNT(SimData!$B$9:$B$108)-1)+$G$53</f>
        <v>0.46464646464646492</v>
      </c>
      <c r="H54">
        <f>SMALL(SimData!$C$9:$C$108,47)</f>
        <v>9.7337866376985875</v>
      </c>
      <c r="I54">
        <f>1/(COUNT(SimData!$C$9:$C$108)-1)+$I$53</f>
        <v>0.46464646464646492</v>
      </c>
      <c r="J54">
        <f>SMALL(SimData!$D$9:$D$108,47)</f>
        <v>12.825309354154232</v>
      </c>
      <c r="K54">
        <f>1/(COUNT(SimData!$D$9:$D$108)-1)+$K$53</f>
        <v>0.46464646464646492</v>
      </c>
    </row>
    <row r="55" spans="1:11">
      <c r="A55">
        <v>47</v>
      </c>
      <c r="B55">
        <v>10.516658831088957</v>
      </c>
      <c r="C55">
        <v>11.211380818798222</v>
      </c>
      <c r="D55">
        <v>15.00010735496455</v>
      </c>
      <c r="F55">
        <f>SMALL(SimData!$B$9:$B$108,48)</f>
        <v>12.360640980468746</v>
      </c>
      <c r="G55">
        <f>1/(COUNT(SimData!$B$9:$B$108)-1)+$G$54</f>
        <v>0.47474747474747503</v>
      </c>
      <c r="H55">
        <f>SMALL(SimData!$C$9:$C$108,48)</f>
        <v>9.7815322025954181</v>
      </c>
      <c r="I55">
        <f>1/(COUNT(SimData!$C$9:$C$108)-1)+$I$54</f>
        <v>0.47474747474747503</v>
      </c>
      <c r="J55">
        <f>SMALL(SimData!$D$9:$D$108,48)</f>
        <v>12.870277615874139</v>
      </c>
      <c r="K55">
        <f>1/(COUNT(SimData!$D$9:$D$108)-1)+$K$54</f>
        <v>0.47474747474747503</v>
      </c>
    </row>
    <row r="56" spans="1:11">
      <c r="A56">
        <v>48</v>
      </c>
      <c r="B56">
        <v>14.778264003824038</v>
      </c>
      <c r="C56">
        <v>9.3827018610166775</v>
      </c>
      <c r="D56">
        <v>14.773466642171487</v>
      </c>
      <c r="F56">
        <f>SMALL(SimData!$B$9:$B$108,49)</f>
        <v>12.419814625608225</v>
      </c>
      <c r="G56">
        <f>1/(COUNT(SimData!$B$9:$B$108)-1)+$G$55</f>
        <v>0.48484848484848514</v>
      </c>
      <c r="H56">
        <f>SMALL(SimData!$C$9:$C$108,49)</f>
        <v>9.8643472083522283</v>
      </c>
      <c r="I56">
        <f>1/(COUNT(SimData!$C$9:$C$108)-1)+$I$55</f>
        <v>0.48484848484848514</v>
      </c>
      <c r="J56">
        <f>SMALL(SimData!$D$9:$D$108,49)</f>
        <v>12.912051616809809</v>
      </c>
      <c r="K56">
        <f>1/(COUNT(SimData!$D$9:$D$108)-1)+$K$55</f>
        <v>0.48484848484848514</v>
      </c>
    </row>
    <row r="57" spans="1:11">
      <c r="A57">
        <v>49</v>
      </c>
      <c r="B57">
        <v>10.904398376635369</v>
      </c>
      <c r="C57">
        <v>5.6197924253165361</v>
      </c>
      <c r="D57">
        <v>10.010715412141456</v>
      </c>
      <c r="F57">
        <f>SMALL(SimData!$B$9:$B$108,50)</f>
        <v>12.480709207216442</v>
      </c>
      <c r="G57">
        <f>1/(COUNT(SimData!$B$9:$B$108)-1)+$G$56</f>
        <v>0.49494949494949525</v>
      </c>
      <c r="H57">
        <f>SMALL(SimData!$C$9:$C$108,50)</f>
        <v>9.9785814066562661</v>
      </c>
      <c r="I57">
        <f>1/(COUNT(SimData!$C$9:$C$108)-1)+$I$56</f>
        <v>0.49494949494949525</v>
      </c>
      <c r="J57">
        <f>SMALL(SimData!$D$9:$D$108,50)</f>
        <v>12.956972768625006</v>
      </c>
      <c r="K57">
        <f>1/(COUNT(SimData!$D$9:$D$108)-1)+$K$56</f>
        <v>0.49494949494949525</v>
      </c>
    </row>
    <row r="58" spans="1:11">
      <c r="A58">
        <v>50</v>
      </c>
      <c r="B58">
        <v>12.957256866597398</v>
      </c>
      <c r="C58">
        <v>10.509543510274657</v>
      </c>
      <c r="D58">
        <v>11.237884912974639</v>
      </c>
      <c r="F58">
        <f>SMALL(SimData!$B$9:$B$108,51)</f>
        <v>12.509337163357841</v>
      </c>
      <c r="G58">
        <f>1/(COUNT(SimData!$B$9:$B$108)-1)+$G$57</f>
        <v>0.50505050505050531</v>
      </c>
      <c r="H58">
        <f>SMALL(SimData!$C$9:$C$108,51)</f>
        <v>10.005786818826511</v>
      </c>
      <c r="I58">
        <f>1/(COUNT(SimData!$C$9:$C$108)-1)+$I$57</f>
        <v>0.50505050505050531</v>
      </c>
      <c r="J58">
        <f>SMALL(SimData!$D$9:$D$108,51)</f>
        <v>13.04185022976991</v>
      </c>
      <c r="K58">
        <f>1/(COUNT(SimData!$D$9:$D$108)-1)+$K$57</f>
        <v>0.50505050505050531</v>
      </c>
    </row>
    <row r="59" spans="1:11">
      <c r="A59">
        <v>51</v>
      </c>
      <c r="B59">
        <v>12.10247564076038</v>
      </c>
      <c r="C59">
        <v>10.342305524357363</v>
      </c>
      <c r="D59">
        <v>14.915940483465311</v>
      </c>
      <c r="F59">
        <f>SMALL(SimData!$B$9:$B$108,52)</f>
        <v>12.576958215405922</v>
      </c>
      <c r="G59">
        <f>1/(COUNT(SimData!$B$9:$B$108)-1)+$G$58</f>
        <v>0.51515151515151536</v>
      </c>
      <c r="H59">
        <f>SMALL(SimData!$C$9:$C$108,52)</f>
        <v>10.084093425932732</v>
      </c>
      <c r="I59">
        <f>1/(COUNT(SimData!$C$9:$C$108)-1)+$I$58</f>
        <v>0.51515151515151536</v>
      </c>
      <c r="J59">
        <f>SMALL(SimData!$D$9:$D$108,52)</f>
        <v>13.056345828228245</v>
      </c>
      <c r="K59">
        <f>1/(COUNT(SimData!$D$9:$D$108)-1)+$K$58</f>
        <v>0.51515151515151536</v>
      </c>
    </row>
    <row r="60" spans="1:11">
      <c r="A60">
        <v>52</v>
      </c>
      <c r="B60">
        <v>11.609127815093176</v>
      </c>
      <c r="C60">
        <v>11.243242839026735</v>
      </c>
      <c r="D60">
        <v>13.982112630371031</v>
      </c>
      <c r="F60">
        <f>SMALL(SimData!$B$9:$B$108,53)</f>
        <v>12.608001380217727</v>
      </c>
      <c r="G60">
        <f>1/(COUNT(SimData!$B$9:$B$108)-1)+$G$59</f>
        <v>0.52525252525252542</v>
      </c>
      <c r="H60">
        <f>SMALL(SimData!$C$9:$C$108,53)</f>
        <v>10.171220169434212</v>
      </c>
      <c r="I60">
        <f>1/(COUNT(SimData!$C$9:$C$108)-1)+$I$59</f>
        <v>0.52525252525252542</v>
      </c>
      <c r="J60">
        <f>SMALL(SimData!$D$9:$D$108,53)</f>
        <v>13.149470920476473</v>
      </c>
      <c r="K60">
        <f>1/(COUNT(SimData!$D$9:$D$108)-1)+$K$59</f>
        <v>0.52525252525252542</v>
      </c>
    </row>
    <row r="61" spans="1:11">
      <c r="A61">
        <v>53</v>
      </c>
      <c r="B61">
        <v>13.700870099279767</v>
      </c>
      <c r="C61">
        <v>12.650977465639908</v>
      </c>
      <c r="D61">
        <v>14.026460495387777</v>
      </c>
      <c r="F61">
        <f>SMALL(SimData!$B$9:$B$108,54)</f>
        <v>12.689191866977882</v>
      </c>
      <c r="G61">
        <f>1/(COUNT(SimData!$B$9:$B$108)-1)+$G$60</f>
        <v>0.53535353535353547</v>
      </c>
      <c r="H61">
        <f>SMALL(SimData!$C$9:$C$108,54)</f>
        <v>10.297233237686958</v>
      </c>
      <c r="I61">
        <f>1/(COUNT(SimData!$C$9:$C$108)-1)+$I$60</f>
        <v>0.53535353535353547</v>
      </c>
      <c r="J61">
        <f>SMALL(SimData!$D$9:$D$108,54)</f>
        <v>13.160922589784237</v>
      </c>
      <c r="K61">
        <f>1/(COUNT(SimData!$D$9:$D$108)-1)+$K$60</f>
        <v>0.53535353535353547</v>
      </c>
    </row>
    <row r="62" spans="1:11">
      <c r="A62">
        <v>54</v>
      </c>
      <c r="B62">
        <v>13.17511649111405</v>
      </c>
      <c r="C62">
        <v>8.0813939751268418</v>
      </c>
      <c r="D62">
        <v>13.527262841276187</v>
      </c>
      <c r="F62">
        <f>SMALL(SimData!$B$9:$B$108,55)</f>
        <v>12.733099635605026</v>
      </c>
      <c r="G62">
        <f>1/(COUNT(SimData!$B$9:$B$108)-1)+$G$61</f>
        <v>0.54545454545454553</v>
      </c>
      <c r="H62">
        <f>SMALL(SimData!$C$9:$C$108,55)</f>
        <v>10.342305524357363</v>
      </c>
      <c r="I62">
        <f>1/(COUNT(SimData!$C$9:$C$108)-1)+$I$61</f>
        <v>0.54545454545454553</v>
      </c>
      <c r="J62">
        <f>SMALL(SimData!$D$9:$D$108,55)</f>
        <v>13.249003656522605</v>
      </c>
      <c r="K62">
        <f>1/(COUNT(SimData!$D$9:$D$108)-1)+$K$61</f>
        <v>0.54545454545454553</v>
      </c>
    </row>
    <row r="63" spans="1:11">
      <c r="A63">
        <v>55</v>
      </c>
      <c r="B63">
        <v>13.013203277849406</v>
      </c>
      <c r="C63">
        <v>9.4524833438450617</v>
      </c>
      <c r="D63">
        <v>13.594299471307149</v>
      </c>
      <c r="F63">
        <f>SMALL(SimData!$B$9:$B$108,56)</f>
        <v>12.789202823778428</v>
      </c>
      <c r="G63">
        <f>1/(COUNT(SimData!$B$9:$B$108)-1)+$G$62</f>
        <v>0.55555555555555558</v>
      </c>
      <c r="H63">
        <f>SMALL(SimData!$C$9:$C$108,56)</f>
        <v>10.442859012594118</v>
      </c>
      <c r="I63">
        <f>1/(COUNT(SimData!$C$9:$C$108)-1)+$I$62</f>
        <v>0.55555555555555558</v>
      </c>
      <c r="J63">
        <f>SMALL(SimData!$D$9:$D$108,56)</f>
        <v>13.285163983687564</v>
      </c>
      <c r="K63">
        <f>1/(COUNT(SimData!$D$9:$D$108)-1)+$K$62</f>
        <v>0.55555555555555558</v>
      </c>
    </row>
    <row r="64" spans="1:11">
      <c r="A64">
        <v>56</v>
      </c>
      <c r="B64">
        <v>13.145329192524153</v>
      </c>
      <c r="C64">
        <v>7.2123077000133664</v>
      </c>
      <c r="D64">
        <v>10.217616893727708</v>
      </c>
      <c r="F64">
        <f>SMALL(SimData!$B$9:$B$108,57)</f>
        <v>12.848608581733099</v>
      </c>
      <c r="G64">
        <f>1/(COUNT(SimData!$B$9:$B$108)-1)+$G$63</f>
        <v>0.56565656565656564</v>
      </c>
      <c r="H64">
        <f>SMALL(SimData!$C$9:$C$108,57)</f>
        <v>10.509543510274657</v>
      </c>
      <c r="I64">
        <f>1/(COUNT(SimData!$C$9:$C$108)-1)+$I$63</f>
        <v>0.56565656565656564</v>
      </c>
      <c r="J64">
        <f>SMALL(SimData!$D$9:$D$108,57)</f>
        <v>13.315732147373662</v>
      </c>
      <c r="K64">
        <f>1/(COUNT(SimData!$D$9:$D$108)-1)+$K$63</f>
        <v>0.56565656565656564</v>
      </c>
    </row>
    <row r="65" spans="1:11">
      <c r="A65">
        <v>57</v>
      </c>
      <c r="B65">
        <v>10.698754907387485</v>
      </c>
      <c r="C65">
        <v>12.261168582814383</v>
      </c>
      <c r="D65">
        <v>15.000592065820934</v>
      </c>
      <c r="F65">
        <f>SMALL(SimData!$B$9:$B$108,58)</f>
        <v>12.874042659817274</v>
      </c>
      <c r="G65">
        <f>1/(COUNT(SimData!$B$9:$B$108)-1)+$G$64</f>
        <v>0.57575757575757569</v>
      </c>
      <c r="H65">
        <f>SMALL(SimData!$C$9:$C$108,58)</f>
        <v>10.600316773162481</v>
      </c>
      <c r="I65">
        <f>1/(COUNT(SimData!$C$9:$C$108)-1)+$I$64</f>
        <v>0.57575757575757569</v>
      </c>
      <c r="J65">
        <f>SMALL(SimData!$D$9:$D$108,58)</f>
        <v>13.374356794409536</v>
      </c>
      <c r="K65">
        <f>1/(COUNT(SimData!$D$9:$D$108)-1)+$K$64</f>
        <v>0.57575757575757569</v>
      </c>
    </row>
    <row r="66" spans="1:11">
      <c r="A66">
        <v>58</v>
      </c>
      <c r="B66">
        <v>13.993372900538001</v>
      </c>
      <c r="C66">
        <v>4.4976920437086241</v>
      </c>
      <c r="D66">
        <v>10.506435748656848</v>
      </c>
      <c r="F66">
        <f>SMALL(SimData!$B$9:$B$108,59)</f>
        <v>12.934960736563653</v>
      </c>
      <c r="G66">
        <f>1/(COUNT(SimData!$B$9:$B$108)-1)+$G$65</f>
        <v>0.58585858585858575</v>
      </c>
      <c r="H66">
        <f>SMALL(SimData!$C$9:$C$108,59)</f>
        <v>10.627943104619417</v>
      </c>
      <c r="I66">
        <f>1/(COUNT(SimData!$C$9:$C$108)-1)+$I$65</f>
        <v>0.58585858585858575</v>
      </c>
      <c r="J66">
        <f>SMALL(SimData!$D$9:$D$108,59)</f>
        <v>13.430451918714786</v>
      </c>
      <c r="K66">
        <f>1/(COUNT(SimData!$D$9:$D$108)-1)+$K$65</f>
        <v>0.58585858585858575</v>
      </c>
    </row>
    <row r="67" spans="1:11">
      <c r="A67">
        <v>59</v>
      </c>
      <c r="B67">
        <v>10.099866716680086</v>
      </c>
      <c r="C67">
        <v>7.9839809717358063</v>
      </c>
      <c r="D67">
        <v>12.336018177211754</v>
      </c>
      <c r="F67">
        <f>SMALL(SimData!$B$9:$B$108,60)</f>
        <v>12.957256866597398</v>
      </c>
      <c r="G67">
        <f>1/(COUNT(SimData!$B$9:$B$108)-1)+$G$66</f>
        <v>0.5959595959595958</v>
      </c>
      <c r="H67">
        <f>SMALL(SimData!$C$9:$C$108,60)</f>
        <v>10.753864476693545</v>
      </c>
      <c r="I67">
        <f>1/(COUNT(SimData!$C$9:$C$108)-1)+$I$66</f>
        <v>0.5959595959595958</v>
      </c>
      <c r="J67">
        <f>SMALL(SimData!$D$9:$D$108,60)</f>
        <v>13.464551200930623</v>
      </c>
      <c r="K67">
        <f>1/(COUNT(SimData!$D$9:$D$108)-1)+$K$66</f>
        <v>0.5959595959595958</v>
      </c>
    </row>
    <row r="68" spans="1:11">
      <c r="A68">
        <v>60</v>
      </c>
      <c r="B68">
        <v>11.320244395132233</v>
      </c>
      <c r="C68">
        <v>14.83511086767431</v>
      </c>
      <c r="D68">
        <v>14.110845273246721</v>
      </c>
      <c r="F68">
        <f>SMALL(SimData!$B$9:$B$108,61)</f>
        <v>13.013203277849406</v>
      </c>
      <c r="G68">
        <f>1/(COUNT(SimData!$B$9:$B$108)-1)+$G$67</f>
        <v>0.60606060606060586</v>
      </c>
      <c r="H68">
        <f>SMALL(SimData!$C$9:$C$108,61)</f>
        <v>10.824068675373706</v>
      </c>
      <c r="I68">
        <f>1/(COUNT(SimData!$C$9:$C$108)-1)+$I$67</f>
        <v>0.60606060606060586</v>
      </c>
      <c r="J68">
        <f>SMALL(SimData!$D$9:$D$108,61)</f>
        <v>13.527262841276187</v>
      </c>
      <c r="K68">
        <f>1/(COUNT(SimData!$D$9:$D$108)-1)+$K$67</f>
        <v>0.60606060606060586</v>
      </c>
    </row>
    <row r="69" spans="1:11">
      <c r="A69">
        <v>61</v>
      </c>
      <c r="B69">
        <v>11.374898070126049</v>
      </c>
      <c r="C69">
        <v>6.9803751356257813</v>
      </c>
      <c r="D69">
        <v>14.631787359896531</v>
      </c>
      <c r="F69">
        <f>SMALL(SimData!$B$9:$B$108,62)</f>
        <v>13.09744565756932</v>
      </c>
      <c r="G69">
        <f>1/(COUNT(SimData!$B$9:$B$108)-1)+$G$68</f>
        <v>0.61616161616161591</v>
      </c>
      <c r="H69">
        <f>SMALL(SimData!$C$9:$C$108,62)</f>
        <v>10.89373087953753</v>
      </c>
      <c r="I69">
        <f>1/(COUNT(SimData!$C$9:$C$108)-1)+$I$68</f>
        <v>0.61616161616161591</v>
      </c>
      <c r="J69">
        <f>SMALL(SimData!$D$9:$D$108,62)</f>
        <v>13.594299471307149</v>
      </c>
      <c r="K69">
        <f>1/(COUNT(SimData!$D$9:$D$108)-1)+$K$68</f>
        <v>0.61616161616161591</v>
      </c>
    </row>
    <row r="70" spans="1:11">
      <c r="A70">
        <v>62</v>
      </c>
      <c r="B70">
        <v>14.711994914818089</v>
      </c>
      <c r="C70">
        <v>10.442859012594118</v>
      </c>
      <c r="D70">
        <v>11.11893304333066</v>
      </c>
      <c r="F70">
        <f>SMALL(SimData!$B$9:$B$108,63)</f>
        <v>13.145329192524153</v>
      </c>
      <c r="G70">
        <f>1/(COUNT(SimData!$B$9:$B$108)-1)+$G$69</f>
        <v>0.62626262626262597</v>
      </c>
      <c r="H70">
        <f>SMALL(SimData!$C$9:$C$108,63)</f>
        <v>10.978171758418561</v>
      </c>
      <c r="I70">
        <f>1/(COUNT(SimData!$C$9:$C$108)-1)+$I$69</f>
        <v>0.62626262626262597</v>
      </c>
      <c r="J70">
        <f>SMALL(SimData!$D$9:$D$108,63)</f>
        <v>13.609421023169864</v>
      </c>
      <c r="K70">
        <f>1/(COUNT(SimData!$D$9:$D$108)-1)+$K$69</f>
        <v>0.62626262626262597</v>
      </c>
    </row>
    <row r="71" spans="1:11">
      <c r="A71">
        <v>63</v>
      </c>
      <c r="B71">
        <v>13.688646390624029</v>
      </c>
      <c r="C71">
        <v>15.877837239104828</v>
      </c>
      <c r="D71">
        <v>14.194692216428159</v>
      </c>
      <c r="F71">
        <f>SMALL(SimData!$B$9:$B$108,64)</f>
        <v>13.17511649111405</v>
      </c>
      <c r="G71">
        <f>1/(COUNT(SimData!$B$9:$B$108)-1)+$G$70</f>
        <v>0.63636363636363602</v>
      </c>
      <c r="H71">
        <f>SMALL(SimData!$C$9:$C$108,64)</f>
        <v>11.015084844845894</v>
      </c>
      <c r="I71">
        <f>1/(COUNT(SimData!$C$9:$C$108)-1)+$I$70</f>
        <v>0.63636363636363602</v>
      </c>
      <c r="J71">
        <f>SMALL(SimData!$D$9:$D$108,64)</f>
        <v>13.687330521535438</v>
      </c>
      <c r="K71">
        <f>1/(COUNT(SimData!$D$9:$D$108)-1)+$K$70</f>
        <v>0.63636363636363602</v>
      </c>
    </row>
    <row r="72" spans="1:11">
      <c r="A72">
        <v>64</v>
      </c>
      <c r="B72">
        <v>13.360883473875207</v>
      </c>
      <c r="C72">
        <v>10.824068675373706</v>
      </c>
      <c r="D72">
        <v>12.18776910301246</v>
      </c>
      <c r="F72">
        <f>SMALL(SimData!$B$9:$B$108,65)</f>
        <v>13.22899844251317</v>
      </c>
      <c r="G72">
        <f>1/(COUNT(SimData!$B$9:$B$108)-1)+$G$71</f>
        <v>0.64646464646464608</v>
      </c>
      <c r="H72">
        <f>SMALL(SimData!$C$9:$C$108,65)</f>
        <v>11.094212503490963</v>
      </c>
      <c r="I72">
        <f>1/(COUNT(SimData!$C$9:$C$108)-1)+$I$71</f>
        <v>0.64646464646464608</v>
      </c>
      <c r="J72">
        <f>SMALL(SimData!$D$9:$D$108,65)</f>
        <v>13.72336027882373</v>
      </c>
      <c r="K72">
        <f>1/(COUNT(SimData!$D$9:$D$108)-1)+$K$71</f>
        <v>0.64646464646464608</v>
      </c>
    </row>
    <row r="73" spans="1:11">
      <c r="A73">
        <v>65</v>
      </c>
      <c r="B73">
        <v>13.462240656351726</v>
      </c>
      <c r="C73">
        <v>11.381981037942056</v>
      </c>
      <c r="D73">
        <v>11.513820658115163</v>
      </c>
      <c r="F73">
        <f>SMALL(SimData!$B$9:$B$108,66)</f>
        <v>13.272709192864761</v>
      </c>
      <c r="G73">
        <f>1/(COUNT(SimData!$B$9:$B$108)-1)+$G$72</f>
        <v>0.65656565656565613</v>
      </c>
      <c r="H73">
        <f>SMALL(SimData!$C$9:$C$108,66)</f>
        <v>11.211380818798222</v>
      </c>
      <c r="I73">
        <f>1/(COUNT(SimData!$C$9:$C$108)-1)+$I$72</f>
        <v>0.65656565656565613</v>
      </c>
      <c r="J73">
        <f>SMALL(SimData!$D$9:$D$108,66)</f>
        <v>13.781933122205533</v>
      </c>
      <c r="K73">
        <f>1/(COUNT(SimData!$D$9:$D$108)-1)+$K$72</f>
        <v>0.65656565656565613</v>
      </c>
    </row>
    <row r="74" spans="1:11">
      <c r="A74">
        <v>66</v>
      </c>
      <c r="B74">
        <v>11.668462767467942</v>
      </c>
      <c r="C74">
        <v>7.5356063257117016</v>
      </c>
      <c r="D74">
        <v>12.401138254022491</v>
      </c>
      <c r="F74">
        <f>SMALL(SimData!$B$9:$B$108,67)</f>
        <v>13.332904593735678</v>
      </c>
      <c r="G74">
        <f>1/(COUNT(SimData!$B$9:$B$108)-1)+$G$73</f>
        <v>0.66666666666666619</v>
      </c>
      <c r="H74">
        <f>SMALL(SimData!$C$9:$C$108,67)</f>
        <v>11.243242839026735</v>
      </c>
      <c r="I74">
        <f>1/(COUNT(SimData!$C$9:$C$108)-1)+$I$73</f>
        <v>0.66666666666666619</v>
      </c>
      <c r="J74">
        <f>SMALL(SimData!$D$9:$D$108,67)</f>
        <v>13.808248800332251</v>
      </c>
      <c r="K74">
        <f>1/(COUNT(SimData!$D$9:$D$108)-1)+$K$73</f>
        <v>0.66666666666666619</v>
      </c>
    </row>
    <row r="75" spans="1:11">
      <c r="A75">
        <v>67</v>
      </c>
      <c r="B75">
        <v>10.629386200518205</v>
      </c>
      <c r="C75">
        <v>17.154482324562807</v>
      </c>
      <c r="D75">
        <v>9.9992721139747118</v>
      </c>
      <c r="F75">
        <f>SMALL(SimData!$B$9:$B$108,68)</f>
        <v>13.360883473875207</v>
      </c>
      <c r="G75">
        <f>1/(COUNT(SimData!$B$9:$B$108)-1)+$G$74</f>
        <v>0.67676767676767624</v>
      </c>
      <c r="H75">
        <f>SMALL(SimData!$C$9:$C$108,68)</f>
        <v>11.381981037942056</v>
      </c>
      <c r="I75">
        <f>1/(COUNT(SimData!$C$9:$C$108)-1)+$I$74</f>
        <v>0.67676767676767624</v>
      </c>
      <c r="J75">
        <f>SMALL(SimData!$D$9:$D$108,68)</f>
        <v>13.892279237553542</v>
      </c>
      <c r="K75">
        <f>1/(COUNT(SimData!$D$9:$D$108)-1)+$K$74</f>
        <v>0.67676767676767624</v>
      </c>
    </row>
    <row r="76" spans="1:11">
      <c r="A76">
        <v>68</v>
      </c>
      <c r="B76">
        <v>12.608001380217727</v>
      </c>
      <c r="C76">
        <v>3.8332270418016403</v>
      </c>
      <c r="D76">
        <v>10.152201619151095</v>
      </c>
      <c r="F76">
        <f>SMALL(SimData!$B$9:$B$108,69)</f>
        <v>13.443790816968258</v>
      </c>
      <c r="G76">
        <f>1/(COUNT(SimData!$B$9:$B$108)-1)+$G$75</f>
        <v>0.6868686868686863</v>
      </c>
      <c r="H76">
        <f>SMALL(SimData!$C$9:$C$108,69)</f>
        <v>11.462036772840918</v>
      </c>
      <c r="I76">
        <f>1/(COUNT(SimData!$C$9:$C$108)-1)+$I$75</f>
        <v>0.6868686868686863</v>
      </c>
      <c r="J76">
        <f>SMALL(SimData!$D$9:$D$108,69)</f>
        <v>13.916169066847342</v>
      </c>
      <c r="K76">
        <f>1/(COUNT(SimData!$D$9:$D$108)-1)+$K$75</f>
        <v>0.6868686868686863</v>
      </c>
    </row>
    <row r="77" spans="1:11">
      <c r="A77">
        <v>69</v>
      </c>
      <c r="B77">
        <v>12.179156885209762</v>
      </c>
      <c r="C77">
        <v>14.551628679628518</v>
      </c>
      <c r="D77">
        <v>9.9998624309638657</v>
      </c>
      <c r="F77">
        <f>SMALL(SimData!$B$9:$B$108,70)</f>
        <v>13.462240656351726</v>
      </c>
      <c r="G77">
        <f>1/(COUNT(SimData!$B$9:$B$108)-1)+$G$76</f>
        <v>0.69696969696969635</v>
      </c>
      <c r="H77">
        <f>SMALL(SimData!$C$9:$C$108,70)</f>
        <v>11.493578404289661</v>
      </c>
      <c r="I77">
        <f>1/(COUNT(SimData!$C$9:$C$108)-1)+$I$76</f>
        <v>0.69696969696969635</v>
      </c>
      <c r="J77">
        <f>SMALL(SimData!$D$9:$D$108,70)</f>
        <v>13.982112630371031</v>
      </c>
      <c r="K77">
        <f>1/(COUNT(SimData!$D$9:$D$108)-1)+$K$76</f>
        <v>0.69696969696969635</v>
      </c>
    </row>
    <row r="78" spans="1:11">
      <c r="A78">
        <v>70</v>
      </c>
      <c r="B78">
        <v>12.733099635605026</v>
      </c>
      <c r="C78">
        <v>13.251304731660635</v>
      </c>
      <c r="D78">
        <v>12.140215626321783</v>
      </c>
      <c r="F78">
        <f>SMALL(SimData!$B$9:$B$108,71)</f>
        <v>13.510628321350232</v>
      </c>
      <c r="G78">
        <f>1/(COUNT(SimData!$B$9:$B$108)-1)+$G$77</f>
        <v>0.70707070707070641</v>
      </c>
      <c r="H78">
        <f>SMALL(SimData!$C$9:$C$108,71)</f>
        <v>11.594320578282918</v>
      </c>
      <c r="I78">
        <f>1/(COUNT(SimData!$C$9:$C$108)-1)+$I$77</f>
        <v>0.70707070707070641</v>
      </c>
      <c r="J78">
        <f>SMALL(SimData!$D$9:$D$108,71)</f>
        <v>14.026460495387777</v>
      </c>
      <c r="K78">
        <f>1/(COUNT(SimData!$D$9:$D$108)-1)+$K$77</f>
        <v>0.70707070707070641</v>
      </c>
    </row>
    <row r="79" spans="1:11">
      <c r="A79">
        <v>71</v>
      </c>
      <c r="B79">
        <v>14.684826450255891</v>
      </c>
      <c r="C79">
        <v>13.454095206795312</v>
      </c>
      <c r="D79">
        <v>14.3026634617482</v>
      </c>
      <c r="F79">
        <f>SMALL(SimData!$B$9:$B$108,72)</f>
        <v>13.556353388716548</v>
      </c>
      <c r="G79">
        <f>1/(COUNT(SimData!$B$9:$B$108)-1)+$G$78</f>
        <v>0.71717171717171646</v>
      </c>
      <c r="H79">
        <f>SMALL(SimData!$C$9:$C$108,72)</f>
        <v>11.722288211586008</v>
      </c>
      <c r="I79">
        <f>1/(COUNT(SimData!$C$9:$C$108)-1)+$I$78</f>
        <v>0.71717171717171646</v>
      </c>
      <c r="J79">
        <f>SMALL(SimData!$D$9:$D$108,72)</f>
        <v>14.095484785268894</v>
      </c>
      <c r="K79">
        <f>1/(COUNT(SimData!$D$9:$D$108)-1)+$K$78</f>
        <v>0.71717171717171646</v>
      </c>
    </row>
    <row r="80" spans="1:11">
      <c r="A80">
        <v>72</v>
      </c>
      <c r="B80">
        <v>11.713764651902896</v>
      </c>
      <c r="C80">
        <v>9.7337866376985875</v>
      </c>
      <c r="D80">
        <v>10.605462597172117</v>
      </c>
      <c r="F80">
        <f>SMALL(SimData!$B$9:$B$108,73)</f>
        <v>13.613902051191289</v>
      </c>
      <c r="G80">
        <f>1/(COUNT(SimData!$B$9:$B$108)-1)+$G$79</f>
        <v>0.72727272727272652</v>
      </c>
      <c r="H80">
        <f>SMALL(SimData!$C$9:$C$108,73)</f>
        <v>11.806503348940302</v>
      </c>
      <c r="I80">
        <f>1/(COUNT(SimData!$C$9:$C$108)-1)+$I$79</f>
        <v>0.72727272727272652</v>
      </c>
      <c r="J80">
        <f>SMALL(SimData!$D$9:$D$108,73)</f>
        <v>14.110845273246721</v>
      </c>
      <c r="K80">
        <f>1/(COUNT(SimData!$D$9:$D$108)-1)+$K$79</f>
        <v>0.72727272727272652</v>
      </c>
    </row>
    <row r="81" spans="1:11">
      <c r="A81">
        <v>73</v>
      </c>
      <c r="B81">
        <v>10.466683349576007</v>
      </c>
      <c r="C81">
        <v>12.471012297773717</v>
      </c>
      <c r="D81">
        <v>12.225183396501276</v>
      </c>
      <c r="F81">
        <f>SMALL(SimData!$B$9:$B$108,74)</f>
        <v>13.688646390624029</v>
      </c>
      <c r="G81">
        <f>1/(COUNT(SimData!$B$9:$B$108)-1)+$G$80</f>
        <v>0.73737373737373657</v>
      </c>
      <c r="H81">
        <f>SMALL(SimData!$C$9:$C$108,74)</f>
        <v>11.9079474774035</v>
      </c>
      <c r="I81">
        <f>1/(COUNT(SimData!$C$9:$C$108)-1)+$I$80</f>
        <v>0.73737373737373657</v>
      </c>
      <c r="J81">
        <f>SMALL(SimData!$D$9:$D$108,74)</f>
        <v>14.194692216428159</v>
      </c>
      <c r="K81">
        <f>1/(COUNT(SimData!$D$9:$D$108)-1)+$K$80</f>
        <v>0.73737373737373657</v>
      </c>
    </row>
    <row r="82" spans="1:11">
      <c r="A82">
        <v>74</v>
      </c>
      <c r="B82">
        <v>14.236872038498259</v>
      </c>
      <c r="C82">
        <v>13.09963278501499</v>
      </c>
      <c r="D82">
        <v>9.9990583643867783</v>
      </c>
      <c r="F82">
        <f>SMALL(SimData!$B$9:$B$108,75)</f>
        <v>13.700870099279767</v>
      </c>
      <c r="G82">
        <f>1/(COUNT(SimData!$B$9:$B$108)-1)+$G$81</f>
        <v>0.74747474747474663</v>
      </c>
      <c r="H82">
        <f>SMALL(SimData!$C$9:$C$108,75)</f>
        <v>11.961948766413867</v>
      </c>
      <c r="I82">
        <f>1/(COUNT(SimData!$C$9:$C$108)-1)+$I$81</f>
        <v>0.74747474747474663</v>
      </c>
      <c r="J82">
        <f>SMALL(SimData!$D$9:$D$108,75)</f>
        <v>14.227959019627413</v>
      </c>
      <c r="K82">
        <f>1/(COUNT(SimData!$D$9:$D$108)-1)+$K$81</f>
        <v>0.74747474747474663</v>
      </c>
    </row>
    <row r="83" spans="1:11">
      <c r="A83">
        <v>75</v>
      </c>
      <c r="B83">
        <v>14.033148669156514</v>
      </c>
      <c r="C83">
        <v>6.1834802130769564</v>
      </c>
      <c r="D83">
        <v>12.460208985549446</v>
      </c>
      <c r="F83">
        <f>SMALL(SimData!$B$9:$B$108,76)</f>
        <v>13.784842392635728</v>
      </c>
      <c r="G83">
        <f>1/(COUNT(SimData!$B$9:$B$108)-1)+$G$82</f>
        <v>0.75757575757575668</v>
      </c>
      <c r="H83">
        <f>SMALL(SimData!$C$9:$C$108,76)</f>
        <v>12.038839329081206</v>
      </c>
      <c r="I83">
        <f>1/(COUNT(SimData!$C$9:$C$108)-1)+$I$82</f>
        <v>0.75757575757575668</v>
      </c>
      <c r="J83">
        <f>SMALL(SimData!$D$9:$D$108,76)</f>
        <v>14.250228361936806</v>
      </c>
      <c r="K83">
        <f>1/(COUNT(SimData!$D$9:$D$108)-1)+$K$82</f>
        <v>0.75757575757575668</v>
      </c>
    </row>
    <row r="84" spans="1:11">
      <c r="A84">
        <v>76</v>
      </c>
      <c r="B84">
        <v>10.595852329115349</v>
      </c>
      <c r="C84">
        <v>8.2734039488690616</v>
      </c>
      <c r="D84">
        <v>9.999431983583964</v>
      </c>
      <c r="F84">
        <f>SMALL(SimData!$B$9:$B$108,77)</f>
        <v>13.808240935941749</v>
      </c>
      <c r="G84">
        <f>1/(COUNT(SimData!$B$9:$B$108)-1)+$G$83</f>
        <v>0.76767676767676674</v>
      </c>
      <c r="H84">
        <f>SMALL(SimData!$C$9:$C$108,77)</f>
        <v>12.145940552012522</v>
      </c>
      <c r="I84">
        <f>1/(COUNT(SimData!$C$9:$C$108)-1)+$I$83</f>
        <v>0.76767676767676674</v>
      </c>
      <c r="J84">
        <f>SMALL(SimData!$D$9:$D$108,77)</f>
        <v>14.3026634617482</v>
      </c>
      <c r="K84">
        <f>1/(COUNT(SimData!$D$9:$D$108)-1)+$K$83</f>
        <v>0.76767676767676674</v>
      </c>
    </row>
    <row r="85" spans="1:11">
      <c r="A85">
        <v>77</v>
      </c>
      <c r="B85">
        <v>13.09744565756932</v>
      </c>
      <c r="C85">
        <v>14.021974419436217</v>
      </c>
      <c r="D85">
        <v>14.401985428447832</v>
      </c>
      <c r="F85">
        <f>SMALL(SimData!$B$9:$B$108,78)</f>
        <v>13.850007093686147</v>
      </c>
      <c r="G85">
        <f>1/(COUNT(SimData!$B$9:$B$108)-1)+$G$84</f>
        <v>0.77777777777777679</v>
      </c>
      <c r="H85">
        <f>SMALL(SimData!$C$9:$C$108,78)</f>
        <v>12.261168582814383</v>
      </c>
      <c r="I85">
        <f>1/(COUNT(SimData!$C$9:$C$108)-1)+$I$84</f>
        <v>0.77777777777777679</v>
      </c>
      <c r="J85">
        <f>SMALL(SimData!$D$9:$D$108,78)</f>
        <v>14.381322888199083</v>
      </c>
      <c r="K85">
        <f>1/(COUNT(SimData!$D$9:$D$108)-1)+$K$84</f>
        <v>0.77777777777777679</v>
      </c>
    </row>
    <row r="86" spans="1:11">
      <c r="A86">
        <v>78</v>
      </c>
      <c r="B86">
        <v>11.156733222761362</v>
      </c>
      <c r="C86">
        <v>7.3760804010926186</v>
      </c>
      <c r="D86">
        <v>9.9997640112944559</v>
      </c>
      <c r="F86">
        <f>SMALL(SimData!$B$9:$B$108,79)</f>
        <v>13.93828981148272</v>
      </c>
      <c r="G86">
        <f>1/(COUNT(SimData!$B$9:$B$108)-1)+$G$85</f>
        <v>0.78787878787878685</v>
      </c>
      <c r="H86">
        <f>SMALL(SimData!$C$9:$C$108,79)</f>
        <v>12.364497412417574</v>
      </c>
      <c r="I86">
        <f>1/(COUNT(SimData!$C$9:$C$108)-1)+$I$85</f>
        <v>0.78787878787878685</v>
      </c>
      <c r="J86">
        <f>SMALL(SimData!$D$9:$D$108,79)</f>
        <v>14.401985428447832</v>
      </c>
      <c r="K86">
        <f>1/(COUNT(SimData!$D$9:$D$108)-1)+$K$85</f>
        <v>0.78787878787878685</v>
      </c>
    </row>
    <row r="87" spans="1:11">
      <c r="A87">
        <v>79</v>
      </c>
      <c r="B87">
        <v>11.797763113770113</v>
      </c>
      <c r="C87">
        <v>9.9785814066562661</v>
      </c>
      <c r="D87">
        <v>13.149470920476473</v>
      </c>
      <c r="F87">
        <f>SMALL(SimData!$B$9:$B$108,80)</f>
        <v>13.993372900538001</v>
      </c>
      <c r="G87">
        <f>1/(COUNT(SimData!$B$9:$B$108)-1)+$G$86</f>
        <v>0.7979797979797969</v>
      </c>
      <c r="H87">
        <f>SMALL(SimData!$C$9:$C$108,80)</f>
        <v>12.471012297773717</v>
      </c>
      <c r="I87">
        <f>1/(COUNT(SimData!$C$9:$C$108)-1)+$I$86</f>
        <v>0.7979797979797969</v>
      </c>
      <c r="J87">
        <f>SMALL(SimData!$D$9:$D$108,80)</f>
        <v>14.477856100019499</v>
      </c>
      <c r="K87">
        <f>1/(COUNT(SimData!$D$9:$D$108)-1)+$K$86</f>
        <v>0.7979797979797969</v>
      </c>
    </row>
    <row r="88" spans="1:11">
      <c r="A88">
        <v>80</v>
      </c>
      <c r="B88">
        <v>11.578672454151947</v>
      </c>
      <c r="C88">
        <v>7.964061261855834</v>
      </c>
      <c r="D88">
        <v>11.315828017917422</v>
      </c>
      <c r="F88">
        <f>SMALL(SimData!$B$9:$B$108,81)</f>
        <v>14.033148669156514</v>
      </c>
      <c r="G88">
        <f>1/(COUNT(SimData!$B$9:$B$108)-1)+$G$87</f>
        <v>0.80808080808080696</v>
      </c>
      <c r="H88">
        <f>SMALL(SimData!$C$9:$C$108,81)</f>
        <v>12.527477058046394</v>
      </c>
      <c r="I88">
        <f>1/(COUNT(SimData!$C$9:$C$108)-1)+$I$87</f>
        <v>0.80808080808080696</v>
      </c>
      <c r="J88">
        <f>SMALL(SimData!$D$9:$D$108,81)</f>
        <v>14.526106126822089</v>
      </c>
      <c r="K88">
        <f>1/(COUNT(SimData!$D$9:$D$108)-1)+$K$87</f>
        <v>0.80808080808080696</v>
      </c>
    </row>
    <row r="89" spans="1:11">
      <c r="A89">
        <v>81</v>
      </c>
      <c r="B89">
        <v>14.887241216373454</v>
      </c>
      <c r="C89">
        <v>8.4324342957228211</v>
      </c>
      <c r="D89">
        <v>12.708592253133792</v>
      </c>
      <c r="F89">
        <f>SMALL(SimData!$B$9:$B$108,82)</f>
        <v>14.074964748107586</v>
      </c>
      <c r="G89">
        <f>1/(COUNT(SimData!$B$9:$B$108)-1)+$G$88</f>
        <v>0.81818181818181701</v>
      </c>
      <c r="H89">
        <f>SMALL(SimData!$C$9:$C$108,82)</f>
        <v>12.650977465639908</v>
      </c>
      <c r="I89">
        <f>1/(COUNT(SimData!$C$9:$C$108)-1)+$I$88</f>
        <v>0.81818181818181701</v>
      </c>
      <c r="J89">
        <f>SMALL(SimData!$D$9:$D$108,82)</f>
        <v>14.593222537018178</v>
      </c>
      <c r="K89">
        <f>1/(COUNT(SimData!$D$9:$D$108)-1)+$K$88</f>
        <v>0.81818181818181701</v>
      </c>
    </row>
    <row r="90" spans="1:11">
      <c r="A90">
        <v>82</v>
      </c>
      <c r="B90">
        <v>12.09232904555796</v>
      </c>
      <c r="C90">
        <v>6.4805839107224816</v>
      </c>
      <c r="D90">
        <v>12.956972768625006</v>
      </c>
      <c r="F90">
        <f>SMALL(SimData!$B$9:$B$108,83)</f>
        <v>14.132893783676646</v>
      </c>
      <c r="G90">
        <f>1/(COUNT(SimData!$B$9:$B$108)-1)+$G$89</f>
        <v>0.82828282828282707</v>
      </c>
      <c r="H90">
        <f>SMALL(SimData!$C$9:$C$108,83)</f>
        <v>12.764211394665875</v>
      </c>
      <c r="I90">
        <f>1/(COUNT(SimData!$C$9:$C$108)-1)+$I$89</f>
        <v>0.82828282828282707</v>
      </c>
      <c r="J90">
        <f>SMALL(SimData!$D$9:$D$108,83)</f>
        <v>14.631787359896531</v>
      </c>
      <c r="K90">
        <f>1/(COUNT(SimData!$D$9:$D$108)-1)+$K$89</f>
        <v>0.82828282828282707</v>
      </c>
    </row>
    <row r="91" spans="1:11">
      <c r="A91">
        <v>83</v>
      </c>
      <c r="B91">
        <v>14.45686310000179</v>
      </c>
      <c r="C91">
        <v>12.926973581771668</v>
      </c>
      <c r="D91">
        <v>13.249003656522605</v>
      </c>
      <c r="F91">
        <f>SMALL(SimData!$B$9:$B$108,84)</f>
        <v>14.166549054758285</v>
      </c>
      <c r="G91">
        <f>1/(COUNT(SimData!$B$9:$B$108)-1)+$G$90</f>
        <v>0.83838383838383712</v>
      </c>
      <c r="H91">
        <f>SMALL(SimData!$C$9:$C$108,84)</f>
        <v>12.926973581771668</v>
      </c>
      <c r="I91">
        <f>1/(COUNT(SimData!$C$9:$C$108)-1)+$I$90</f>
        <v>0.83838383838383712</v>
      </c>
      <c r="J91">
        <f>SMALL(SimData!$D$9:$D$108,84)</f>
        <v>14.691384662371451</v>
      </c>
      <c r="K91">
        <f>1/(COUNT(SimData!$D$9:$D$108)-1)+$K$90</f>
        <v>0.83838383838383712</v>
      </c>
    </row>
    <row r="92" spans="1:11">
      <c r="A92">
        <v>84</v>
      </c>
      <c r="B92">
        <v>11.970332008209157</v>
      </c>
      <c r="C92">
        <v>8.5250083784870156</v>
      </c>
      <c r="D92">
        <v>11.733632186272562</v>
      </c>
      <c r="F92">
        <f>SMALL(SimData!$B$9:$B$108,85)</f>
        <v>14.236872038498259</v>
      </c>
      <c r="G92">
        <f>1/(COUNT(SimData!$B$9:$B$108)-1)+$G$91</f>
        <v>0.84848484848484718</v>
      </c>
      <c r="H92">
        <f>SMALL(SimData!$C$9:$C$108,85)</f>
        <v>13.09963278501499</v>
      </c>
      <c r="I92">
        <f>1/(COUNT(SimData!$C$9:$C$108)-1)+$I$91</f>
        <v>0.84848484848484718</v>
      </c>
      <c r="J92">
        <f>SMALL(SimData!$D$9:$D$108,85)</f>
        <v>14.717495522640528</v>
      </c>
      <c r="K92">
        <f>1/(COUNT(SimData!$D$9:$D$108)-1)+$K$91</f>
        <v>0.84848484848484718</v>
      </c>
    </row>
    <row r="93" spans="1:11">
      <c r="A93">
        <v>85</v>
      </c>
      <c r="B93">
        <v>11.002644081437644</v>
      </c>
      <c r="C93">
        <v>9.8643472083522283</v>
      </c>
      <c r="D93">
        <v>12.643479757032702</v>
      </c>
      <c r="F93">
        <f>SMALL(SimData!$B$9:$B$108,86)</f>
        <v>14.252243623650223</v>
      </c>
      <c r="G93">
        <f>1/(COUNT(SimData!$B$9:$B$108)-1)+$G$92</f>
        <v>0.85858585858585723</v>
      </c>
      <c r="H93">
        <f>SMALL(SimData!$C$9:$C$108,86)</f>
        <v>13.141381503641956</v>
      </c>
      <c r="I93">
        <f>1/(COUNT(SimData!$C$9:$C$108)-1)+$I$92</f>
        <v>0.85858585858585723</v>
      </c>
      <c r="J93">
        <f>SMALL(SimData!$D$9:$D$108,86)</f>
        <v>14.773466642171487</v>
      </c>
      <c r="K93">
        <f>1/(COUNT(SimData!$D$9:$D$108)-1)+$K$92</f>
        <v>0.85858585858585723</v>
      </c>
    </row>
    <row r="94" spans="1:11">
      <c r="A94">
        <v>86</v>
      </c>
      <c r="B94">
        <v>13.613902051191289</v>
      </c>
      <c r="C94">
        <v>11.961948766413867</v>
      </c>
      <c r="D94">
        <v>13.781933122205533</v>
      </c>
      <c r="F94">
        <f>SMALL(SimData!$B$9:$B$108,87)</f>
        <v>14.327196799993327</v>
      </c>
      <c r="G94">
        <f>1/(COUNT(SimData!$B$9:$B$108)-1)+$G$93</f>
        <v>0.86868686868686729</v>
      </c>
      <c r="H94">
        <f>SMALL(SimData!$C$9:$C$108,87)</f>
        <v>13.251304731660635</v>
      </c>
      <c r="I94">
        <f>1/(COUNT(SimData!$C$9:$C$108)-1)+$I$93</f>
        <v>0.86868686868686729</v>
      </c>
      <c r="J94">
        <f>SMALL(SimData!$D$9:$D$108,87)</f>
        <v>14.823378362628487</v>
      </c>
      <c r="K94">
        <f>1/(COUNT(SimData!$D$9:$D$108)-1)+$K$93</f>
        <v>0.86868686868686729</v>
      </c>
    </row>
    <row r="95" spans="1:11">
      <c r="A95">
        <v>87</v>
      </c>
      <c r="B95">
        <v>14.327196799993327</v>
      </c>
      <c r="C95">
        <v>9.6102876505999983</v>
      </c>
      <c r="D95">
        <v>13.160922589784237</v>
      </c>
      <c r="F95">
        <f>SMALL(SimData!$B$9:$B$108,88)</f>
        <v>14.379954156111914</v>
      </c>
      <c r="G95">
        <f>1/(COUNT(SimData!$B$9:$B$108)-1)+$G$94</f>
        <v>0.87878787878787734</v>
      </c>
      <c r="H95">
        <f>SMALL(SimData!$C$9:$C$108,88)</f>
        <v>13.454095206795312</v>
      </c>
      <c r="I95">
        <f>1/(COUNT(SimData!$C$9:$C$108)-1)+$I$94</f>
        <v>0.87878787878787734</v>
      </c>
      <c r="J95">
        <f>SMALL(SimData!$D$9:$D$108,88)</f>
        <v>14.860405894056989</v>
      </c>
      <c r="K95">
        <f>1/(COUNT(SimData!$D$9:$D$108)-1)+$K$94</f>
        <v>0.87878787878787734</v>
      </c>
    </row>
    <row r="96" spans="1:11">
      <c r="A96">
        <v>88</v>
      </c>
      <c r="B96">
        <v>12.264523750244296</v>
      </c>
      <c r="C96">
        <v>11.094212503490963</v>
      </c>
      <c r="D96">
        <v>14.823378362628487</v>
      </c>
      <c r="F96">
        <f>SMALL(SimData!$B$9:$B$108,89)</f>
        <v>14.449067109718236</v>
      </c>
      <c r="G96">
        <f>1/(COUNT(SimData!$B$9:$B$108)-1)+$G$95</f>
        <v>0.8888888888888874</v>
      </c>
      <c r="H96">
        <f>SMALL(SimData!$C$9:$C$108,89)</f>
        <v>13.622304985614022</v>
      </c>
      <c r="I96">
        <f>1/(COUNT(SimData!$C$9:$C$108)-1)+$I$95</f>
        <v>0.8888888888888874</v>
      </c>
      <c r="J96">
        <f>SMALL(SimData!$D$9:$D$108,89)</f>
        <v>14.915940483465311</v>
      </c>
      <c r="K96">
        <f>1/(COUNT(SimData!$D$9:$D$108)-1)+$K$95</f>
        <v>0.8888888888888874</v>
      </c>
    </row>
    <row r="97" spans="1:11">
      <c r="A97">
        <v>89</v>
      </c>
      <c r="B97">
        <v>12.480709207216442</v>
      </c>
      <c r="C97">
        <v>12.364497412417574</v>
      </c>
      <c r="D97">
        <v>13.464551200930623</v>
      </c>
      <c r="F97">
        <f>SMALL(SimData!$B$9:$B$108,90)</f>
        <v>14.45686310000179</v>
      </c>
      <c r="G97">
        <f>1/(COUNT(SimData!$B$9:$B$108)-1)+$G$96</f>
        <v>0.89898989898989745</v>
      </c>
      <c r="H97">
        <f>SMALL(SimData!$C$9:$C$108,90)</f>
        <v>13.807084001590422</v>
      </c>
      <c r="I97">
        <f>1/(COUNT(SimData!$C$9:$C$108)-1)+$I$96</f>
        <v>0.89898989898989745</v>
      </c>
      <c r="J97">
        <f>SMALL(SimData!$D$9:$D$108,90)</f>
        <v>14.979845557403715</v>
      </c>
      <c r="K97">
        <f>1/(COUNT(SimData!$D$9:$D$108)-1)+$K$96</f>
        <v>0.89898989898989745</v>
      </c>
    </row>
    <row r="98" spans="1:11">
      <c r="A98">
        <v>90</v>
      </c>
      <c r="B98">
        <v>13.784842392635728</v>
      </c>
      <c r="C98">
        <v>13.622304985614022</v>
      </c>
      <c r="D98">
        <v>13.72336027882373</v>
      </c>
      <c r="F98">
        <f>SMALL(SimData!$B$9:$B$108,91)</f>
        <v>14.523155519522996</v>
      </c>
      <c r="G98">
        <f>1/(COUNT(SimData!$B$9:$B$108)-1)+$G$97</f>
        <v>0.90909090909090751</v>
      </c>
      <c r="H98">
        <f>SMALL(SimData!$C$9:$C$108,91)</f>
        <v>14.021974419436217</v>
      </c>
      <c r="I98">
        <f>1/(COUNT(SimData!$C$9:$C$108)-1)+$I$97</f>
        <v>0.90909090909090751</v>
      </c>
      <c r="J98">
        <f>SMALL(SimData!$D$9:$D$108,91)</f>
        <v>15.00010735496455</v>
      </c>
      <c r="K98">
        <f>1/(COUNT(SimData!$D$9:$D$108)-1)+$K$97</f>
        <v>0.90909090909090751</v>
      </c>
    </row>
    <row r="99" spans="1:11">
      <c r="A99">
        <v>91</v>
      </c>
      <c r="B99">
        <v>14.824069590441432</v>
      </c>
      <c r="C99">
        <v>5.8785140904850479</v>
      </c>
      <c r="D99">
        <v>15.001245276318921</v>
      </c>
      <c r="F99">
        <f>SMALL(SimData!$B$9:$B$108,92)</f>
        <v>14.557109590435193</v>
      </c>
      <c r="G99">
        <f>1/(COUNT(SimData!$B$9:$B$108)-1)+$G$98</f>
        <v>0.91919191919191756</v>
      </c>
      <c r="H99">
        <f>SMALL(SimData!$C$9:$C$108,92)</f>
        <v>14.080040345814758</v>
      </c>
      <c r="I99">
        <f>1/(COUNT(SimData!$C$9:$C$108)-1)+$I$98</f>
        <v>0.91919191919191756</v>
      </c>
      <c r="J99">
        <f>SMALL(SimData!$D$9:$D$108,92)</f>
        <v>15.00018869841456</v>
      </c>
      <c r="K99">
        <f>1/(COUNT(SimData!$D$9:$D$108)-1)+$K$98</f>
        <v>0.91919191919191756</v>
      </c>
    </row>
    <row r="100" spans="1:11">
      <c r="A100">
        <v>92</v>
      </c>
      <c r="B100">
        <v>11.879984511116051</v>
      </c>
      <c r="C100">
        <v>8.9328960627947183</v>
      </c>
      <c r="D100">
        <v>9.9996084611354412</v>
      </c>
      <c r="F100">
        <f>SMALL(SimData!$B$9:$B$108,93)</f>
        <v>14.625621265260415</v>
      </c>
      <c r="G100">
        <f>1/(COUNT(SimData!$B$9:$B$108)-1)+$G$99</f>
        <v>0.92929292929292762</v>
      </c>
      <c r="H100">
        <f>SMALL(SimData!$C$9:$C$108,93)</f>
        <v>14.273339109339954</v>
      </c>
      <c r="I100">
        <f>1/(COUNT(SimData!$C$9:$C$108)-1)+$I$99</f>
        <v>0.92929292929292762</v>
      </c>
      <c r="J100">
        <f>SMALL(SimData!$D$9:$D$108,93)</f>
        <v>15.00041620665831</v>
      </c>
      <c r="K100">
        <f>1/(COUNT(SimData!$D$9:$D$108)-1)+$K$99</f>
        <v>0.92929292929292762</v>
      </c>
    </row>
    <row r="101" spans="1:11">
      <c r="A101">
        <v>93</v>
      </c>
      <c r="B101">
        <v>14.939714905826774</v>
      </c>
      <c r="C101">
        <v>10.978171758418561</v>
      </c>
      <c r="D101">
        <v>12.380859532878002</v>
      </c>
      <c r="F101">
        <f>SMALL(SimData!$B$9:$B$108,94)</f>
        <v>14.684826450255891</v>
      </c>
      <c r="G101">
        <f>1/(COUNT(SimData!$B$9:$B$108)-1)+$G$100</f>
        <v>0.93939393939393767</v>
      </c>
      <c r="H101">
        <f>SMALL(SimData!$C$9:$C$108,94)</f>
        <v>14.551628679628518</v>
      </c>
      <c r="I101">
        <f>1/(COUNT(SimData!$C$9:$C$108)-1)+$I$100</f>
        <v>0.93939393939393767</v>
      </c>
      <c r="J101">
        <f>SMALL(SimData!$D$9:$D$108,94)</f>
        <v>15.000592065820934</v>
      </c>
      <c r="K101">
        <f>1/(COUNT(SimData!$D$9:$D$108)-1)+$K$100</f>
        <v>0.93939393939393767</v>
      </c>
    </row>
    <row r="102" spans="1:11">
      <c r="A102">
        <v>94</v>
      </c>
      <c r="B102">
        <v>12.874042659817274</v>
      </c>
      <c r="C102">
        <v>8.2305285329226727</v>
      </c>
      <c r="D102">
        <v>9.9995857271680819</v>
      </c>
      <c r="F102">
        <f>SMALL(SimData!$B$9:$B$108,95)</f>
        <v>14.711994914818089</v>
      </c>
      <c r="G102">
        <f>1/(COUNT(SimData!$B$9:$B$108)-1)+$G$101</f>
        <v>0.94949494949494773</v>
      </c>
      <c r="H102">
        <f>SMALL(SimData!$C$9:$C$108,95)</f>
        <v>14.83511086767431</v>
      </c>
      <c r="I102">
        <f>1/(COUNT(SimData!$C$9:$C$108)-1)+$I$101</f>
        <v>0.94949494949494773</v>
      </c>
      <c r="J102">
        <f>SMALL(SimData!$D$9:$D$108,95)</f>
        <v>15.000608648772458</v>
      </c>
      <c r="K102">
        <f>1/(COUNT(SimData!$D$9:$D$108)-1)+$K$101</f>
        <v>0.94949494949494773</v>
      </c>
    </row>
    <row r="103" spans="1:11">
      <c r="A103">
        <v>95</v>
      </c>
      <c r="B103">
        <v>12.509337163357841</v>
      </c>
      <c r="C103">
        <v>11.9079474774035</v>
      </c>
      <c r="D103">
        <v>15.00119699435964</v>
      </c>
      <c r="F103">
        <f>SMALL(SimData!$B$9:$B$108,96)</f>
        <v>14.778264003824038</v>
      </c>
      <c r="G103">
        <f>1/(COUNT(SimData!$B$9:$B$108)-1)+$G$102</f>
        <v>0.95959595959595778</v>
      </c>
      <c r="H103">
        <f>SMALL(SimData!$C$9:$C$108,96)</f>
        <v>15.136162704983974</v>
      </c>
      <c r="I103">
        <f>1/(COUNT(SimData!$C$9:$C$108)-1)+$I$102</f>
        <v>0.95959595959595778</v>
      </c>
      <c r="J103">
        <f>SMALL(SimData!$D$9:$D$108,96)</f>
        <v>15.000815051155925</v>
      </c>
      <c r="K103">
        <f>1/(COUNT(SimData!$D$9:$D$108)-1)+$K$102</f>
        <v>0.95959595959595778</v>
      </c>
    </row>
    <row r="104" spans="1:11">
      <c r="A104">
        <v>96</v>
      </c>
      <c r="B104">
        <v>13.556353388716548</v>
      </c>
      <c r="C104">
        <v>11.806503348940302</v>
      </c>
      <c r="D104">
        <v>12.584955354310795</v>
      </c>
      <c r="F104">
        <f>SMALL(SimData!$B$9:$B$108,97)</f>
        <v>14.824069590441432</v>
      </c>
      <c r="G104">
        <f>1/(COUNT(SimData!$B$9:$B$108)-1)+$G$103</f>
        <v>0.96969696969696784</v>
      </c>
      <c r="H104">
        <f>SMALL(SimData!$C$9:$C$108,97)</f>
        <v>15.408639009151925</v>
      </c>
      <c r="I104">
        <f>1/(COUNT(SimData!$C$9:$C$108)-1)+$I$103</f>
        <v>0.96969696969696784</v>
      </c>
      <c r="J104">
        <f>SMALL(SimData!$D$9:$D$108,97)</f>
        <v>15.000960550946372</v>
      </c>
      <c r="K104">
        <f>1/(COUNT(SimData!$D$9:$D$108)-1)+$K$103</f>
        <v>0.96969696969696784</v>
      </c>
    </row>
    <row r="105" spans="1:11">
      <c r="A105">
        <v>97</v>
      </c>
      <c r="B105">
        <v>10.35522216969524</v>
      </c>
      <c r="C105">
        <v>2.0915785801688243</v>
      </c>
      <c r="D105">
        <v>14.979845557403715</v>
      </c>
      <c r="F105">
        <f>SMALL(SimData!$B$9:$B$108,98)</f>
        <v>14.887241216373454</v>
      </c>
      <c r="G105">
        <f>1/(COUNT(SimData!$B$9:$B$108)-1)+$G$104</f>
        <v>0.97979797979797789</v>
      </c>
      <c r="H105">
        <f>SMALL(SimData!$C$9:$C$108,98)</f>
        <v>15.877837239104828</v>
      </c>
      <c r="I105">
        <f>1/(COUNT(SimData!$C$9:$C$108)-1)+$I$104</f>
        <v>0.97979797979797789</v>
      </c>
      <c r="J105">
        <f>SMALL(SimData!$D$9:$D$108,98)</f>
        <v>15.00119699435964</v>
      </c>
      <c r="K105">
        <f>1/(COUNT(SimData!$D$9:$D$108)-1)+$K$104</f>
        <v>0.97979797979797789</v>
      </c>
    </row>
    <row r="106" spans="1:11">
      <c r="A106">
        <v>98</v>
      </c>
      <c r="B106">
        <v>11.263085095424458</v>
      </c>
      <c r="C106">
        <v>4.9925971990361919</v>
      </c>
      <c r="D106">
        <v>14.250228361936806</v>
      </c>
      <c r="F106">
        <f>SMALL(SimData!$B$9:$B$108,99)</f>
        <v>14.939714905826774</v>
      </c>
      <c r="G106">
        <f>1/(COUNT(SimData!$B$9:$B$108)-1)+$G$105</f>
        <v>0.98989898989898795</v>
      </c>
      <c r="H106">
        <f>SMALL(SimData!$C$9:$C$108,99)</f>
        <v>16.707259873341819</v>
      </c>
      <c r="I106">
        <f>1/(COUNT(SimData!$C$9:$C$108)-1)+$I$105</f>
        <v>0.98989898989898795</v>
      </c>
      <c r="J106">
        <f>SMALL(SimData!$D$9:$D$108,99)</f>
        <v>15.001245276318921</v>
      </c>
      <c r="K106">
        <f>1/(COUNT(SimData!$D$9:$D$108)-1)+$K$105</f>
        <v>0.98989898989898795</v>
      </c>
    </row>
    <row r="107" spans="1:11">
      <c r="A107">
        <v>99</v>
      </c>
      <c r="B107">
        <v>12.576958215405922</v>
      </c>
      <c r="C107">
        <v>15.408639009151925</v>
      </c>
      <c r="D107">
        <v>9.9993687567140839</v>
      </c>
      <c r="F107">
        <f>SMALL(SimData!$B$9:$B$108,100)</f>
        <v>14.983243759554636</v>
      </c>
      <c r="G107">
        <f>1/(COUNT(SimData!$B$9:$B$108)-1)+$G$106</f>
        <v>0.999999999999998</v>
      </c>
      <c r="H107">
        <f>SMALL(SimData!$C$9:$C$108,100)</f>
        <v>17.154482324562807</v>
      </c>
      <c r="I107">
        <f>1/(COUNT(SimData!$C$9:$C$108)-1)+$I$106</f>
        <v>0.999999999999998</v>
      </c>
      <c r="J107">
        <f>SMALL(SimData!$D$9:$D$108,100)</f>
        <v>15.001470549299887</v>
      </c>
      <c r="K107">
        <f>1/(COUNT(SimData!$D$9:$D$108)-1)+$K$106</f>
        <v>0.999999999999998</v>
      </c>
    </row>
    <row r="108" spans="1:11">
      <c r="A108">
        <v>100</v>
      </c>
      <c r="B108">
        <v>14.379954156111914</v>
      </c>
      <c r="C108">
        <v>15.136162704983974</v>
      </c>
      <c r="D108">
        <v>12.277885238937541</v>
      </c>
    </row>
    <row r="110" spans="1:11">
      <c r="A110" t="s">
        <v>49</v>
      </c>
    </row>
    <row r="111" spans="1:11">
      <c r="A111" t="s">
        <v>50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</row>
    <row r="112" spans="1:11">
      <c r="A112" t="s">
        <v>51</v>
      </c>
    </row>
    <row r="113" spans="1:4">
      <c r="A113" t="s">
        <v>52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</row>
    <row r="114" spans="1:4">
      <c r="A114" t="s">
        <v>53</v>
      </c>
    </row>
    <row r="115" spans="1:4">
      <c r="A115" t="s">
        <v>54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</row>
    <row r="116" spans="1:4">
      <c r="A116" t="s">
        <v>55</v>
      </c>
    </row>
    <row r="117" spans="1:4">
      <c r="A117" t="s">
        <v>56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</row>
    <row r="118" spans="1:4">
      <c r="A118" t="s">
        <v>57</v>
      </c>
    </row>
    <row r="119" spans="1:4">
      <c r="A119" t="s">
        <v>58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</row>
    <row r="508" spans="12:17">
      <c r="L508" t="str">
        <f>SimData!$B$8</f>
        <v>Uniform</v>
      </c>
      <c r="M508" t="s">
        <v>33</v>
      </c>
      <c r="N508" t="str">
        <f>SimData!$C$8</f>
        <v>Normal</v>
      </c>
      <c r="O508" t="s">
        <v>33</v>
      </c>
      <c r="P508" t="str">
        <f>SimData!$D$8</f>
        <v>Empirical</v>
      </c>
      <c r="Q508" t="s">
        <v>33</v>
      </c>
    </row>
    <row r="509" spans="12:17">
      <c r="L509">
        <f>SMALL(SimData!$B$9:$B$508,1)</f>
        <v>10.049514120549317</v>
      </c>
      <c r="M509">
        <v>0</v>
      </c>
      <c r="N509">
        <f>SMALL(SimData!$C$9:$C$508,1)</f>
        <v>2.0915785801688243</v>
      </c>
      <c r="O509">
        <v>0</v>
      </c>
      <c r="P509">
        <f>SMALL(SimData!$D$9:$D$508,1)</f>
        <v>9.9990583643867783</v>
      </c>
      <c r="Q509">
        <v>0</v>
      </c>
    </row>
    <row r="510" spans="12:17">
      <c r="L510">
        <f>SMALL(SimData!$B$9:$B$508,2)</f>
        <v>10.099866716680086</v>
      </c>
      <c r="M510">
        <f>1/(COUNT(SimData!$B$9:$B$508)-1)+$M$509</f>
        <v>1.0101010101010102E-2</v>
      </c>
      <c r="N510">
        <f>SMALL(SimData!$C$9:$C$508,2)</f>
        <v>3.8332270418016403</v>
      </c>
      <c r="O510">
        <f>1/(COUNT(SimData!$C$9:$C$508)-1)+$O$509</f>
        <v>1.0101010101010102E-2</v>
      </c>
      <c r="P510">
        <f>SMALL(SimData!$D$9:$D$508,2)</f>
        <v>9.999110295197557</v>
      </c>
      <c r="Q510">
        <f>1/(COUNT(SimData!$D$9:$D$508)-1)+$Q$509</f>
        <v>1.0101010101010102E-2</v>
      </c>
    </row>
    <row r="511" spans="12:17">
      <c r="L511">
        <f>SMALL(SimData!$B$9:$B$508,3)</f>
        <v>10.12057109006461</v>
      </c>
      <c r="M511">
        <f>1/(COUNT(SimData!$B$9:$B$508)-1)+$M$510</f>
        <v>2.0202020202020204E-2</v>
      </c>
      <c r="N511">
        <f>SMALL(SimData!$C$9:$C$508,3)</f>
        <v>4.306442779894204</v>
      </c>
      <c r="O511">
        <f>1/(COUNT(SimData!$C$9:$C$508)-1)+$O$510</f>
        <v>2.0202020202020204E-2</v>
      </c>
      <c r="P511">
        <f>SMALL(SimData!$D$9:$D$508,3)</f>
        <v>9.9992721139747118</v>
      </c>
      <c r="Q511">
        <f>1/(COUNT(SimData!$D$9:$D$508)-1)+$Q$510</f>
        <v>2.0202020202020204E-2</v>
      </c>
    </row>
    <row r="512" spans="12:17">
      <c r="L512">
        <f>SMALL(SimData!$B$9:$B$508,4)</f>
        <v>10.199445809330662</v>
      </c>
      <c r="M512">
        <f>1/(COUNT(SimData!$B$9:$B$508)-1)+$M$511</f>
        <v>3.0303030303030304E-2</v>
      </c>
      <c r="N512">
        <f>SMALL(SimData!$C$9:$C$508,4)</f>
        <v>4.4976920437086241</v>
      </c>
      <c r="O512">
        <f>1/(COUNT(SimData!$C$9:$C$508)-1)+$O$511</f>
        <v>3.0303030303030304E-2</v>
      </c>
      <c r="P512">
        <f>SMALL(SimData!$D$9:$D$508,4)</f>
        <v>9.9993687567140839</v>
      </c>
      <c r="Q512">
        <f>1/(COUNT(SimData!$D$9:$D$508)-1)+$Q$511</f>
        <v>3.0303030303030304E-2</v>
      </c>
    </row>
    <row r="513" spans="12:17">
      <c r="L513">
        <f>SMALL(SimData!$B$9:$B$508,5)</f>
        <v>10.214869099195317</v>
      </c>
      <c r="M513">
        <f>1/(COUNT(SimData!$B$9:$B$508)-1)+$M$512</f>
        <v>4.0404040404040407E-2</v>
      </c>
      <c r="N513">
        <f>SMALL(SimData!$C$9:$C$508,5)</f>
        <v>4.9925971990361919</v>
      </c>
      <c r="O513">
        <f>1/(COUNT(SimData!$C$9:$C$508)-1)+$O$512</f>
        <v>4.0404040404040407E-2</v>
      </c>
      <c r="P513">
        <f>SMALL(SimData!$D$9:$D$508,5)</f>
        <v>9.999431983583964</v>
      </c>
      <c r="Q513">
        <f>1/(COUNT(SimData!$D$9:$D$508)-1)+$Q$512</f>
        <v>4.0404040404040407E-2</v>
      </c>
    </row>
    <row r="514" spans="12:17">
      <c r="L514">
        <f>SMALL(SimData!$B$9:$B$508,6)</f>
        <v>10.272374613716353</v>
      </c>
      <c r="M514">
        <f>1/(COUNT(SimData!$B$9:$B$508)-1)+$M$513</f>
        <v>5.0505050505050511E-2</v>
      </c>
      <c r="N514">
        <f>SMALL(SimData!$C$9:$C$508,6)</f>
        <v>5.0736041851865519</v>
      </c>
      <c r="O514">
        <f>1/(COUNT(SimData!$C$9:$C$508)-1)+$O$513</f>
        <v>5.0505050505050511E-2</v>
      </c>
      <c r="P514">
        <f>SMALL(SimData!$D$9:$D$508,6)</f>
        <v>9.9995857271680819</v>
      </c>
      <c r="Q514">
        <f>1/(COUNT(SimData!$D$9:$D$508)-1)+$Q$513</f>
        <v>5.0505050505050511E-2</v>
      </c>
    </row>
    <row r="515" spans="12:17">
      <c r="L515">
        <f>SMALL(SimData!$B$9:$B$508,7)</f>
        <v>10.332094312804307</v>
      </c>
      <c r="M515">
        <f>1/(COUNT(SimData!$B$9:$B$508)-1)+$M$514</f>
        <v>6.0606060606060615E-2</v>
      </c>
      <c r="N515">
        <f>SMALL(SimData!$C$9:$C$508,7)</f>
        <v>5.3499943008867135</v>
      </c>
      <c r="O515">
        <f>1/(COUNT(SimData!$C$9:$C$508)-1)+$O$514</f>
        <v>6.0606060606060615E-2</v>
      </c>
      <c r="P515">
        <f>SMALL(SimData!$D$9:$D$508,7)</f>
        <v>9.9996084611354412</v>
      </c>
      <c r="Q515">
        <f>1/(COUNT(SimData!$D$9:$D$508)-1)+$Q$514</f>
        <v>6.0606060606060615E-2</v>
      </c>
    </row>
    <row r="516" spans="12:17">
      <c r="L516">
        <f>SMALL(SimData!$B$9:$B$508,8)</f>
        <v>10.35522216969524</v>
      </c>
      <c r="M516">
        <f>1/(COUNT(SimData!$B$9:$B$508)-1)+$M$515</f>
        <v>7.0707070707070718E-2</v>
      </c>
      <c r="N516">
        <f>SMALL(SimData!$C$9:$C$508,8)</f>
        <v>5.6197924253165361</v>
      </c>
      <c r="O516">
        <f>1/(COUNT(SimData!$C$9:$C$508)-1)+$O$515</f>
        <v>7.0707070707070718E-2</v>
      </c>
      <c r="P516">
        <f>SMALL(SimData!$D$9:$D$508,8)</f>
        <v>9.9997640112944559</v>
      </c>
      <c r="Q516">
        <f>1/(COUNT(SimData!$D$9:$D$508)-1)+$Q$515</f>
        <v>7.0707070707070718E-2</v>
      </c>
    </row>
    <row r="517" spans="12:17">
      <c r="L517">
        <f>SMALL(SimData!$B$9:$B$508,9)</f>
        <v>10.436558192872107</v>
      </c>
      <c r="M517">
        <f>1/(COUNT(SimData!$B$9:$B$508)-1)+$M$516</f>
        <v>8.0808080808080815E-2</v>
      </c>
      <c r="N517">
        <f>SMALL(SimData!$C$9:$C$508,9)</f>
        <v>5.8785140904850479</v>
      </c>
      <c r="O517">
        <f>1/(COUNT(SimData!$C$9:$C$508)-1)+$O$516</f>
        <v>8.0808080808080815E-2</v>
      </c>
      <c r="P517">
        <f>SMALL(SimData!$D$9:$D$508,9)</f>
        <v>9.9998624309638657</v>
      </c>
      <c r="Q517">
        <f>1/(COUNT(SimData!$D$9:$D$508)-1)+$Q$516</f>
        <v>8.0808080808080815E-2</v>
      </c>
    </row>
    <row r="518" spans="12:17">
      <c r="L518">
        <f>SMALL(SimData!$B$9:$B$508,10)</f>
        <v>10.466683349576007</v>
      </c>
      <c r="M518">
        <f>1/(COUNT(SimData!$B$9:$B$508)-1)+$M$517</f>
        <v>9.0909090909090912E-2</v>
      </c>
      <c r="N518">
        <f>SMALL(SimData!$C$9:$C$508,10)</f>
        <v>6.1478181632810305</v>
      </c>
      <c r="O518">
        <f>1/(COUNT(SimData!$C$9:$C$508)-1)+$O$517</f>
        <v>9.0909090909090912E-2</v>
      </c>
      <c r="P518">
        <f>SMALL(SimData!$D$9:$D$508,10)</f>
        <v>9.9999249233433112</v>
      </c>
      <c r="Q518">
        <f>1/(COUNT(SimData!$D$9:$D$508)-1)+$Q$517</f>
        <v>9.0909090909090912E-2</v>
      </c>
    </row>
    <row r="519" spans="12:17">
      <c r="L519">
        <f>SMALL(SimData!$B$9:$B$508,11)</f>
        <v>10.516658831088957</v>
      </c>
      <c r="M519">
        <f>1/(COUNT(SimData!$B$9:$B$508)-1)+$M$518</f>
        <v>0.10101010101010101</v>
      </c>
      <c r="N519">
        <f>SMALL(SimData!$C$9:$C$508,11)</f>
        <v>6.1834802130769564</v>
      </c>
      <c r="O519">
        <f>1/(COUNT(SimData!$C$9:$C$508)-1)+$O$518</f>
        <v>0.10101010101010101</v>
      </c>
      <c r="P519">
        <f>SMALL(SimData!$D$9:$D$508,11)</f>
        <v>10.010715412141456</v>
      </c>
      <c r="Q519">
        <f>1/(COUNT(SimData!$D$9:$D$508)-1)+$Q$518</f>
        <v>0.10101010101010101</v>
      </c>
    </row>
    <row r="520" spans="12:17">
      <c r="L520">
        <f>SMALL(SimData!$B$9:$B$508,12)</f>
        <v>10.595852329115349</v>
      </c>
      <c r="M520">
        <f>1/(COUNT(SimData!$B$9:$B$508)-1)+$M$519</f>
        <v>0.1111111111111111</v>
      </c>
      <c r="N520">
        <f>SMALL(SimData!$C$9:$C$508,12)</f>
        <v>6.3313992741518916</v>
      </c>
      <c r="O520">
        <f>1/(COUNT(SimData!$C$9:$C$508)-1)+$O$519</f>
        <v>0.1111111111111111</v>
      </c>
      <c r="P520">
        <f>SMALL(SimData!$D$9:$D$508,12)</f>
        <v>10.152201619151095</v>
      </c>
      <c r="Q520">
        <f>1/(COUNT(SimData!$D$9:$D$508)-1)+$Q$519</f>
        <v>0.1111111111111111</v>
      </c>
    </row>
    <row r="521" spans="12:17">
      <c r="L521">
        <f>SMALL(SimData!$B$9:$B$508,13)</f>
        <v>10.629386200518205</v>
      </c>
      <c r="M521">
        <f>1/(COUNT(SimData!$B$9:$B$508)-1)+$M$520</f>
        <v>0.1212121212121212</v>
      </c>
      <c r="N521">
        <f>SMALL(SimData!$C$9:$C$508,13)</f>
        <v>6.4805839107224816</v>
      </c>
      <c r="O521">
        <f>1/(COUNT(SimData!$C$9:$C$508)-1)+$O$520</f>
        <v>0.1212121212121212</v>
      </c>
      <c r="P521">
        <f>SMALL(SimData!$D$9:$D$508,13)</f>
        <v>10.217616893727708</v>
      </c>
      <c r="Q521">
        <f>1/(COUNT(SimData!$D$9:$D$508)-1)+$Q$520</f>
        <v>0.1212121212121212</v>
      </c>
    </row>
    <row r="522" spans="12:17">
      <c r="L522">
        <f>SMALL(SimData!$B$9:$B$508,14)</f>
        <v>10.698754907387485</v>
      </c>
      <c r="M522">
        <f>1/(COUNT(SimData!$B$9:$B$508)-1)+$M$521</f>
        <v>0.1313131313131313</v>
      </c>
      <c r="N522">
        <f>SMALL(SimData!$C$9:$C$508,14)</f>
        <v>6.6554652238637981</v>
      </c>
      <c r="O522">
        <f>1/(COUNT(SimData!$C$9:$C$508)-1)+$O$521</f>
        <v>0.1313131313131313</v>
      </c>
      <c r="P522">
        <f>SMALL(SimData!$D$9:$D$508,14)</f>
        <v>10.336333127048876</v>
      </c>
      <c r="Q522">
        <f>1/(COUNT(SimData!$D$9:$D$508)-1)+$Q$521</f>
        <v>0.1313131313131313</v>
      </c>
    </row>
    <row r="523" spans="12:17">
      <c r="L523">
        <f>SMALL(SimData!$B$9:$B$508,15)</f>
        <v>10.712612542606102</v>
      </c>
      <c r="M523">
        <f>1/(COUNT(SimData!$B$9:$B$508)-1)+$M$522</f>
        <v>0.14141414141414141</v>
      </c>
      <c r="N523">
        <f>SMALL(SimData!$C$9:$C$508,15)</f>
        <v>6.8883817083955137</v>
      </c>
      <c r="O523">
        <f>1/(COUNT(SimData!$C$9:$C$508)-1)+$O$522</f>
        <v>0.14141414141414141</v>
      </c>
      <c r="P523">
        <f>SMALL(SimData!$D$9:$D$508,15)</f>
        <v>10.442961144783292</v>
      </c>
      <c r="Q523">
        <f>1/(COUNT(SimData!$D$9:$D$508)-1)+$Q$522</f>
        <v>0.14141414141414141</v>
      </c>
    </row>
    <row r="524" spans="12:17">
      <c r="L524">
        <f>SMALL(SimData!$B$9:$B$508,16)</f>
        <v>10.779132909264678</v>
      </c>
      <c r="M524">
        <f>1/(COUNT(SimData!$B$9:$B$508)-1)+$M$523</f>
        <v>0.15151515151515152</v>
      </c>
      <c r="N524">
        <f>SMALL(SimData!$C$9:$C$508,16)</f>
        <v>6.9803751356257813</v>
      </c>
      <c r="O524">
        <f>1/(COUNT(SimData!$C$9:$C$508)-1)+$O$523</f>
        <v>0.15151515151515152</v>
      </c>
      <c r="P524">
        <f>SMALL(SimData!$D$9:$D$508,16)</f>
        <v>10.506435748656848</v>
      </c>
      <c r="Q524">
        <f>1/(COUNT(SimData!$D$9:$D$508)-1)+$Q$523</f>
        <v>0.15151515151515152</v>
      </c>
    </row>
    <row r="525" spans="12:17">
      <c r="L525">
        <f>SMALL(SimData!$B$9:$B$508,17)</f>
        <v>10.830262003135928</v>
      </c>
      <c r="M525">
        <f>1/(COUNT(SimData!$B$9:$B$508)-1)+$M$524</f>
        <v>0.16161616161616163</v>
      </c>
      <c r="N525">
        <f>SMALL(SimData!$C$9:$C$508,17)</f>
        <v>7.1016419836619313</v>
      </c>
      <c r="O525">
        <f>1/(COUNT(SimData!$C$9:$C$508)-1)+$O$524</f>
        <v>0.16161616161616163</v>
      </c>
      <c r="P525">
        <f>SMALL(SimData!$D$9:$D$508,17)</f>
        <v>10.605462597172117</v>
      </c>
      <c r="Q525">
        <f>1/(COUNT(SimData!$D$9:$D$508)-1)+$Q$524</f>
        <v>0.16161616161616163</v>
      </c>
    </row>
    <row r="526" spans="12:17">
      <c r="L526">
        <f>SMALL(SimData!$B$9:$B$508,18)</f>
        <v>10.896771941845484</v>
      </c>
      <c r="M526">
        <f>1/(COUNT(SimData!$B$9:$B$508)-1)+$M$525</f>
        <v>0.17171717171717174</v>
      </c>
      <c r="N526">
        <f>SMALL(SimData!$C$9:$C$508,18)</f>
        <v>7.2123077000133664</v>
      </c>
      <c r="O526">
        <f>1/(COUNT(SimData!$C$9:$C$508)-1)+$O$525</f>
        <v>0.17171717171717174</v>
      </c>
      <c r="P526">
        <f>SMALL(SimData!$D$9:$D$508,18)</f>
        <v>10.778557043703868</v>
      </c>
      <c r="Q526">
        <f>1/(COUNT(SimData!$D$9:$D$508)-1)+$Q$525</f>
        <v>0.17171717171717174</v>
      </c>
    </row>
    <row r="527" spans="12:17">
      <c r="L527">
        <f>SMALL(SimData!$B$9:$B$508,19)</f>
        <v>10.904398376635369</v>
      </c>
      <c r="M527">
        <f>1/(COUNT(SimData!$B$9:$B$508)-1)+$M$526</f>
        <v>0.18181818181818185</v>
      </c>
      <c r="N527">
        <f>SMALL(SimData!$C$9:$C$508,19)</f>
        <v>7.2655529323855088</v>
      </c>
      <c r="O527">
        <f>1/(COUNT(SimData!$C$9:$C$508)-1)+$O$526</f>
        <v>0.18181818181818185</v>
      </c>
      <c r="P527">
        <f>SMALL(SimData!$D$9:$D$508,19)</f>
        <v>10.810867390458208</v>
      </c>
      <c r="Q527">
        <f>1/(COUNT(SimData!$D$9:$D$508)-1)+$Q$526</f>
        <v>0.18181818181818185</v>
      </c>
    </row>
    <row r="528" spans="12:17">
      <c r="L528">
        <f>SMALL(SimData!$B$9:$B$508,20)</f>
        <v>10.973071000753686</v>
      </c>
      <c r="M528">
        <f>1/(COUNT(SimData!$B$9:$B$508)-1)+$M$527</f>
        <v>0.19191919191919196</v>
      </c>
      <c r="N528">
        <f>SMALL(SimData!$C$9:$C$508,20)</f>
        <v>7.3760804010926186</v>
      </c>
      <c r="O528">
        <f>1/(COUNT(SimData!$C$9:$C$508)-1)+$O$527</f>
        <v>0.19191919191919196</v>
      </c>
      <c r="P528">
        <f>SMALL(SimData!$D$9:$D$508,20)</f>
        <v>10.968414977953866</v>
      </c>
      <c r="Q528">
        <f>1/(COUNT(SimData!$D$9:$D$508)-1)+$Q$527</f>
        <v>0.19191919191919196</v>
      </c>
    </row>
    <row r="529" spans="12:17">
      <c r="L529">
        <f>SMALL(SimData!$B$9:$B$508,21)</f>
        <v>11.002644081437644</v>
      </c>
      <c r="M529">
        <f>1/(COUNT(SimData!$B$9:$B$508)-1)+$M$528</f>
        <v>0.20202020202020207</v>
      </c>
      <c r="N529">
        <f>SMALL(SimData!$C$9:$C$508,21)</f>
        <v>7.5356063257117016</v>
      </c>
      <c r="O529">
        <f>1/(COUNT(SimData!$C$9:$C$508)-1)+$O$528</f>
        <v>0.20202020202020207</v>
      </c>
      <c r="P529">
        <f>SMALL(SimData!$D$9:$D$508,21)</f>
        <v>11.003794791527044</v>
      </c>
      <c r="Q529">
        <f>1/(COUNT(SimData!$D$9:$D$508)-1)+$Q$528</f>
        <v>0.20202020202020207</v>
      </c>
    </row>
    <row r="530" spans="12:17">
      <c r="L530">
        <f>SMALL(SimData!$B$9:$B$508,22)</f>
        <v>11.060509540911417</v>
      </c>
      <c r="M530">
        <f>1/(COUNT(SimData!$B$9:$B$508)-1)+$M$529</f>
        <v>0.21212121212121218</v>
      </c>
      <c r="N530">
        <f>SMALL(SimData!$C$9:$C$508,22)</f>
        <v>7.6365377615201471</v>
      </c>
      <c r="O530">
        <f>1/(COUNT(SimData!$C$9:$C$508)-1)+$O$529</f>
        <v>0.21212121212121218</v>
      </c>
      <c r="P530">
        <f>SMALL(SimData!$D$9:$D$508,22)</f>
        <v>11.11893304333066</v>
      </c>
      <c r="Q530">
        <f>1/(COUNT(SimData!$D$9:$D$508)-1)+$Q$529</f>
        <v>0.21212121212121218</v>
      </c>
    </row>
    <row r="531" spans="12:17">
      <c r="L531">
        <f>SMALL(SimData!$B$9:$B$508,23)</f>
        <v>11.109335571098917</v>
      </c>
      <c r="M531">
        <f>1/(COUNT(SimData!$B$9:$B$508)-1)+$M$530</f>
        <v>0.22222222222222229</v>
      </c>
      <c r="N531">
        <f>SMALL(SimData!$C$9:$C$508,23)</f>
        <v>7.7634081975140496</v>
      </c>
      <c r="O531">
        <f>1/(COUNT(SimData!$C$9:$C$508)-1)+$O$530</f>
        <v>0.22222222222222229</v>
      </c>
      <c r="P531">
        <f>SMALL(SimData!$D$9:$D$508,23)</f>
        <v>11.237884912974639</v>
      </c>
      <c r="Q531">
        <f>1/(COUNT(SimData!$D$9:$D$508)-1)+$Q$530</f>
        <v>0.22222222222222229</v>
      </c>
    </row>
    <row r="532" spans="12:17">
      <c r="L532">
        <f>SMALL(SimData!$B$9:$B$508,24)</f>
        <v>11.156733222761362</v>
      </c>
      <c r="M532">
        <f>1/(COUNT(SimData!$B$9:$B$508)-1)+$M$531</f>
        <v>0.2323232323232324</v>
      </c>
      <c r="N532">
        <f>SMALL(SimData!$C$9:$C$508,24)</f>
        <v>7.8776622552221962</v>
      </c>
      <c r="O532">
        <f>1/(COUNT(SimData!$C$9:$C$508)-1)+$O$531</f>
        <v>0.2323232323232324</v>
      </c>
      <c r="P532">
        <f>SMALL(SimData!$D$9:$D$508,24)</f>
        <v>11.315828017917422</v>
      </c>
      <c r="Q532">
        <f>1/(COUNT(SimData!$D$9:$D$508)-1)+$Q$531</f>
        <v>0.2323232323232324</v>
      </c>
    </row>
    <row r="533" spans="12:17">
      <c r="L533">
        <f>SMALL(SimData!$B$9:$B$508,25)</f>
        <v>11.23191404552942</v>
      </c>
      <c r="M533">
        <f>1/(COUNT(SimData!$B$9:$B$508)-1)+$M$532</f>
        <v>0.24242424242424251</v>
      </c>
      <c r="N533">
        <f>SMALL(SimData!$C$9:$C$508,25)</f>
        <v>7.964061261855834</v>
      </c>
      <c r="O533">
        <f>1/(COUNT(SimData!$C$9:$C$508)-1)+$O$532</f>
        <v>0.24242424242424251</v>
      </c>
      <c r="P533">
        <f>SMALL(SimData!$D$9:$D$508,25)</f>
        <v>11.444423147417703</v>
      </c>
      <c r="Q533">
        <f>1/(COUNT(SimData!$D$9:$D$508)-1)+$Q$532</f>
        <v>0.24242424242424251</v>
      </c>
    </row>
    <row r="534" spans="12:17">
      <c r="L534">
        <f>SMALL(SimData!$B$9:$B$508,26)</f>
        <v>11.263085095424458</v>
      </c>
      <c r="M534">
        <f>1/(COUNT(SimData!$B$9:$B$508)-1)+$M$533</f>
        <v>0.2525252525252526</v>
      </c>
      <c r="N534">
        <f>SMALL(SimData!$C$9:$C$508,26)</f>
        <v>7.9839809717358063</v>
      </c>
      <c r="O534">
        <f>1/(COUNT(SimData!$C$9:$C$508)-1)+$O$533</f>
        <v>0.2525252525252526</v>
      </c>
      <c r="P534">
        <f>SMALL(SimData!$D$9:$D$508,26)</f>
        <v>11.513820658115163</v>
      </c>
      <c r="Q534">
        <f>1/(COUNT(SimData!$D$9:$D$508)-1)+$Q$533</f>
        <v>0.2525252525252526</v>
      </c>
    </row>
    <row r="535" spans="12:17">
      <c r="L535">
        <f>SMALL(SimData!$B$9:$B$508,27)</f>
        <v>11.320244395132233</v>
      </c>
      <c r="M535">
        <f>1/(COUNT(SimData!$B$9:$B$508)-1)+$M$534</f>
        <v>0.26262626262626271</v>
      </c>
      <c r="N535">
        <f>SMALL(SimData!$C$9:$C$508,27)</f>
        <v>8.0813939751268418</v>
      </c>
      <c r="O535">
        <f>1/(COUNT(SimData!$C$9:$C$508)-1)+$O$534</f>
        <v>0.26262626262626271</v>
      </c>
      <c r="P535">
        <f>SMALL(SimData!$D$9:$D$508,27)</f>
        <v>11.657040865616183</v>
      </c>
      <c r="Q535">
        <f>1/(COUNT(SimData!$D$9:$D$508)-1)+$Q$534</f>
        <v>0.26262626262626271</v>
      </c>
    </row>
    <row r="536" spans="12:17">
      <c r="L536">
        <f>SMALL(SimData!$B$9:$B$508,28)</f>
        <v>11.374898070126049</v>
      </c>
      <c r="M536">
        <f>1/(COUNT(SimData!$B$9:$B$508)-1)+$M$535</f>
        <v>0.27272727272727282</v>
      </c>
      <c r="N536">
        <f>SMALL(SimData!$C$9:$C$508,28)</f>
        <v>8.2305285329226727</v>
      </c>
      <c r="O536">
        <f>1/(COUNT(SimData!$C$9:$C$508)-1)+$O$535</f>
        <v>0.27272727272727282</v>
      </c>
      <c r="P536">
        <f>SMALL(SimData!$D$9:$D$508,28)</f>
        <v>11.733632186272562</v>
      </c>
      <c r="Q536">
        <f>1/(COUNT(SimData!$D$9:$D$508)-1)+$Q$535</f>
        <v>0.27272727272727282</v>
      </c>
    </row>
    <row r="537" spans="12:17">
      <c r="L537">
        <f>SMALL(SimData!$B$9:$B$508,29)</f>
        <v>11.422492094471234</v>
      </c>
      <c r="M537">
        <f>1/(COUNT(SimData!$B$9:$B$508)-1)+$M$536</f>
        <v>0.28282828282828293</v>
      </c>
      <c r="N537">
        <f>SMALL(SimData!$C$9:$C$508,29)</f>
        <v>8.2734039488690616</v>
      </c>
      <c r="O537">
        <f>1/(COUNT(SimData!$C$9:$C$508)-1)+$O$536</f>
        <v>0.28282828282828293</v>
      </c>
      <c r="P537">
        <f>SMALL(SimData!$D$9:$D$508,29)</f>
        <v>11.889943179765238</v>
      </c>
      <c r="Q537">
        <f>1/(COUNT(SimData!$D$9:$D$508)-1)+$Q$536</f>
        <v>0.28282828282828293</v>
      </c>
    </row>
    <row r="538" spans="12:17">
      <c r="L538">
        <f>SMALL(SimData!$B$9:$B$508,30)</f>
        <v>11.487363555069864</v>
      </c>
      <c r="M538">
        <f>1/(COUNT(SimData!$B$9:$B$508)-1)+$M$537</f>
        <v>0.29292929292929304</v>
      </c>
      <c r="N538">
        <f>SMALL(SimData!$C$9:$C$508,30)</f>
        <v>8.3537303000376468</v>
      </c>
      <c r="O538">
        <f>1/(COUNT(SimData!$C$9:$C$508)-1)+$O$537</f>
        <v>0.29292929292929304</v>
      </c>
      <c r="P538">
        <f>SMALL(SimData!$D$9:$D$508,30)</f>
        <v>11.99185967726909</v>
      </c>
      <c r="Q538">
        <f>1/(COUNT(SimData!$D$9:$D$508)-1)+$Q$537</f>
        <v>0.29292929292929304</v>
      </c>
    </row>
    <row r="539" spans="12:17">
      <c r="L539">
        <f>SMALL(SimData!$B$9:$B$508,31)</f>
        <v>11.542162712626663</v>
      </c>
      <c r="M539">
        <f>1/(COUNT(SimData!$B$9:$B$508)-1)+$M$538</f>
        <v>0.30303030303030315</v>
      </c>
      <c r="N539">
        <f>SMALL(SimData!$C$9:$C$508,31)</f>
        <v>8.4324342957228211</v>
      </c>
      <c r="O539">
        <f>1/(COUNT(SimData!$C$9:$C$508)-1)+$O$538</f>
        <v>0.30303030303030315</v>
      </c>
      <c r="P539">
        <f>SMALL(SimData!$D$9:$D$508,31)</f>
        <v>12.046965071569888</v>
      </c>
      <c r="Q539">
        <f>1/(COUNT(SimData!$D$9:$D$508)-1)+$Q$538</f>
        <v>0.30303030303030315</v>
      </c>
    </row>
    <row r="540" spans="12:17">
      <c r="L540">
        <f>SMALL(SimData!$B$9:$B$508,32)</f>
        <v>11.578672454151947</v>
      </c>
      <c r="M540">
        <f>1/(COUNT(SimData!$B$9:$B$508)-1)+$M$539</f>
        <v>0.31313131313131326</v>
      </c>
      <c r="N540">
        <f>SMALL(SimData!$C$9:$C$508,32)</f>
        <v>8.5250083784870156</v>
      </c>
      <c r="O540">
        <f>1/(COUNT(SimData!$C$9:$C$508)-1)+$O$539</f>
        <v>0.31313131313131326</v>
      </c>
      <c r="P540">
        <f>SMALL(SimData!$D$9:$D$508,32)</f>
        <v>12.092389924892316</v>
      </c>
      <c r="Q540">
        <f>1/(COUNT(SimData!$D$9:$D$508)-1)+$Q$539</f>
        <v>0.31313131313131326</v>
      </c>
    </row>
    <row r="541" spans="12:17">
      <c r="L541">
        <f>SMALL(SimData!$B$9:$B$508,33)</f>
        <v>11.609127815093176</v>
      </c>
      <c r="M541">
        <f>1/(COUNT(SimData!$B$9:$B$508)-1)+$M$540</f>
        <v>0.32323232323232337</v>
      </c>
      <c r="N541">
        <f>SMALL(SimData!$C$9:$C$508,33)</f>
        <v>8.6133488438755688</v>
      </c>
      <c r="O541">
        <f>1/(COUNT(SimData!$C$9:$C$508)-1)+$O$540</f>
        <v>0.32323232323232337</v>
      </c>
      <c r="P541">
        <f>SMALL(SimData!$D$9:$D$508,33)</f>
        <v>12.140215626321783</v>
      </c>
      <c r="Q541">
        <f>1/(COUNT(SimData!$D$9:$D$508)-1)+$Q$540</f>
        <v>0.32323232323232337</v>
      </c>
    </row>
    <row r="542" spans="12:17">
      <c r="L542">
        <f>SMALL(SimData!$B$9:$B$508,34)</f>
        <v>11.668462767467942</v>
      </c>
      <c r="M542">
        <f>1/(COUNT(SimData!$B$9:$B$508)-1)+$M$541</f>
        <v>0.33333333333333348</v>
      </c>
      <c r="N542">
        <f>SMALL(SimData!$C$9:$C$508,34)</f>
        <v>8.7351826494724438</v>
      </c>
      <c r="O542">
        <f>1/(COUNT(SimData!$C$9:$C$508)-1)+$O$541</f>
        <v>0.33333333333333348</v>
      </c>
      <c r="P542">
        <f>SMALL(SimData!$D$9:$D$508,34)</f>
        <v>12.18776910301246</v>
      </c>
      <c r="Q542">
        <f>1/(COUNT(SimData!$D$9:$D$508)-1)+$Q$541</f>
        <v>0.33333333333333348</v>
      </c>
    </row>
    <row r="543" spans="12:17">
      <c r="L543">
        <f>SMALL(SimData!$B$9:$B$508,35)</f>
        <v>11.713764651902896</v>
      </c>
      <c r="M543">
        <f>1/(COUNT(SimData!$B$9:$B$508)-1)+$M$542</f>
        <v>0.34343434343434359</v>
      </c>
      <c r="N543">
        <f>SMALL(SimData!$C$9:$C$508,35)</f>
        <v>8.8210078917323731</v>
      </c>
      <c r="O543">
        <f>1/(COUNT(SimData!$C$9:$C$508)-1)+$O$542</f>
        <v>0.34343434343434359</v>
      </c>
      <c r="P543">
        <f>SMALL(SimData!$D$9:$D$508,35)</f>
        <v>12.225183396501276</v>
      </c>
      <c r="Q543">
        <f>1/(COUNT(SimData!$D$9:$D$508)-1)+$Q$542</f>
        <v>0.34343434343434359</v>
      </c>
    </row>
    <row r="544" spans="12:17">
      <c r="L544">
        <f>SMALL(SimData!$B$9:$B$508,36)</f>
        <v>11.797763113770113</v>
      </c>
      <c r="M544">
        <f>1/(COUNT(SimData!$B$9:$B$508)-1)+$M$543</f>
        <v>0.3535353535353537</v>
      </c>
      <c r="N544">
        <f>SMALL(SimData!$C$9:$C$508,36)</f>
        <v>8.8576608798521583</v>
      </c>
      <c r="O544">
        <f>1/(COUNT(SimData!$C$9:$C$508)-1)+$O$543</f>
        <v>0.3535353535353537</v>
      </c>
      <c r="P544">
        <f>SMALL(SimData!$D$9:$D$508,36)</f>
        <v>12.277885238937541</v>
      </c>
      <c r="Q544">
        <f>1/(COUNT(SimData!$D$9:$D$508)-1)+$Q$543</f>
        <v>0.3535353535353537</v>
      </c>
    </row>
    <row r="545" spans="12:17">
      <c r="L545">
        <f>SMALL(SimData!$B$9:$B$508,37)</f>
        <v>11.8492874238522</v>
      </c>
      <c r="M545">
        <f>1/(COUNT(SimData!$B$9:$B$508)-1)+$M$544</f>
        <v>0.36363636363636381</v>
      </c>
      <c r="N545">
        <f>SMALL(SimData!$C$9:$C$508,37)</f>
        <v>8.9328960627947183</v>
      </c>
      <c r="O545">
        <f>1/(COUNT(SimData!$C$9:$C$508)-1)+$O$544</f>
        <v>0.36363636363636381</v>
      </c>
      <c r="P545">
        <f>SMALL(SimData!$D$9:$D$508,37)</f>
        <v>12.336018177211754</v>
      </c>
      <c r="Q545">
        <f>1/(COUNT(SimData!$D$9:$D$508)-1)+$Q$544</f>
        <v>0.36363636363636381</v>
      </c>
    </row>
    <row r="546" spans="12:17">
      <c r="L546">
        <f>SMALL(SimData!$B$9:$B$508,38)</f>
        <v>11.879984511116051</v>
      </c>
      <c r="M546">
        <f>1/(COUNT(SimData!$B$9:$B$508)-1)+$M$545</f>
        <v>0.37373737373737392</v>
      </c>
      <c r="N546">
        <f>SMALL(SimData!$C$9:$C$508,38)</f>
        <v>9.018375623798855</v>
      </c>
      <c r="O546">
        <f>1/(COUNT(SimData!$C$9:$C$508)-1)+$O$545</f>
        <v>0.37373737373737392</v>
      </c>
      <c r="P546">
        <f>SMALL(SimData!$D$9:$D$508,38)</f>
        <v>12.380859532878002</v>
      </c>
      <c r="Q546">
        <f>1/(COUNT(SimData!$D$9:$D$508)-1)+$Q$545</f>
        <v>0.37373737373737392</v>
      </c>
    </row>
    <row r="547" spans="12:17">
      <c r="L547">
        <f>SMALL(SimData!$B$9:$B$508,39)</f>
        <v>11.913201529186498</v>
      </c>
      <c r="M547">
        <f>1/(COUNT(SimData!$B$9:$B$508)-1)+$M$546</f>
        <v>0.38383838383838403</v>
      </c>
      <c r="N547">
        <f>SMALL(SimData!$C$9:$C$508,39)</f>
        <v>9.1198448267533259</v>
      </c>
      <c r="O547">
        <f>1/(COUNT(SimData!$C$9:$C$508)-1)+$O$546</f>
        <v>0.38383838383838403</v>
      </c>
      <c r="P547">
        <f>SMALL(SimData!$D$9:$D$508,39)</f>
        <v>12.401138254022491</v>
      </c>
      <c r="Q547">
        <f>1/(COUNT(SimData!$D$9:$D$508)-1)+$Q$546</f>
        <v>0.38383838383838403</v>
      </c>
    </row>
    <row r="548" spans="12:17">
      <c r="L548">
        <f>SMALL(SimData!$B$9:$B$508,40)</f>
        <v>11.970332008209157</v>
      </c>
      <c r="M548">
        <f>1/(COUNT(SimData!$B$9:$B$508)-1)+$M$547</f>
        <v>0.39393939393939414</v>
      </c>
      <c r="N548">
        <f>SMALL(SimData!$C$9:$C$508,40)</f>
        <v>9.2264289875222634</v>
      </c>
      <c r="O548">
        <f>1/(COUNT(SimData!$C$9:$C$508)-1)+$O$547</f>
        <v>0.39393939393939414</v>
      </c>
      <c r="P548">
        <f>SMALL(SimData!$D$9:$D$508,40)</f>
        <v>12.460208985549446</v>
      </c>
      <c r="Q548">
        <f>1/(COUNT(SimData!$D$9:$D$508)-1)+$Q$547</f>
        <v>0.39393939393939414</v>
      </c>
    </row>
    <row r="549" spans="12:17">
      <c r="L549">
        <f>SMALL(SimData!$B$9:$B$508,41)</f>
        <v>12.015218186894248</v>
      </c>
      <c r="M549">
        <f>1/(COUNT(SimData!$B$9:$B$508)-1)+$M$548</f>
        <v>0.40404040404040426</v>
      </c>
      <c r="N549">
        <f>SMALL(SimData!$C$9:$C$508,41)</f>
        <v>9.3139276261699688</v>
      </c>
      <c r="O549">
        <f>1/(COUNT(SimData!$C$9:$C$508)-1)+$O$548</f>
        <v>0.40404040404040426</v>
      </c>
      <c r="P549">
        <f>SMALL(SimData!$D$9:$D$508,41)</f>
        <v>12.543604935494626</v>
      </c>
      <c r="Q549">
        <f>1/(COUNT(SimData!$D$9:$D$508)-1)+$Q$548</f>
        <v>0.40404040404040426</v>
      </c>
    </row>
    <row r="550" spans="12:17">
      <c r="L550">
        <f>SMALL(SimData!$B$9:$B$508,42)</f>
        <v>12.09232904555796</v>
      </c>
      <c r="M550">
        <f>1/(COUNT(SimData!$B$9:$B$508)-1)+$M$549</f>
        <v>0.41414141414141437</v>
      </c>
      <c r="N550">
        <f>SMALL(SimData!$C$9:$C$508,42)</f>
        <v>9.3827018610166775</v>
      </c>
      <c r="O550">
        <f>1/(COUNT(SimData!$C$9:$C$508)-1)+$O$549</f>
        <v>0.41414141414141437</v>
      </c>
      <c r="P550">
        <f>SMALL(SimData!$D$9:$D$508,42)</f>
        <v>12.584955354310795</v>
      </c>
      <c r="Q550">
        <f>1/(COUNT(SimData!$D$9:$D$508)-1)+$Q$549</f>
        <v>0.41414141414141437</v>
      </c>
    </row>
    <row r="551" spans="12:17">
      <c r="L551">
        <f>SMALL(SimData!$B$9:$B$508,43)</f>
        <v>12.10247564076038</v>
      </c>
      <c r="M551">
        <f>1/(COUNT(SimData!$B$9:$B$508)-1)+$M$550</f>
        <v>0.42424242424242448</v>
      </c>
      <c r="N551">
        <f>SMALL(SimData!$C$9:$C$508,43)</f>
        <v>9.4524833438450617</v>
      </c>
      <c r="O551">
        <f>1/(COUNT(SimData!$C$9:$C$508)-1)+$O$550</f>
        <v>0.42424242424242448</v>
      </c>
      <c r="P551">
        <f>SMALL(SimData!$D$9:$D$508,43)</f>
        <v>12.643479757032702</v>
      </c>
      <c r="Q551">
        <f>1/(COUNT(SimData!$D$9:$D$508)-1)+$Q$550</f>
        <v>0.42424242424242448</v>
      </c>
    </row>
    <row r="552" spans="12:17">
      <c r="L552">
        <f>SMALL(SimData!$B$9:$B$508,44)</f>
        <v>12.179156885209762</v>
      </c>
      <c r="M552">
        <f>1/(COUNT(SimData!$B$9:$B$508)-1)+$M$551</f>
        <v>0.43434343434343459</v>
      </c>
      <c r="N552">
        <f>SMALL(SimData!$C$9:$C$508,44)</f>
        <v>9.4907582918520195</v>
      </c>
      <c r="O552">
        <f>1/(COUNT(SimData!$C$9:$C$508)-1)+$O$551</f>
        <v>0.43434343434343459</v>
      </c>
      <c r="P552">
        <f>SMALL(SimData!$D$9:$D$508,44)</f>
        <v>12.663548304725799</v>
      </c>
      <c r="Q552">
        <f>1/(COUNT(SimData!$D$9:$D$508)-1)+$Q$551</f>
        <v>0.43434343434343459</v>
      </c>
    </row>
    <row r="553" spans="12:17">
      <c r="L553">
        <f>SMALL(SimData!$B$9:$B$508,45)</f>
        <v>12.233818201588889</v>
      </c>
      <c r="M553">
        <f>1/(COUNT(SimData!$B$9:$B$508)-1)+$M$552</f>
        <v>0.4444444444444447</v>
      </c>
      <c r="N553">
        <f>SMALL(SimData!$C$9:$C$508,45)</f>
        <v>9.6102876505999983</v>
      </c>
      <c r="O553">
        <f>1/(COUNT(SimData!$C$9:$C$508)-1)+$O$552</f>
        <v>0.4444444444444447</v>
      </c>
      <c r="P553">
        <f>SMALL(SimData!$D$9:$D$508,45)</f>
        <v>12.708592253133792</v>
      </c>
      <c r="Q553">
        <f>1/(COUNT(SimData!$D$9:$D$508)-1)+$Q$552</f>
        <v>0.4444444444444447</v>
      </c>
    </row>
    <row r="554" spans="12:17">
      <c r="L554">
        <f>SMALL(SimData!$B$9:$B$508,46)</f>
        <v>12.264523750244296</v>
      </c>
      <c r="M554">
        <f>1/(COUNT(SimData!$B$9:$B$508)-1)+$M$553</f>
        <v>0.45454545454545481</v>
      </c>
      <c r="N554">
        <f>SMALL(SimData!$C$9:$C$508,46)</f>
        <v>9.653298749316793</v>
      </c>
      <c r="O554">
        <f>1/(COUNT(SimData!$C$9:$C$508)-1)+$O$553</f>
        <v>0.45454545454545481</v>
      </c>
      <c r="P554">
        <f>SMALL(SimData!$D$9:$D$508,46)</f>
        <v>12.763698429931816</v>
      </c>
      <c r="Q554">
        <f>1/(COUNT(SimData!$D$9:$D$508)-1)+$Q$553</f>
        <v>0.45454545454545481</v>
      </c>
    </row>
    <row r="555" spans="12:17">
      <c r="L555">
        <f>SMALL(SimData!$B$9:$B$508,47)</f>
        <v>12.308913936339998</v>
      </c>
      <c r="M555">
        <f>1/(COUNT(SimData!$B$9:$B$508)-1)+$M$554</f>
        <v>0.46464646464646492</v>
      </c>
      <c r="N555">
        <f>SMALL(SimData!$C$9:$C$508,47)</f>
        <v>9.7337866376985875</v>
      </c>
      <c r="O555">
        <f>1/(COUNT(SimData!$C$9:$C$508)-1)+$O$554</f>
        <v>0.46464646464646492</v>
      </c>
      <c r="P555">
        <f>SMALL(SimData!$D$9:$D$508,47)</f>
        <v>12.825309354154232</v>
      </c>
      <c r="Q555">
        <f>1/(COUNT(SimData!$D$9:$D$508)-1)+$Q$554</f>
        <v>0.46464646464646492</v>
      </c>
    </row>
    <row r="556" spans="12:17">
      <c r="L556">
        <f>SMALL(SimData!$B$9:$B$508,48)</f>
        <v>12.360640980468746</v>
      </c>
      <c r="M556">
        <f>1/(COUNT(SimData!$B$9:$B$508)-1)+$M$555</f>
        <v>0.47474747474747503</v>
      </c>
      <c r="N556">
        <f>SMALL(SimData!$C$9:$C$508,48)</f>
        <v>9.7815322025954181</v>
      </c>
      <c r="O556">
        <f>1/(COUNT(SimData!$C$9:$C$508)-1)+$O$555</f>
        <v>0.47474747474747503</v>
      </c>
      <c r="P556">
        <f>SMALL(SimData!$D$9:$D$508,48)</f>
        <v>12.870277615874139</v>
      </c>
      <c r="Q556">
        <f>1/(COUNT(SimData!$D$9:$D$508)-1)+$Q$555</f>
        <v>0.47474747474747503</v>
      </c>
    </row>
    <row r="557" spans="12:17">
      <c r="L557">
        <f>SMALL(SimData!$B$9:$B$508,49)</f>
        <v>12.419814625608225</v>
      </c>
      <c r="M557">
        <f>1/(COUNT(SimData!$B$9:$B$508)-1)+$M$556</f>
        <v>0.48484848484848514</v>
      </c>
      <c r="N557">
        <f>SMALL(SimData!$C$9:$C$508,49)</f>
        <v>9.8643472083522283</v>
      </c>
      <c r="O557">
        <f>1/(COUNT(SimData!$C$9:$C$508)-1)+$O$556</f>
        <v>0.48484848484848514</v>
      </c>
      <c r="P557">
        <f>SMALL(SimData!$D$9:$D$508,49)</f>
        <v>12.912051616809809</v>
      </c>
      <c r="Q557">
        <f>1/(COUNT(SimData!$D$9:$D$508)-1)+$Q$556</f>
        <v>0.48484848484848514</v>
      </c>
    </row>
    <row r="558" spans="12:17">
      <c r="L558">
        <f>SMALL(SimData!$B$9:$B$508,50)</f>
        <v>12.480709207216442</v>
      </c>
      <c r="M558">
        <f>1/(COUNT(SimData!$B$9:$B$508)-1)+$M$557</f>
        <v>0.49494949494949525</v>
      </c>
      <c r="N558">
        <f>SMALL(SimData!$C$9:$C$508,50)</f>
        <v>9.9785814066562661</v>
      </c>
      <c r="O558">
        <f>1/(COUNT(SimData!$C$9:$C$508)-1)+$O$557</f>
        <v>0.49494949494949525</v>
      </c>
      <c r="P558">
        <f>SMALL(SimData!$D$9:$D$508,50)</f>
        <v>12.956972768625006</v>
      </c>
      <c r="Q558">
        <f>1/(COUNT(SimData!$D$9:$D$508)-1)+$Q$557</f>
        <v>0.49494949494949525</v>
      </c>
    </row>
    <row r="559" spans="12:17">
      <c r="L559">
        <f>SMALL(SimData!$B$9:$B$508,51)</f>
        <v>12.509337163357841</v>
      </c>
      <c r="M559">
        <f>1/(COUNT(SimData!$B$9:$B$508)-1)+$M$558</f>
        <v>0.50505050505050531</v>
      </c>
      <c r="N559">
        <f>SMALL(SimData!$C$9:$C$508,51)</f>
        <v>10.005786818826511</v>
      </c>
      <c r="O559">
        <f>1/(COUNT(SimData!$C$9:$C$508)-1)+$O$558</f>
        <v>0.50505050505050531</v>
      </c>
      <c r="P559">
        <f>SMALL(SimData!$D$9:$D$508,51)</f>
        <v>13.04185022976991</v>
      </c>
      <c r="Q559">
        <f>1/(COUNT(SimData!$D$9:$D$508)-1)+$Q$558</f>
        <v>0.50505050505050531</v>
      </c>
    </row>
    <row r="560" spans="12:17">
      <c r="L560">
        <f>SMALL(SimData!$B$9:$B$508,52)</f>
        <v>12.576958215405922</v>
      </c>
      <c r="M560">
        <f>1/(COUNT(SimData!$B$9:$B$508)-1)+$M$559</f>
        <v>0.51515151515151536</v>
      </c>
      <c r="N560">
        <f>SMALL(SimData!$C$9:$C$508,52)</f>
        <v>10.084093425932732</v>
      </c>
      <c r="O560">
        <f>1/(COUNT(SimData!$C$9:$C$508)-1)+$O$559</f>
        <v>0.51515151515151536</v>
      </c>
      <c r="P560">
        <f>SMALL(SimData!$D$9:$D$508,52)</f>
        <v>13.056345828228245</v>
      </c>
      <c r="Q560">
        <f>1/(COUNT(SimData!$D$9:$D$508)-1)+$Q$559</f>
        <v>0.51515151515151536</v>
      </c>
    </row>
    <row r="561" spans="12:17">
      <c r="L561">
        <f>SMALL(SimData!$B$9:$B$508,53)</f>
        <v>12.608001380217727</v>
      </c>
      <c r="M561">
        <f>1/(COUNT(SimData!$B$9:$B$508)-1)+$M$560</f>
        <v>0.52525252525252542</v>
      </c>
      <c r="N561">
        <f>SMALL(SimData!$C$9:$C$508,53)</f>
        <v>10.171220169434212</v>
      </c>
      <c r="O561">
        <f>1/(COUNT(SimData!$C$9:$C$508)-1)+$O$560</f>
        <v>0.52525252525252542</v>
      </c>
      <c r="P561">
        <f>SMALL(SimData!$D$9:$D$508,53)</f>
        <v>13.149470920476473</v>
      </c>
      <c r="Q561">
        <f>1/(COUNT(SimData!$D$9:$D$508)-1)+$Q$560</f>
        <v>0.52525252525252542</v>
      </c>
    </row>
    <row r="562" spans="12:17">
      <c r="L562">
        <f>SMALL(SimData!$B$9:$B$508,54)</f>
        <v>12.689191866977882</v>
      </c>
      <c r="M562">
        <f>1/(COUNT(SimData!$B$9:$B$508)-1)+$M$561</f>
        <v>0.53535353535353547</v>
      </c>
      <c r="N562">
        <f>SMALL(SimData!$C$9:$C$508,54)</f>
        <v>10.297233237686958</v>
      </c>
      <c r="O562">
        <f>1/(COUNT(SimData!$C$9:$C$508)-1)+$O$561</f>
        <v>0.53535353535353547</v>
      </c>
      <c r="P562">
        <f>SMALL(SimData!$D$9:$D$508,54)</f>
        <v>13.160922589784237</v>
      </c>
      <c r="Q562">
        <f>1/(COUNT(SimData!$D$9:$D$508)-1)+$Q$561</f>
        <v>0.53535353535353547</v>
      </c>
    </row>
    <row r="563" spans="12:17">
      <c r="L563">
        <f>SMALL(SimData!$B$9:$B$508,55)</f>
        <v>12.733099635605026</v>
      </c>
      <c r="M563">
        <f>1/(COUNT(SimData!$B$9:$B$508)-1)+$M$562</f>
        <v>0.54545454545454553</v>
      </c>
      <c r="N563">
        <f>SMALL(SimData!$C$9:$C$508,55)</f>
        <v>10.342305524357363</v>
      </c>
      <c r="O563">
        <f>1/(COUNT(SimData!$C$9:$C$508)-1)+$O$562</f>
        <v>0.54545454545454553</v>
      </c>
      <c r="P563">
        <f>SMALL(SimData!$D$9:$D$508,55)</f>
        <v>13.249003656522605</v>
      </c>
      <c r="Q563">
        <f>1/(COUNT(SimData!$D$9:$D$508)-1)+$Q$562</f>
        <v>0.54545454545454553</v>
      </c>
    </row>
    <row r="564" spans="12:17">
      <c r="L564">
        <f>SMALL(SimData!$B$9:$B$508,56)</f>
        <v>12.789202823778428</v>
      </c>
      <c r="M564">
        <f>1/(COUNT(SimData!$B$9:$B$508)-1)+$M$563</f>
        <v>0.55555555555555558</v>
      </c>
      <c r="N564">
        <f>SMALL(SimData!$C$9:$C$508,56)</f>
        <v>10.442859012594118</v>
      </c>
      <c r="O564">
        <f>1/(COUNT(SimData!$C$9:$C$508)-1)+$O$563</f>
        <v>0.55555555555555558</v>
      </c>
      <c r="P564">
        <f>SMALL(SimData!$D$9:$D$508,56)</f>
        <v>13.285163983687564</v>
      </c>
      <c r="Q564">
        <f>1/(COUNT(SimData!$D$9:$D$508)-1)+$Q$563</f>
        <v>0.55555555555555558</v>
      </c>
    </row>
    <row r="565" spans="12:17">
      <c r="L565">
        <f>SMALL(SimData!$B$9:$B$508,57)</f>
        <v>12.848608581733099</v>
      </c>
      <c r="M565">
        <f>1/(COUNT(SimData!$B$9:$B$508)-1)+$M$564</f>
        <v>0.56565656565656564</v>
      </c>
      <c r="N565">
        <f>SMALL(SimData!$C$9:$C$508,57)</f>
        <v>10.509543510274657</v>
      </c>
      <c r="O565">
        <f>1/(COUNT(SimData!$C$9:$C$508)-1)+$O$564</f>
        <v>0.56565656565656564</v>
      </c>
      <c r="P565">
        <f>SMALL(SimData!$D$9:$D$508,57)</f>
        <v>13.315732147373662</v>
      </c>
      <c r="Q565">
        <f>1/(COUNT(SimData!$D$9:$D$508)-1)+$Q$564</f>
        <v>0.56565656565656564</v>
      </c>
    </row>
    <row r="566" spans="12:17">
      <c r="L566">
        <f>SMALL(SimData!$B$9:$B$508,58)</f>
        <v>12.874042659817274</v>
      </c>
      <c r="M566">
        <f>1/(COUNT(SimData!$B$9:$B$508)-1)+$M$565</f>
        <v>0.57575757575757569</v>
      </c>
      <c r="N566">
        <f>SMALL(SimData!$C$9:$C$508,58)</f>
        <v>10.600316773162481</v>
      </c>
      <c r="O566">
        <f>1/(COUNT(SimData!$C$9:$C$508)-1)+$O$565</f>
        <v>0.57575757575757569</v>
      </c>
      <c r="P566">
        <f>SMALL(SimData!$D$9:$D$508,58)</f>
        <v>13.374356794409536</v>
      </c>
      <c r="Q566">
        <f>1/(COUNT(SimData!$D$9:$D$508)-1)+$Q$565</f>
        <v>0.57575757575757569</v>
      </c>
    </row>
    <row r="567" spans="12:17">
      <c r="L567">
        <f>SMALL(SimData!$B$9:$B$508,59)</f>
        <v>12.934960736563653</v>
      </c>
      <c r="M567">
        <f>1/(COUNT(SimData!$B$9:$B$508)-1)+$M$566</f>
        <v>0.58585858585858575</v>
      </c>
      <c r="N567">
        <f>SMALL(SimData!$C$9:$C$508,59)</f>
        <v>10.627943104619417</v>
      </c>
      <c r="O567">
        <f>1/(COUNT(SimData!$C$9:$C$508)-1)+$O$566</f>
        <v>0.58585858585858575</v>
      </c>
      <c r="P567">
        <f>SMALL(SimData!$D$9:$D$508,59)</f>
        <v>13.430451918714786</v>
      </c>
      <c r="Q567">
        <f>1/(COUNT(SimData!$D$9:$D$508)-1)+$Q$566</f>
        <v>0.58585858585858575</v>
      </c>
    </row>
    <row r="568" spans="12:17">
      <c r="L568">
        <f>SMALL(SimData!$B$9:$B$508,60)</f>
        <v>12.957256866597398</v>
      </c>
      <c r="M568">
        <f>1/(COUNT(SimData!$B$9:$B$508)-1)+$M$567</f>
        <v>0.5959595959595958</v>
      </c>
      <c r="N568">
        <f>SMALL(SimData!$C$9:$C$508,60)</f>
        <v>10.753864476693545</v>
      </c>
      <c r="O568">
        <f>1/(COUNT(SimData!$C$9:$C$508)-1)+$O$567</f>
        <v>0.5959595959595958</v>
      </c>
      <c r="P568">
        <f>SMALL(SimData!$D$9:$D$508,60)</f>
        <v>13.464551200930623</v>
      </c>
      <c r="Q568">
        <f>1/(COUNT(SimData!$D$9:$D$508)-1)+$Q$567</f>
        <v>0.5959595959595958</v>
      </c>
    </row>
    <row r="569" spans="12:17">
      <c r="L569">
        <f>SMALL(SimData!$B$9:$B$508,61)</f>
        <v>13.013203277849406</v>
      </c>
      <c r="M569">
        <f>1/(COUNT(SimData!$B$9:$B$508)-1)+$M$568</f>
        <v>0.60606060606060586</v>
      </c>
      <c r="N569">
        <f>SMALL(SimData!$C$9:$C$508,61)</f>
        <v>10.824068675373706</v>
      </c>
      <c r="O569">
        <f>1/(COUNT(SimData!$C$9:$C$508)-1)+$O$568</f>
        <v>0.60606060606060586</v>
      </c>
      <c r="P569">
        <f>SMALL(SimData!$D$9:$D$508,61)</f>
        <v>13.527262841276187</v>
      </c>
      <c r="Q569">
        <f>1/(COUNT(SimData!$D$9:$D$508)-1)+$Q$568</f>
        <v>0.60606060606060586</v>
      </c>
    </row>
    <row r="570" spans="12:17">
      <c r="L570">
        <f>SMALL(SimData!$B$9:$B$508,62)</f>
        <v>13.09744565756932</v>
      </c>
      <c r="M570">
        <f>1/(COUNT(SimData!$B$9:$B$508)-1)+$M$569</f>
        <v>0.61616161616161591</v>
      </c>
      <c r="N570">
        <f>SMALL(SimData!$C$9:$C$508,62)</f>
        <v>10.89373087953753</v>
      </c>
      <c r="O570">
        <f>1/(COUNT(SimData!$C$9:$C$508)-1)+$O$569</f>
        <v>0.61616161616161591</v>
      </c>
      <c r="P570">
        <f>SMALL(SimData!$D$9:$D$508,62)</f>
        <v>13.594299471307149</v>
      </c>
      <c r="Q570">
        <f>1/(COUNT(SimData!$D$9:$D$508)-1)+$Q$569</f>
        <v>0.61616161616161591</v>
      </c>
    </row>
    <row r="571" spans="12:17">
      <c r="L571">
        <f>SMALL(SimData!$B$9:$B$508,63)</f>
        <v>13.145329192524153</v>
      </c>
      <c r="M571">
        <f>1/(COUNT(SimData!$B$9:$B$508)-1)+$M$570</f>
        <v>0.62626262626262597</v>
      </c>
      <c r="N571">
        <f>SMALL(SimData!$C$9:$C$508,63)</f>
        <v>10.978171758418561</v>
      </c>
      <c r="O571">
        <f>1/(COUNT(SimData!$C$9:$C$508)-1)+$O$570</f>
        <v>0.62626262626262597</v>
      </c>
      <c r="P571">
        <f>SMALL(SimData!$D$9:$D$508,63)</f>
        <v>13.609421023169864</v>
      </c>
      <c r="Q571">
        <f>1/(COUNT(SimData!$D$9:$D$508)-1)+$Q$570</f>
        <v>0.62626262626262597</v>
      </c>
    </row>
    <row r="572" spans="12:17">
      <c r="L572">
        <f>SMALL(SimData!$B$9:$B$508,64)</f>
        <v>13.17511649111405</v>
      </c>
      <c r="M572">
        <f>1/(COUNT(SimData!$B$9:$B$508)-1)+$M$571</f>
        <v>0.63636363636363602</v>
      </c>
      <c r="N572">
        <f>SMALL(SimData!$C$9:$C$508,64)</f>
        <v>11.015084844845894</v>
      </c>
      <c r="O572">
        <f>1/(COUNT(SimData!$C$9:$C$508)-1)+$O$571</f>
        <v>0.63636363636363602</v>
      </c>
      <c r="P572">
        <f>SMALL(SimData!$D$9:$D$508,64)</f>
        <v>13.687330521535438</v>
      </c>
      <c r="Q572">
        <f>1/(COUNT(SimData!$D$9:$D$508)-1)+$Q$571</f>
        <v>0.63636363636363602</v>
      </c>
    </row>
    <row r="573" spans="12:17">
      <c r="L573">
        <f>SMALL(SimData!$B$9:$B$508,65)</f>
        <v>13.22899844251317</v>
      </c>
      <c r="M573">
        <f>1/(COUNT(SimData!$B$9:$B$508)-1)+$M$572</f>
        <v>0.64646464646464608</v>
      </c>
      <c r="N573">
        <f>SMALL(SimData!$C$9:$C$508,65)</f>
        <v>11.094212503490963</v>
      </c>
      <c r="O573">
        <f>1/(COUNT(SimData!$C$9:$C$508)-1)+$O$572</f>
        <v>0.64646464646464608</v>
      </c>
      <c r="P573">
        <f>SMALL(SimData!$D$9:$D$508,65)</f>
        <v>13.72336027882373</v>
      </c>
      <c r="Q573">
        <f>1/(COUNT(SimData!$D$9:$D$508)-1)+$Q$572</f>
        <v>0.64646464646464608</v>
      </c>
    </row>
    <row r="574" spans="12:17">
      <c r="L574">
        <f>SMALL(SimData!$B$9:$B$508,66)</f>
        <v>13.272709192864761</v>
      </c>
      <c r="M574">
        <f>1/(COUNT(SimData!$B$9:$B$508)-1)+$M$573</f>
        <v>0.65656565656565613</v>
      </c>
      <c r="N574">
        <f>SMALL(SimData!$C$9:$C$508,66)</f>
        <v>11.211380818798222</v>
      </c>
      <c r="O574">
        <f>1/(COUNT(SimData!$C$9:$C$508)-1)+$O$573</f>
        <v>0.65656565656565613</v>
      </c>
      <c r="P574">
        <f>SMALL(SimData!$D$9:$D$508,66)</f>
        <v>13.781933122205533</v>
      </c>
      <c r="Q574">
        <f>1/(COUNT(SimData!$D$9:$D$508)-1)+$Q$573</f>
        <v>0.65656565656565613</v>
      </c>
    </row>
    <row r="575" spans="12:17">
      <c r="L575">
        <f>SMALL(SimData!$B$9:$B$508,67)</f>
        <v>13.332904593735678</v>
      </c>
      <c r="M575">
        <f>1/(COUNT(SimData!$B$9:$B$508)-1)+$M$574</f>
        <v>0.66666666666666619</v>
      </c>
      <c r="N575">
        <f>SMALL(SimData!$C$9:$C$508,67)</f>
        <v>11.243242839026735</v>
      </c>
      <c r="O575">
        <f>1/(COUNT(SimData!$C$9:$C$508)-1)+$O$574</f>
        <v>0.66666666666666619</v>
      </c>
      <c r="P575">
        <f>SMALL(SimData!$D$9:$D$508,67)</f>
        <v>13.808248800332251</v>
      </c>
      <c r="Q575">
        <f>1/(COUNT(SimData!$D$9:$D$508)-1)+$Q$574</f>
        <v>0.66666666666666619</v>
      </c>
    </row>
    <row r="576" spans="12:17">
      <c r="L576">
        <f>SMALL(SimData!$B$9:$B$508,68)</f>
        <v>13.360883473875207</v>
      </c>
      <c r="M576">
        <f>1/(COUNT(SimData!$B$9:$B$508)-1)+$M$575</f>
        <v>0.67676767676767624</v>
      </c>
      <c r="N576">
        <f>SMALL(SimData!$C$9:$C$508,68)</f>
        <v>11.381981037942056</v>
      </c>
      <c r="O576">
        <f>1/(COUNT(SimData!$C$9:$C$508)-1)+$O$575</f>
        <v>0.67676767676767624</v>
      </c>
      <c r="P576">
        <f>SMALL(SimData!$D$9:$D$508,68)</f>
        <v>13.892279237553542</v>
      </c>
      <c r="Q576">
        <f>1/(COUNT(SimData!$D$9:$D$508)-1)+$Q$575</f>
        <v>0.67676767676767624</v>
      </c>
    </row>
    <row r="577" spans="12:17">
      <c r="L577">
        <f>SMALL(SimData!$B$9:$B$508,69)</f>
        <v>13.443790816968258</v>
      </c>
      <c r="M577">
        <f>1/(COUNT(SimData!$B$9:$B$508)-1)+$M$576</f>
        <v>0.6868686868686863</v>
      </c>
      <c r="N577">
        <f>SMALL(SimData!$C$9:$C$508,69)</f>
        <v>11.462036772840918</v>
      </c>
      <c r="O577">
        <f>1/(COUNT(SimData!$C$9:$C$508)-1)+$O$576</f>
        <v>0.6868686868686863</v>
      </c>
      <c r="P577">
        <f>SMALL(SimData!$D$9:$D$508,69)</f>
        <v>13.916169066847342</v>
      </c>
      <c r="Q577">
        <f>1/(COUNT(SimData!$D$9:$D$508)-1)+$Q$576</f>
        <v>0.6868686868686863</v>
      </c>
    </row>
    <row r="578" spans="12:17">
      <c r="L578">
        <f>SMALL(SimData!$B$9:$B$508,70)</f>
        <v>13.462240656351726</v>
      </c>
      <c r="M578">
        <f>1/(COUNT(SimData!$B$9:$B$508)-1)+$M$577</f>
        <v>0.69696969696969635</v>
      </c>
      <c r="N578">
        <f>SMALL(SimData!$C$9:$C$508,70)</f>
        <v>11.493578404289661</v>
      </c>
      <c r="O578">
        <f>1/(COUNT(SimData!$C$9:$C$508)-1)+$O$577</f>
        <v>0.69696969696969635</v>
      </c>
      <c r="P578">
        <f>SMALL(SimData!$D$9:$D$508,70)</f>
        <v>13.982112630371031</v>
      </c>
      <c r="Q578">
        <f>1/(COUNT(SimData!$D$9:$D$508)-1)+$Q$577</f>
        <v>0.69696969696969635</v>
      </c>
    </row>
    <row r="579" spans="12:17">
      <c r="L579">
        <f>SMALL(SimData!$B$9:$B$508,71)</f>
        <v>13.510628321350232</v>
      </c>
      <c r="M579">
        <f>1/(COUNT(SimData!$B$9:$B$508)-1)+$M$578</f>
        <v>0.70707070707070641</v>
      </c>
      <c r="N579">
        <f>SMALL(SimData!$C$9:$C$508,71)</f>
        <v>11.594320578282918</v>
      </c>
      <c r="O579">
        <f>1/(COUNT(SimData!$C$9:$C$508)-1)+$O$578</f>
        <v>0.70707070707070641</v>
      </c>
      <c r="P579">
        <f>SMALL(SimData!$D$9:$D$508,71)</f>
        <v>14.026460495387777</v>
      </c>
      <c r="Q579">
        <f>1/(COUNT(SimData!$D$9:$D$508)-1)+$Q$578</f>
        <v>0.70707070707070641</v>
      </c>
    </row>
    <row r="580" spans="12:17">
      <c r="L580">
        <f>SMALL(SimData!$B$9:$B$508,72)</f>
        <v>13.556353388716548</v>
      </c>
      <c r="M580">
        <f>1/(COUNT(SimData!$B$9:$B$508)-1)+$M$579</f>
        <v>0.71717171717171646</v>
      </c>
      <c r="N580">
        <f>SMALL(SimData!$C$9:$C$508,72)</f>
        <v>11.722288211586008</v>
      </c>
      <c r="O580">
        <f>1/(COUNT(SimData!$C$9:$C$508)-1)+$O$579</f>
        <v>0.71717171717171646</v>
      </c>
      <c r="P580">
        <f>SMALL(SimData!$D$9:$D$508,72)</f>
        <v>14.095484785268894</v>
      </c>
      <c r="Q580">
        <f>1/(COUNT(SimData!$D$9:$D$508)-1)+$Q$579</f>
        <v>0.71717171717171646</v>
      </c>
    </row>
    <row r="581" spans="12:17">
      <c r="L581">
        <f>SMALL(SimData!$B$9:$B$508,73)</f>
        <v>13.613902051191289</v>
      </c>
      <c r="M581">
        <f>1/(COUNT(SimData!$B$9:$B$508)-1)+$M$580</f>
        <v>0.72727272727272652</v>
      </c>
      <c r="N581">
        <f>SMALL(SimData!$C$9:$C$508,73)</f>
        <v>11.806503348940302</v>
      </c>
      <c r="O581">
        <f>1/(COUNT(SimData!$C$9:$C$508)-1)+$O$580</f>
        <v>0.72727272727272652</v>
      </c>
      <c r="P581">
        <f>SMALL(SimData!$D$9:$D$508,73)</f>
        <v>14.110845273246721</v>
      </c>
      <c r="Q581">
        <f>1/(COUNT(SimData!$D$9:$D$508)-1)+$Q$580</f>
        <v>0.72727272727272652</v>
      </c>
    </row>
    <row r="582" spans="12:17">
      <c r="L582">
        <f>SMALL(SimData!$B$9:$B$508,74)</f>
        <v>13.688646390624029</v>
      </c>
      <c r="M582">
        <f>1/(COUNT(SimData!$B$9:$B$508)-1)+$M$581</f>
        <v>0.73737373737373657</v>
      </c>
      <c r="N582">
        <f>SMALL(SimData!$C$9:$C$508,74)</f>
        <v>11.9079474774035</v>
      </c>
      <c r="O582">
        <f>1/(COUNT(SimData!$C$9:$C$508)-1)+$O$581</f>
        <v>0.73737373737373657</v>
      </c>
      <c r="P582">
        <f>SMALL(SimData!$D$9:$D$508,74)</f>
        <v>14.194692216428159</v>
      </c>
      <c r="Q582">
        <f>1/(COUNT(SimData!$D$9:$D$508)-1)+$Q$581</f>
        <v>0.73737373737373657</v>
      </c>
    </row>
    <row r="583" spans="12:17">
      <c r="L583">
        <f>SMALL(SimData!$B$9:$B$508,75)</f>
        <v>13.700870099279767</v>
      </c>
      <c r="M583">
        <f>1/(COUNT(SimData!$B$9:$B$508)-1)+$M$582</f>
        <v>0.74747474747474663</v>
      </c>
      <c r="N583">
        <f>SMALL(SimData!$C$9:$C$508,75)</f>
        <v>11.961948766413867</v>
      </c>
      <c r="O583">
        <f>1/(COUNT(SimData!$C$9:$C$508)-1)+$O$582</f>
        <v>0.74747474747474663</v>
      </c>
      <c r="P583">
        <f>SMALL(SimData!$D$9:$D$508,75)</f>
        <v>14.227959019627413</v>
      </c>
      <c r="Q583">
        <f>1/(COUNT(SimData!$D$9:$D$508)-1)+$Q$582</f>
        <v>0.74747474747474663</v>
      </c>
    </row>
    <row r="584" spans="12:17">
      <c r="L584">
        <f>SMALL(SimData!$B$9:$B$508,76)</f>
        <v>13.784842392635728</v>
      </c>
      <c r="M584">
        <f>1/(COUNT(SimData!$B$9:$B$508)-1)+$M$583</f>
        <v>0.75757575757575668</v>
      </c>
      <c r="N584">
        <f>SMALL(SimData!$C$9:$C$508,76)</f>
        <v>12.038839329081206</v>
      </c>
      <c r="O584">
        <f>1/(COUNT(SimData!$C$9:$C$508)-1)+$O$583</f>
        <v>0.75757575757575668</v>
      </c>
      <c r="P584">
        <f>SMALL(SimData!$D$9:$D$508,76)</f>
        <v>14.250228361936806</v>
      </c>
      <c r="Q584">
        <f>1/(COUNT(SimData!$D$9:$D$508)-1)+$Q$583</f>
        <v>0.75757575757575668</v>
      </c>
    </row>
    <row r="585" spans="12:17">
      <c r="L585">
        <f>SMALL(SimData!$B$9:$B$508,77)</f>
        <v>13.808240935941749</v>
      </c>
      <c r="M585">
        <f>1/(COUNT(SimData!$B$9:$B$508)-1)+$M$584</f>
        <v>0.76767676767676674</v>
      </c>
      <c r="N585">
        <f>SMALL(SimData!$C$9:$C$508,77)</f>
        <v>12.145940552012522</v>
      </c>
      <c r="O585">
        <f>1/(COUNT(SimData!$C$9:$C$508)-1)+$O$584</f>
        <v>0.76767676767676674</v>
      </c>
      <c r="P585">
        <f>SMALL(SimData!$D$9:$D$508,77)</f>
        <v>14.3026634617482</v>
      </c>
      <c r="Q585">
        <f>1/(COUNT(SimData!$D$9:$D$508)-1)+$Q$584</f>
        <v>0.76767676767676674</v>
      </c>
    </row>
    <row r="586" spans="12:17">
      <c r="L586">
        <f>SMALL(SimData!$B$9:$B$508,78)</f>
        <v>13.850007093686147</v>
      </c>
      <c r="M586">
        <f>1/(COUNT(SimData!$B$9:$B$508)-1)+$M$585</f>
        <v>0.77777777777777679</v>
      </c>
      <c r="N586">
        <f>SMALL(SimData!$C$9:$C$508,78)</f>
        <v>12.261168582814383</v>
      </c>
      <c r="O586">
        <f>1/(COUNT(SimData!$C$9:$C$508)-1)+$O$585</f>
        <v>0.77777777777777679</v>
      </c>
      <c r="P586">
        <f>SMALL(SimData!$D$9:$D$508,78)</f>
        <v>14.381322888199083</v>
      </c>
      <c r="Q586">
        <f>1/(COUNT(SimData!$D$9:$D$508)-1)+$Q$585</f>
        <v>0.77777777777777679</v>
      </c>
    </row>
    <row r="587" spans="12:17">
      <c r="L587">
        <f>SMALL(SimData!$B$9:$B$508,79)</f>
        <v>13.93828981148272</v>
      </c>
      <c r="M587">
        <f>1/(COUNT(SimData!$B$9:$B$508)-1)+$M$586</f>
        <v>0.78787878787878685</v>
      </c>
      <c r="N587">
        <f>SMALL(SimData!$C$9:$C$508,79)</f>
        <v>12.364497412417574</v>
      </c>
      <c r="O587">
        <f>1/(COUNT(SimData!$C$9:$C$508)-1)+$O$586</f>
        <v>0.78787878787878685</v>
      </c>
      <c r="P587">
        <f>SMALL(SimData!$D$9:$D$508,79)</f>
        <v>14.401985428447832</v>
      </c>
      <c r="Q587">
        <f>1/(COUNT(SimData!$D$9:$D$508)-1)+$Q$586</f>
        <v>0.78787878787878685</v>
      </c>
    </row>
    <row r="588" spans="12:17">
      <c r="L588">
        <f>SMALL(SimData!$B$9:$B$508,80)</f>
        <v>13.993372900538001</v>
      </c>
      <c r="M588">
        <f>1/(COUNT(SimData!$B$9:$B$508)-1)+$M$587</f>
        <v>0.7979797979797969</v>
      </c>
      <c r="N588">
        <f>SMALL(SimData!$C$9:$C$508,80)</f>
        <v>12.471012297773717</v>
      </c>
      <c r="O588">
        <f>1/(COUNT(SimData!$C$9:$C$508)-1)+$O$587</f>
        <v>0.7979797979797969</v>
      </c>
      <c r="P588">
        <f>SMALL(SimData!$D$9:$D$508,80)</f>
        <v>14.477856100019499</v>
      </c>
      <c r="Q588">
        <f>1/(COUNT(SimData!$D$9:$D$508)-1)+$Q$587</f>
        <v>0.7979797979797969</v>
      </c>
    </row>
    <row r="589" spans="12:17">
      <c r="L589">
        <f>SMALL(SimData!$B$9:$B$508,81)</f>
        <v>14.033148669156514</v>
      </c>
      <c r="M589">
        <f>1/(COUNT(SimData!$B$9:$B$508)-1)+$M$588</f>
        <v>0.80808080808080696</v>
      </c>
      <c r="N589">
        <f>SMALL(SimData!$C$9:$C$508,81)</f>
        <v>12.527477058046394</v>
      </c>
      <c r="O589">
        <f>1/(COUNT(SimData!$C$9:$C$508)-1)+$O$588</f>
        <v>0.80808080808080696</v>
      </c>
      <c r="P589">
        <f>SMALL(SimData!$D$9:$D$508,81)</f>
        <v>14.526106126822089</v>
      </c>
      <c r="Q589">
        <f>1/(COUNT(SimData!$D$9:$D$508)-1)+$Q$588</f>
        <v>0.80808080808080696</v>
      </c>
    </row>
    <row r="590" spans="12:17">
      <c r="L590">
        <f>SMALL(SimData!$B$9:$B$508,82)</f>
        <v>14.074964748107586</v>
      </c>
      <c r="M590">
        <f>1/(COUNT(SimData!$B$9:$B$508)-1)+$M$589</f>
        <v>0.81818181818181701</v>
      </c>
      <c r="N590">
        <f>SMALL(SimData!$C$9:$C$508,82)</f>
        <v>12.650977465639908</v>
      </c>
      <c r="O590">
        <f>1/(COUNT(SimData!$C$9:$C$508)-1)+$O$589</f>
        <v>0.81818181818181701</v>
      </c>
      <c r="P590">
        <f>SMALL(SimData!$D$9:$D$508,82)</f>
        <v>14.593222537018178</v>
      </c>
      <c r="Q590">
        <f>1/(COUNT(SimData!$D$9:$D$508)-1)+$Q$589</f>
        <v>0.81818181818181701</v>
      </c>
    </row>
    <row r="591" spans="12:17">
      <c r="L591">
        <f>SMALL(SimData!$B$9:$B$508,83)</f>
        <v>14.132893783676646</v>
      </c>
      <c r="M591">
        <f>1/(COUNT(SimData!$B$9:$B$508)-1)+$M$590</f>
        <v>0.82828282828282707</v>
      </c>
      <c r="N591">
        <f>SMALL(SimData!$C$9:$C$508,83)</f>
        <v>12.764211394665875</v>
      </c>
      <c r="O591">
        <f>1/(COUNT(SimData!$C$9:$C$508)-1)+$O$590</f>
        <v>0.82828282828282707</v>
      </c>
      <c r="P591">
        <f>SMALL(SimData!$D$9:$D$508,83)</f>
        <v>14.631787359896531</v>
      </c>
      <c r="Q591">
        <f>1/(COUNT(SimData!$D$9:$D$508)-1)+$Q$590</f>
        <v>0.82828282828282707</v>
      </c>
    </row>
    <row r="592" spans="12:17">
      <c r="L592">
        <f>SMALL(SimData!$B$9:$B$508,84)</f>
        <v>14.166549054758285</v>
      </c>
      <c r="M592">
        <f>1/(COUNT(SimData!$B$9:$B$508)-1)+$M$591</f>
        <v>0.83838383838383712</v>
      </c>
      <c r="N592">
        <f>SMALL(SimData!$C$9:$C$508,84)</f>
        <v>12.926973581771668</v>
      </c>
      <c r="O592">
        <f>1/(COUNT(SimData!$C$9:$C$508)-1)+$O$591</f>
        <v>0.83838383838383712</v>
      </c>
      <c r="P592">
        <f>SMALL(SimData!$D$9:$D$508,84)</f>
        <v>14.691384662371451</v>
      </c>
      <c r="Q592">
        <f>1/(COUNT(SimData!$D$9:$D$508)-1)+$Q$591</f>
        <v>0.83838383838383712</v>
      </c>
    </row>
    <row r="593" spans="12:17">
      <c r="L593">
        <f>SMALL(SimData!$B$9:$B$508,85)</f>
        <v>14.236872038498259</v>
      </c>
      <c r="M593">
        <f>1/(COUNT(SimData!$B$9:$B$508)-1)+$M$592</f>
        <v>0.84848484848484718</v>
      </c>
      <c r="N593">
        <f>SMALL(SimData!$C$9:$C$508,85)</f>
        <v>13.09963278501499</v>
      </c>
      <c r="O593">
        <f>1/(COUNT(SimData!$C$9:$C$508)-1)+$O$592</f>
        <v>0.84848484848484718</v>
      </c>
      <c r="P593">
        <f>SMALL(SimData!$D$9:$D$508,85)</f>
        <v>14.717495522640528</v>
      </c>
      <c r="Q593">
        <f>1/(COUNT(SimData!$D$9:$D$508)-1)+$Q$592</f>
        <v>0.84848484848484718</v>
      </c>
    </row>
    <row r="594" spans="12:17">
      <c r="L594">
        <f>SMALL(SimData!$B$9:$B$508,86)</f>
        <v>14.252243623650223</v>
      </c>
      <c r="M594">
        <f>1/(COUNT(SimData!$B$9:$B$508)-1)+$M$593</f>
        <v>0.85858585858585723</v>
      </c>
      <c r="N594">
        <f>SMALL(SimData!$C$9:$C$508,86)</f>
        <v>13.141381503641956</v>
      </c>
      <c r="O594">
        <f>1/(COUNT(SimData!$C$9:$C$508)-1)+$O$593</f>
        <v>0.85858585858585723</v>
      </c>
      <c r="P594">
        <f>SMALL(SimData!$D$9:$D$508,86)</f>
        <v>14.773466642171487</v>
      </c>
      <c r="Q594">
        <f>1/(COUNT(SimData!$D$9:$D$508)-1)+$Q$593</f>
        <v>0.85858585858585723</v>
      </c>
    </row>
    <row r="595" spans="12:17">
      <c r="L595">
        <f>SMALL(SimData!$B$9:$B$508,87)</f>
        <v>14.327196799993327</v>
      </c>
      <c r="M595">
        <f>1/(COUNT(SimData!$B$9:$B$508)-1)+$M$594</f>
        <v>0.86868686868686729</v>
      </c>
      <c r="N595">
        <f>SMALL(SimData!$C$9:$C$508,87)</f>
        <v>13.251304731660635</v>
      </c>
      <c r="O595">
        <f>1/(COUNT(SimData!$C$9:$C$508)-1)+$O$594</f>
        <v>0.86868686868686729</v>
      </c>
      <c r="P595">
        <f>SMALL(SimData!$D$9:$D$508,87)</f>
        <v>14.823378362628487</v>
      </c>
      <c r="Q595">
        <f>1/(COUNT(SimData!$D$9:$D$508)-1)+$Q$594</f>
        <v>0.86868686868686729</v>
      </c>
    </row>
    <row r="596" spans="12:17">
      <c r="L596">
        <f>SMALL(SimData!$B$9:$B$508,88)</f>
        <v>14.379954156111914</v>
      </c>
      <c r="M596">
        <f>1/(COUNT(SimData!$B$9:$B$508)-1)+$M$595</f>
        <v>0.87878787878787734</v>
      </c>
      <c r="N596">
        <f>SMALL(SimData!$C$9:$C$508,88)</f>
        <v>13.454095206795312</v>
      </c>
      <c r="O596">
        <f>1/(COUNT(SimData!$C$9:$C$508)-1)+$O$595</f>
        <v>0.87878787878787734</v>
      </c>
      <c r="P596">
        <f>SMALL(SimData!$D$9:$D$508,88)</f>
        <v>14.860405894056989</v>
      </c>
      <c r="Q596">
        <f>1/(COUNT(SimData!$D$9:$D$508)-1)+$Q$595</f>
        <v>0.87878787878787734</v>
      </c>
    </row>
    <row r="597" spans="12:17">
      <c r="L597">
        <f>SMALL(SimData!$B$9:$B$508,89)</f>
        <v>14.449067109718236</v>
      </c>
      <c r="M597">
        <f>1/(COUNT(SimData!$B$9:$B$508)-1)+$M$596</f>
        <v>0.8888888888888874</v>
      </c>
      <c r="N597">
        <f>SMALL(SimData!$C$9:$C$508,89)</f>
        <v>13.622304985614022</v>
      </c>
      <c r="O597">
        <f>1/(COUNT(SimData!$C$9:$C$508)-1)+$O$596</f>
        <v>0.8888888888888874</v>
      </c>
      <c r="P597">
        <f>SMALL(SimData!$D$9:$D$508,89)</f>
        <v>14.915940483465311</v>
      </c>
      <c r="Q597">
        <f>1/(COUNT(SimData!$D$9:$D$508)-1)+$Q$596</f>
        <v>0.8888888888888874</v>
      </c>
    </row>
    <row r="598" spans="12:17">
      <c r="L598">
        <f>SMALL(SimData!$B$9:$B$508,90)</f>
        <v>14.45686310000179</v>
      </c>
      <c r="M598">
        <f>1/(COUNT(SimData!$B$9:$B$508)-1)+$M$597</f>
        <v>0.89898989898989745</v>
      </c>
      <c r="N598">
        <f>SMALL(SimData!$C$9:$C$508,90)</f>
        <v>13.807084001590422</v>
      </c>
      <c r="O598">
        <f>1/(COUNT(SimData!$C$9:$C$508)-1)+$O$597</f>
        <v>0.89898989898989745</v>
      </c>
      <c r="P598">
        <f>SMALL(SimData!$D$9:$D$508,90)</f>
        <v>14.979845557403715</v>
      </c>
      <c r="Q598">
        <f>1/(COUNT(SimData!$D$9:$D$508)-1)+$Q$597</f>
        <v>0.89898989898989745</v>
      </c>
    </row>
    <row r="599" spans="12:17">
      <c r="L599">
        <f>SMALL(SimData!$B$9:$B$508,91)</f>
        <v>14.523155519522996</v>
      </c>
      <c r="M599">
        <f>1/(COUNT(SimData!$B$9:$B$508)-1)+$M$598</f>
        <v>0.90909090909090751</v>
      </c>
      <c r="N599">
        <f>SMALL(SimData!$C$9:$C$508,91)</f>
        <v>14.021974419436217</v>
      </c>
      <c r="O599">
        <f>1/(COUNT(SimData!$C$9:$C$508)-1)+$O$598</f>
        <v>0.90909090909090751</v>
      </c>
      <c r="P599">
        <f>SMALL(SimData!$D$9:$D$508,91)</f>
        <v>15.00010735496455</v>
      </c>
      <c r="Q599">
        <f>1/(COUNT(SimData!$D$9:$D$508)-1)+$Q$598</f>
        <v>0.90909090909090751</v>
      </c>
    </row>
    <row r="600" spans="12:17">
      <c r="L600">
        <f>SMALL(SimData!$B$9:$B$508,92)</f>
        <v>14.557109590435193</v>
      </c>
      <c r="M600">
        <f>1/(COUNT(SimData!$B$9:$B$508)-1)+$M$599</f>
        <v>0.91919191919191756</v>
      </c>
      <c r="N600">
        <f>SMALL(SimData!$C$9:$C$508,92)</f>
        <v>14.080040345814758</v>
      </c>
      <c r="O600">
        <f>1/(COUNT(SimData!$C$9:$C$508)-1)+$O$599</f>
        <v>0.91919191919191756</v>
      </c>
      <c r="P600">
        <f>SMALL(SimData!$D$9:$D$508,92)</f>
        <v>15.00018869841456</v>
      </c>
      <c r="Q600">
        <f>1/(COUNT(SimData!$D$9:$D$508)-1)+$Q$599</f>
        <v>0.91919191919191756</v>
      </c>
    </row>
    <row r="601" spans="12:17">
      <c r="L601">
        <f>SMALL(SimData!$B$9:$B$508,93)</f>
        <v>14.625621265260415</v>
      </c>
      <c r="M601">
        <f>1/(COUNT(SimData!$B$9:$B$508)-1)+$M$600</f>
        <v>0.92929292929292762</v>
      </c>
      <c r="N601">
        <f>SMALL(SimData!$C$9:$C$508,93)</f>
        <v>14.273339109339954</v>
      </c>
      <c r="O601">
        <f>1/(COUNT(SimData!$C$9:$C$508)-1)+$O$600</f>
        <v>0.92929292929292762</v>
      </c>
      <c r="P601">
        <f>SMALL(SimData!$D$9:$D$508,93)</f>
        <v>15.00041620665831</v>
      </c>
      <c r="Q601">
        <f>1/(COUNT(SimData!$D$9:$D$508)-1)+$Q$600</f>
        <v>0.92929292929292762</v>
      </c>
    </row>
    <row r="602" spans="12:17">
      <c r="L602">
        <f>SMALL(SimData!$B$9:$B$508,94)</f>
        <v>14.684826450255891</v>
      </c>
      <c r="M602">
        <f>1/(COUNT(SimData!$B$9:$B$508)-1)+$M$601</f>
        <v>0.93939393939393767</v>
      </c>
      <c r="N602">
        <f>SMALL(SimData!$C$9:$C$508,94)</f>
        <v>14.551628679628518</v>
      </c>
      <c r="O602">
        <f>1/(COUNT(SimData!$C$9:$C$508)-1)+$O$601</f>
        <v>0.93939393939393767</v>
      </c>
      <c r="P602">
        <f>SMALL(SimData!$D$9:$D$508,94)</f>
        <v>15.000592065820934</v>
      </c>
      <c r="Q602">
        <f>1/(COUNT(SimData!$D$9:$D$508)-1)+$Q$601</f>
        <v>0.93939393939393767</v>
      </c>
    </row>
    <row r="603" spans="12:17">
      <c r="L603">
        <f>SMALL(SimData!$B$9:$B$508,95)</f>
        <v>14.711994914818089</v>
      </c>
      <c r="M603">
        <f>1/(COUNT(SimData!$B$9:$B$508)-1)+$M$602</f>
        <v>0.94949494949494773</v>
      </c>
      <c r="N603">
        <f>SMALL(SimData!$C$9:$C$508,95)</f>
        <v>14.83511086767431</v>
      </c>
      <c r="O603">
        <f>1/(COUNT(SimData!$C$9:$C$508)-1)+$O$602</f>
        <v>0.94949494949494773</v>
      </c>
      <c r="P603">
        <f>SMALL(SimData!$D$9:$D$508,95)</f>
        <v>15.000608648772458</v>
      </c>
      <c r="Q603">
        <f>1/(COUNT(SimData!$D$9:$D$508)-1)+$Q$602</f>
        <v>0.94949494949494773</v>
      </c>
    </row>
    <row r="604" spans="12:17">
      <c r="L604">
        <f>SMALL(SimData!$B$9:$B$508,96)</f>
        <v>14.778264003824038</v>
      </c>
      <c r="M604">
        <f>1/(COUNT(SimData!$B$9:$B$508)-1)+$M$603</f>
        <v>0.95959595959595778</v>
      </c>
      <c r="N604">
        <f>SMALL(SimData!$C$9:$C$508,96)</f>
        <v>15.136162704983974</v>
      </c>
      <c r="O604">
        <f>1/(COUNT(SimData!$C$9:$C$508)-1)+$O$603</f>
        <v>0.95959595959595778</v>
      </c>
      <c r="P604">
        <f>SMALL(SimData!$D$9:$D$508,96)</f>
        <v>15.000815051155925</v>
      </c>
      <c r="Q604">
        <f>1/(COUNT(SimData!$D$9:$D$508)-1)+$Q$603</f>
        <v>0.95959595959595778</v>
      </c>
    </row>
    <row r="605" spans="12:17">
      <c r="L605">
        <f>SMALL(SimData!$B$9:$B$508,97)</f>
        <v>14.824069590441432</v>
      </c>
      <c r="M605">
        <f>1/(COUNT(SimData!$B$9:$B$508)-1)+$M$604</f>
        <v>0.96969696969696784</v>
      </c>
      <c r="N605">
        <f>SMALL(SimData!$C$9:$C$508,97)</f>
        <v>15.408639009151925</v>
      </c>
      <c r="O605">
        <f>1/(COUNT(SimData!$C$9:$C$508)-1)+$O$604</f>
        <v>0.96969696969696784</v>
      </c>
      <c r="P605">
        <f>SMALL(SimData!$D$9:$D$508,97)</f>
        <v>15.000960550946372</v>
      </c>
      <c r="Q605">
        <f>1/(COUNT(SimData!$D$9:$D$508)-1)+$Q$604</f>
        <v>0.96969696969696784</v>
      </c>
    </row>
    <row r="606" spans="12:17">
      <c r="L606">
        <f>SMALL(SimData!$B$9:$B$508,98)</f>
        <v>14.887241216373454</v>
      </c>
      <c r="M606">
        <f>1/(COUNT(SimData!$B$9:$B$508)-1)+$M$605</f>
        <v>0.97979797979797789</v>
      </c>
      <c r="N606">
        <f>SMALL(SimData!$C$9:$C$508,98)</f>
        <v>15.877837239104828</v>
      </c>
      <c r="O606">
        <f>1/(COUNT(SimData!$C$9:$C$508)-1)+$O$605</f>
        <v>0.97979797979797789</v>
      </c>
      <c r="P606">
        <f>SMALL(SimData!$D$9:$D$508,98)</f>
        <v>15.00119699435964</v>
      </c>
      <c r="Q606">
        <f>1/(COUNT(SimData!$D$9:$D$508)-1)+$Q$605</f>
        <v>0.97979797979797789</v>
      </c>
    </row>
    <row r="607" spans="12:17">
      <c r="L607">
        <f>SMALL(SimData!$B$9:$B$508,99)</f>
        <v>14.939714905826774</v>
      </c>
      <c r="M607">
        <f>1/(COUNT(SimData!$B$9:$B$508)-1)+$M$606</f>
        <v>0.98989898989898795</v>
      </c>
      <c r="N607">
        <f>SMALL(SimData!$C$9:$C$508,99)</f>
        <v>16.707259873341819</v>
      </c>
      <c r="O607">
        <f>1/(COUNT(SimData!$C$9:$C$508)-1)+$O$606</f>
        <v>0.98989898989898795</v>
      </c>
      <c r="P607">
        <f>SMALL(SimData!$D$9:$D$508,99)</f>
        <v>15.001245276318921</v>
      </c>
      <c r="Q607">
        <f>1/(COUNT(SimData!$D$9:$D$508)-1)+$Q$606</f>
        <v>0.98989898989898795</v>
      </c>
    </row>
    <row r="608" spans="12:17">
      <c r="L608">
        <f>SMALL(SimData!$B$9:$B$508,100)</f>
        <v>14.983243759554636</v>
      </c>
      <c r="M608">
        <f>1/(COUNT(SimData!$B$9:$B$508)-1)+$M$607</f>
        <v>0.999999999999998</v>
      </c>
      <c r="N608">
        <f>SMALL(SimData!$C$9:$C$508,100)</f>
        <v>17.154482324562807</v>
      </c>
      <c r="O608">
        <f>1/(COUNT(SimData!$C$9:$C$508)-1)+$O$607</f>
        <v>0.999999999999998</v>
      </c>
      <c r="P608">
        <f>SMALL(SimData!$D$9:$D$508,100)</f>
        <v>15.001470549299887</v>
      </c>
      <c r="Q608">
        <f>1/(COUNT(SimData!$D$9:$D$508)-1)+$Q$607</f>
        <v>0.999999999999998</v>
      </c>
    </row>
    <row r="609" spans="12:17">
      <c r="L609" t="e">
        <f>SMALL(SimData!$B$9:$B$508,101)</f>
        <v>#NUM!</v>
      </c>
      <c r="M609">
        <f>1/(COUNT(SimData!$B$9:$B$508)-1)+$M$608</f>
        <v>1.0101010101010082</v>
      </c>
      <c r="N609" t="e">
        <f>SMALL(SimData!$C$9:$C$508,101)</f>
        <v>#NUM!</v>
      </c>
      <c r="O609">
        <f>1/(COUNT(SimData!$C$9:$C$508)-1)+$O$608</f>
        <v>1.0101010101010082</v>
      </c>
      <c r="P609" t="e">
        <f>SMALL(SimData!$D$9:$D$508,101)</f>
        <v>#NUM!</v>
      </c>
      <c r="Q609">
        <f>1/(COUNT(SimData!$D$9:$D$508)-1)+$Q$608</f>
        <v>1.0101010101010082</v>
      </c>
    </row>
    <row r="610" spans="12:17">
      <c r="L610" t="e">
        <f>SMALL(SimData!$B$9:$B$508,102)</f>
        <v>#NUM!</v>
      </c>
      <c r="M610">
        <f>1/(COUNT(SimData!$B$9:$B$508)-1)+$M$609</f>
        <v>1.0202020202020183</v>
      </c>
      <c r="N610" t="e">
        <f>SMALL(SimData!$C$9:$C$508,102)</f>
        <v>#NUM!</v>
      </c>
      <c r="O610">
        <f>1/(COUNT(SimData!$C$9:$C$508)-1)+$O$609</f>
        <v>1.0202020202020183</v>
      </c>
      <c r="P610" t="e">
        <f>SMALL(SimData!$D$9:$D$508,102)</f>
        <v>#NUM!</v>
      </c>
      <c r="Q610">
        <f>1/(COUNT(SimData!$D$9:$D$508)-1)+$Q$609</f>
        <v>1.0202020202020183</v>
      </c>
    </row>
    <row r="611" spans="12:17">
      <c r="L611" t="e">
        <f>SMALL(SimData!$B$9:$B$508,103)</f>
        <v>#NUM!</v>
      </c>
      <c r="M611">
        <f>1/(COUNT(SimData!$B$9:$B$508)-1)+$M$610</f>
        <v>1.0303030303030285</v>
      </c>
      <c r="N611" t="e">
        <f>SMALL(SimData!$C$9:$C$508,103)</f>
        <v>#NUM!</v>
      </c>
      <c r="O611">
        <f>1/(COUNT(SimData!$C$9:$C$508)-1)+$O$610</f>
        <v>1.0303030303030285</v>
      </c>
      <c r="P611" t="e">
        <f>SMALL(SimData!$D$9:$D$508,103)</f>
        <v>#NUM!</v>
      </c>
      <c r="Q611">
        <f>1/(COUNT(SimData!$D$9:$D$508)-1)+$Q$610</f>
        <v>1.0303030303030285</v>
      </c>
    </row>
    <row r="612" spans="12:17">
      <c r="L612" t="e">
        <f>SMALL(SimData!$B$9:$B$508,104)</f>
        <v>#NUM!</v>
      </c>
      <c r="M612">
        <f>1/(COUNT(SimData!$B$9:$B$508)-1)+$M$611</f>
        <v>1.0404040404040387</v>
      </c>
      <c r="N612" t="e">
        <f>SMALL(SimData!$C$9:$C$508,104)</f>
        <v>#NUM!</v>
      </c>
      <c r="O612">
        <f>1/(COUNT(SimData!$C$9:$C$508)-1)+$O$611</f>
        <v>1.0404040404040387</v>
      </c>
      <c r="P612" t="e">
        <f>SMALL(SimData!$D$9:$D$508,104)</f>
        <v>#NUM!</v>
      </c>
      <c r="Q612">
        <f>1/(COUNT(SimData!$D$9:$D$508)-1)+$Q$611</f>
        <v>1.0404040404040387</v>
      </c>
    </row>
    <row r="613" spans="12:17">
      <c r="L613" t="e">
        <f>SMALL(SimData!$B$9:$B$508,105)</f>
        <v>#NUM!</v>
      </c>
      <c r="M613">
        <f>1/(COUNT(SimData!$B$9:$B$508)-1)+$M$612</f>
        <v>1.0505050505050488</v>
      </c>
      <c r="N613" t="e">
        <f>SMALL(SimData!$C$9:$C$508,105)</f>
        <v>#NUM!</v>
      </c>
      <c r="O613">
        <f>1/(COUNT(SimData!$C$9:$C$508)-1)+$O$612</f>
        <v>1.0505050505050488</v>
      </c>
      <c r="P613" t="e">
        <f>SMALL(SimData!$D$9:$D$508,105)</f>
        <v>#NUM!</v>
      </c>
      <c r="Q613">
        <f>1/(COUNT(SimData!$D$9:$D$508)-1)+$Q$612</f>
        <v>1.0505050505050488</v>
      </c>
    </row>
    <row r="614" spans="12:17">
      <c r="L614" t="e">
        <f>SMALL(SimData!$B$9:$B$508,106)</f>
        <v>#NUM!</v>
      </c>
      <c r="M614">
        <f>1/(COUNT(SimData!$B$9:$B$508)-1)+$M$613</f>
        <v>1.060606060606059</v>
      </c>
      <c r="N614" t="e">
        <f>SMALL(SimData!$C$9:$C$508,106)</f>
        <v>#NUM!</v>
      </c>
      <c r="O614">
        <f>1/(COUNT(SimData!$C$9:$C$508)-1)+$O$613</f>
        <v>1.060606060606059</v>
      </c>
      <c r="P614" t="e">
        <f>SMALL(SimData!$D$9:$D$508,106)</f>
        <v>#NUM!</v>
      </c>
      <c r="Q614">
        <f>1/(COUNT(SimData!$D$9:$D$508)-1)+$Q$613</f>
        <v>1.060606060606059</v>
      </c>
    </row>
    <row r="615" spans="12:17">
      <c r="L615" t="e">
        <f>SMALL(SimData!$B$9:$B$508,107)</f>
        <v>#NUM!</v>
      </c>
      <c r="M615">
        <f>1/(COUNT(SimData!$B$9:$B$508)-1)+$M$614</f>
        <v>1.0707070707070692</v>
      </c>
      <c r="N615" t="e">
        <f>SMALL(SimData!$C$9:$C$508,107)</f>
        <v>#NUM!</v>
      </c>
      <c r="O615">
        <f>1/(COUNT(SimData!$C$9:$C$508)-1)+$O$614</f>
        <v>1.0707070707070692</v>
      </c>
      <c r="P615" t="e">
        <f>SMALL(SimData!$D$9:$D$508,107)</f>
        <v>#NUM!</v>
      </c>
      <c r="Q615">
        <f>1/(COUNT(SimData!$D$9:$D$508)-1)+$Q$614</f>
        <v>1.0707070707070692</v>
      </c>
    </row>
    <row r="616" spans="12:17">
      <c r="L616" t="e">
        <f>SMALL(SimData!$B$9:$B$508,108)</f>
        <v>#NUM!</v>
      </c>
      <c r="M616">
        <f>1/(COUNT(SimData!$B$9:$B$508)-1)+$M$615</f>
        <v>1.0808080808080793</v>
      </c>
      <c r="N616" t="e">
        <f>SMALL(SimData!$C$9:$C$508,108)</f>
        <v>#NUM!</v>
      </c>
      <c r="O616">
        <f>1/(COUNT(SimData!$C$9:$C$508)-1)+$O$615</f>
        <v>1.0808080808080793</v>
      </c>
      <c r="P616" t="e">
        <f>SMALL(SimData!$D$9:$D$508,108)</f>
        <v>#NUM!</v>
      </c>
      <c r="Q616">
        <f>1/(COUNT(SimData!$D$9:$D$508)-1)+$Q$615</f>
        <v>1.0808080808080793</v>
      </c>
    </row>
    <row r="617" spans="12:17">
      <c r="L617" t="e">
        <f>SMALL(SimData!$B$9:$B$508,109)</f>
        <v>#NUM!</v>
      </c>
      <c r="M617">
        <f>1/(COUNT(SimData!$B$9:$B$508)-1)+$M$616</f>
        <v>1.0909090909090895</v>
      </c>
      <c r="N617" t="e">
        <f>SMALL(SimData!$C$9:$C$508,109)</f>
        <v>#NUM!</v>
      </c>
      <c r="O617">
        <f>1/(COUNT(SimData!$C$9:$C$508)-1)+$O$616</f>
        <v>1.0909090909090895</v>
      </c>
      <c r="P617" t="e">
        <f>SMALL(SimData!$D$9:$D$508,109)</f>
        <v>#NUM!</v>
      </c>
      <c r="Q617">
        <f>1/(COUNT(SimData!$D$9:$D$508)-1)+$Q$616</f>
        <v>1.0909090909090895</v>
      </c>
    </row>
    <row r="618" spans="12:17">
      <c r="L618" t="e">
        <f>SMALL(SimData!$B$9:$B$508,110)</f>
        <v>#NUM!</v>
      </c>
      <c r="M618">
        <f>1/(COUNT(SimData!$B$9:$B$508)-1)+$M$617</f>
        <v>1.1010101010100997</v>
      </c>
      <c r="N618" t="e">
        <f>SMALL(SimData!$C$9:$C$508,110)</f>
        <v>#NUM!</v>
      </c>
      <c r="O618">
        <f>1/(COUNT(SimData!$C$9:$C$508)-1)+$O$617</f>
        <v>1.1010101010100997</v>
      </c>
      <c r="P618" t="e">
        <f>SMALL(SimData!$D$9:$D$508,110)</f>
        <v>#NUM!</v>
      </c>
      <c r="Q618">
        <f>1/(COUNT(SimData!$D$9:$D$508)-1)+$Q$617</f>
        <v>1.1010101010100997</v>
      </c>
    </row>
    <row r="619" spans="12:17">
      <c r="L619" t="e">
        <f>SMALL(SimData!$B$9:$B$508,111)</f>
        <v>#NUM!</v>
      </c>
      <c r="M619">
        <f>1/(COUNT(SimData!$B$9:$B$508)-1)+$M$618</f>
        <v>1.1111111111111098</v>
      </c>
      <c r="N619" t="e">
        <f>SMALL(SimData!$C$9:$C$508,111)</f>
        <v>#NUM!</v>
      </c>
      <c r="O619">
        <f>1/(COUNT(SimData!$C$9:$C$508)-1)+$O$618</f>
        <v>1.1111111111111098</v>
      </c>
      <c r="P619" t="e">
        <f>SMALL(SimData!$D$9:$D$508,111)</f>
        <v>#NUM!</v>
      </c>
      <c r="Q619">
        <f>1/(COUNT(SimData!$D$9:$D$508)-1)+$Q$618</f>
        <v>1.1111111111111098</v>
      </c>
    </row>
    <row r="620" spans="12:17">
      <c r="L620" t="e">
        <f>SMALL(SimData!$B$9:$B$508,112)</f>
        <v>#NUM!</v>
      </c>
      <c r="M620">
        <f>1/(COUNT(SimData!$B$9:$B$508)-1)+$M$619</f>
        <v>1.12121212121212</v>
      </c>
      <c r="N620" t="e">
        <f>SMALL(SimData!$C$9:$C$508,112)</f>
        <v>#NUM!</v>
      </c>
      <c r="O620">
        <f>1/(COUNT(SimData!$C$9:$C$508)-1)+$O$619</f>
        <v>1.12121212121212</v>
      </c>
      <c r="P620" t="e">
        <f>SMALL(SimData!$D$9:$D$508,112)</f>
        <v>#NUM!</v>
      </c>
      <c r="Q620">
        <f>1/(COUNT(SimData!$D$9:$D$508)-1)+$Q$619</f>
        <v>1.12121212121212</v>
      </c>
    </row>
    <row r="621" spans="12:17">
      <c r="L621" t="e">
        <f>SMALL(SimData!$B$9:$B$508,113)</f>
        <v>#NUM!</v>
      </c>
      <c r="M621">
        <f>1/(COUNT(SimData!$B$9:$B$508)-1)+$M$620</f>
        <v>1.1313131313131302</v>
      </c>
      <c r="N621" t="e">
        <f>SMALL(SimData!$C$9:$C$508,113)</f>
        <v>#NUM!</v>
      </c>
      <c r="O621">
        <f>1/(COUNT(SimData!$C$9:$C$508)-1)+$O$620</f>
        <v>1.1313131313131302</v>
      </c>
      <c r="P621" t="e">
        <f>SMALL(SimData!$D$9:$D$508,113)</f>
        <v>#NUM!</v>
      </c>
      <c r="Q621">
        <f>1/(COUNT(SimData!$D$9:$D$508)-1)+$Q$620</f>
        <v>1.1313131313131302</v>
      </c>
    </row>
    <row r="622" spans="12:17">
      <c r="L622" t="e">
        <f>SMALL(SimData!$B$9:$B$508,114)</f>
        <v>#NUM!</v>
      </c>
      <c r="M622">
        <f>1/(COUNT(SimData!$B$9:$B$508)-1)+$M$621</f>
        <v>1.1414141414141403</v>
      </c>
      <c r="N622" t="e">
        <f>SMALL(SimData!$C$9:$C$508,114)</f>
        <v>#NUM!</v>
      </c>
      <c r="O622">
        <f>1/(COUNT(SimData!$C$9:$C$508)-1)+$O$621</f>
        <v>1.1414141414141403</v>
      </c>
      <c r="P622" t="e">
        <f>SMALL(SimData!$D$9:$D$508,114)</f>
        <v>#NUM!</v>
      </c>
      <c r="Q622">
        <f>1/(COUNT(SimData!$D$9:$D$508)-1)+$Q$621</f>
        <v>1.1414141414141403</v>
      </c>
    </row>
    <row r="623" spans="12:17">
      <c r="L623" t="e">
        <f>SMALL(SimData!$B$9:$B$508,115)</f>
        <v>#NUM!</v>
      </c>
      <c r="M623">
        <f>1/(COUNT(SimData!$B$9:$B$508)-1)+$M$622</f>
        <v>1.1515151515151505</v>
      </c>
      <c r="N623" t="e">
        <f>SMALL(SimData!$C$9:$C$508,115)</f>
        <v>#NUM!</v>
      </c>
      <c r="O623">
        <f>1/(COUNT(SimData!$C$9:$C$508)-1)+$O$622</f>
        <v>1.1515151515151505</v>
      </c>
      <c r="P623" t="e">
        <f>SMALL(SimData!$D$9:$D$508,115)</f>
        <v>#NUM!</v>
      </c>
      <c r="Q623">
        <f>1/(COUNT(SimData!$D$9:$D$508)-1)+$Q$622</f>
        <v>1.1515151515151505</v>
      </c>
    </row>
    <row r="624" spans="12:17">
      <c r="L624" t="e">
        <f>SMALL(SimData!$B$9:$B$508,116)</f>
        <v>#NUM!</v>
      </c>
      <c r="M624">
        <f>1/(COUNT(SimData!$B$9:$B$508)-1)+$M$623</f>
        <v>1.1616161616161607</v>
      </c>
      <c r="N624" t="e">
        <f>SMALL(SimData!$C$9:$C$508,116)</f>
        <v>#NUM!</v>
      </c>
      <c r="O624">
        <f>1/(COUNT(SimData!$C$9:$C$508)-1)+$O$623</f>
        <v>1.1616161616161607</v>
      </c>
      <c r="P624" t="e">
        <f>SMALL(SimData!$D$9:$D$508,116)</f>
        <v>#NUM!</v>
      </c>
      <c r="Q624">
        <f>1/(COUNT(SimData!$D$9:$D$508)-1)+$Q$623</f>
        <v>1.1616161616161607</v>
      </c>
    </row>
    <row r="625" spans="12:17">
      <c r="L625" t="e">
        <f>SMALL(SimData!$B$9:$B$508,117)</f>
        <v>#NUM!</v>
      </c>
      <c r="M625">
        <f>1/(COUNT(SimData!$B$9:$B$508)-1)+$M$624</f>
        <v>1.1717171717171708</v>
      </c>
      <c r="N625" t="e">
        <f>SMALL(SimData!$C$9:$C$508,117)</f>
        <v>#NUM!</v>
      </c>
      <c r="O625">
        <f>1/(COUNT(SimData!$C$9:$C$508)-1)+$O$624</f>
        <v>1.1717171717171708</v>
      </c>
      <c r="P625" t="e">
        <f>SMALL(SimData!$D$9:$D$508,117)</f>
        <v>#NUM!</v>
      </c>
      <c r="Q625">
        <f>1/(COUNT(SimData!$D$9:$D$508)-1)+$Q$624</f>
        <v>1.1717171717171708</v>
      </c>
    </row>
    <row r="626" spans="12:17">
      <c r="L626" t="e">
        <f>SMALL(SimData!$B$9:$B$508,118)</f>
        <v>#NUM!</v>
      </c>
      <c r="M626">
        <f>1/(COUNT(SimData!$B$9:$B$508)-1)+$M$625</f>
        <v>1.181818181818181</v>
      </c>
      <c r="N626" t="e">
        <f>SMALL(SimData!$C$9:$C$508,118)</f>
        <v>#NUM!</v>
      </c>
      <c r="O626">
        <f>1/(COUNT(SimData!$C$9:$C$508)-1)+$O$625</f>
        <v>1.181818181818181</v>
      </c>
      <c r="P626" t="e">
        <f>SMALL(SimData!$D$9:$D$508,118)</f>
        <v>#NUM!</v>
      </c>
      <c r="Q626">
        <f>1/(COUNT(SimData!$D$9:$D$508)-1)+$Q$625</f>
        <v>1.181818181818181</v>
      </c>
    </row>
    <row r="627" spans="12:17">
      <c r="L627" t="e">
        <f>SMALL(SimData!$B$9:$B$508,119)</f>
        <v>#NUM!</v>
      </c>
      <c r="M627">
        <f>1/(COUNT(SimData!$B$9:$B$508)-1)+$M$626</f>
        <v>1.1919191919191912</v>
      </c>
      <c r="N627" t="e">
        <f>SMALL(SimData!$C$9:$C$508,119)</f>
        <v>#NUM!</v>
      </c>
      <c r="O627">
        <f>1/(COUNT(SimData!$C$9:$C$508)-1)+$O$626</f>
        <v>1.1919191919191912</v>
      </c>
      <c r="P627" t="e">
        <f>SMALL(SimData!$D$9:$D$508,119)</f>
        <v>#NUM!</v>
      </c>
      <c r="Q627">
        <f>1/(COUNT(SimData!$D$9:$D$508)-1)+$Q$626</f>
        <v>1.1919191919191912</v>
      </c>
    </row>
    <row r="628" spans="12:17">
      <c r="L628" t="e">
        <f>SMALL(SimData!$B$9:$B$508,120)</f>
        <v>#NUM!</v>
      </c>
      <c r="M628">
        <f>1/(COUNT(SimData!$B$9:$B$508)-1)+$M$627</f>
        <v>1.2020202020202013</v>
      </c>
      <c r="N628" t="e">
        <f>SMALL(SimData!$C$9:$C$508,120)</f>
        <v>#NUM!</v>
      </c>
      <c r="O628">
        <f>1/(COUNT(SimData!$C$9:$C$508)-1)+$O$627</f>
        <v>1.2020202020202013</v>
      </c>
      <c r="P628" t="e">
        <f>SMALL(SimData!$D$9:$D$508,120)</f>
        <v>#NUM!</v>
      </c>
      <c r="Q628">
        <f>1/(COUNT(SimData!$D$9:$D$508)-1)+$Q$627</f>
        <v>1.2020202020202013</v>
      </c>
    </row>
    <row r="629" spans="12:17">
      <c r="L629" t="e">
        <f>SMALL(SimData!$B$9:$B$508,121)</f>
        <v>#NUM!</v>
      </c>
      <c r="M629">
        <f>1/(COUNT(SimData!$B$9:$B$508)-1)+$M$628</f>
        <v>1.2121212121212115</v>
      </c>
      <c r="N629" t="e">
        <f>SMALL(SimData!$C$9:$C$508,121)</f>
        <v>#NUM!</v>
      </c>
      <c r="O629">
        <f>1/(COUNT(SimData!$C$9:$C$508)-1)+$O$628</f>
        <v>1.2121212121212115</v>
      </c>
      <c r="P629" t="e">
        <f>SMALL(SimData!$D$9:$D$508,121)</f>
        <v>#NUM!</v>
      </c>
      <c r="Q629">
        <f>1/(COUNT(SimData!$D$9:$D$508)-1)+$Q$628</f>
        <v>1.2121212121212115</v>
      </c>
    </row>
    <row r="630" spans="12:17">
      <c r="L630" t="e">
        <f>SMALL(SimData!$B$9:$B$508,122)</f>
        <v>#NUM!</v>
      </c>
      <c r="M630">
        <f>1/(COUNT(SimData!$B$9:$B$508)-1)+$M$629</f>
        <v>1.2222222222222217</v>
      </c>
      <c r="N630" t="e">
        <f>SMALL(SimData!$C$9:$C$508,122)</f>
        <v>#NUM!</v>
      </c>
      <c r="O630">
        <f>1/(COUNT(SimData!$C$9:$C$508)-1)+$O$629</f>
        <v>1.2222222222222217</v>
      </c>
      <c r="P630" t="e">
        <f>SMALL(SimData!$D$9:$D$508,122)</f>
        <v>#NUM!</v>
      </c>
      <c r="Q630">
        <f>1/(COUNT(SimData!$D$9:$D$508)-1)+$Q$629</f>
        <v>1.2222222222222217</v>
      </c>
    </row>
    <row r="631" spans="12:17">
      <c r="L631" t="e">
        <f>SMALL(SimData!$B$9:$B$508,123)</f>
        <v>#NUM!</v>
      </c>
      <c r="M631">
        <f>1/(COUNT(SimData!$B$9:$B$508)-1)+$M$630</f>
        <v>1.2323232323232318</v>
      </c>
      <c r="N631" t="e">
        <f>SMALL(SimData!$C$9:$C$508,123)</f>
        <v>#NUM!</v>
      </c>
      <c r="O631">
        <f>1/(COUNT(SimData!$C$9:$C$508)-1)+$O$630</f>
        <v>1.2323232323232318</v>
      </c>
      <c r="P631" t="e">
        <f>SMALL(SimData!$D$9:$D$508,123)</f>
        <v>#NUM!</v>
      </c>
      <c r="Q631">
        <f>1/(COUNT(SimData!$D$9:$D$508)-1)+$Q$630</f>
        <v>1.2323232323232318</v>
      </c>
    </row>
    <row r="632" spans="12:17">
      <c r="L632" t="e">
        <f>SMALL(SimData!$B$9:$B$508,124)</f>
        <v>#NUM!</v>
      </c>
      <c r="M632">
        <f>1/(COUNT(SimData!$B$9:$B$508)-1)+$M$631</f>
        <v>1.242424242424242</v>
      </c>
      <c r="N632" t="e">
        <f>SMALL(SimData!$C$9:$C$508,124)</f>
        <v>#NUM!</v>
      </c>
      <c r="O632">
        <f>1/(COUNT(SimData!$C$9:$C$508)-1)+$O$631</f>
        <v>1.242424242424242</v>
      </c>
      <c r="P632" t="e">
        <f>SMALL(SimData!$D$9:$D$508,124)</f>
        <v>#NUM!</v>
      </c>
      <c r="Q632">
        <f>1/(COUNT(SimData!$D$9:$D$508)-1)+$Q$631</f>
        <v>1.242424242424242</v>
      </c>
    </row>
    <row r="633" spans="12:17">
      <c r="L633" t="e">
        <f>SMALL(SimData!$B$9:$B$508,125)</f>
        <v>#NUM!</v>
      </c>
      <c r="M633">
        <f>1/(COUNT(SimData!$B$9:$B$508)-1)+$M$632</f>
        <v>1.2525252525252522</v>
      </c>
      <c r="N633" t="e">
        <f>SMALL(SimData!$C$9:$C$508,125)</f>
        <v>#NUM!</v>
      </c>
      <c r="O633">
        <f>1/(COUNT(SimData!$C$9:$C$508)-1)+$O$632</f>
        <v>1.2525252525252522</v>
      </c>
      <c r="P633" t="e">
        <f>SMALL(SimData!$D$9:$D$508,125)</f>
        <v>#NUM!</v>
      </c>
      <c r="Q633">
        <f>1/(COUNT(SimData!$D$9:$D$508)-1)+$Q$632</f>
        <v>1.2525252525252522</v>
      </c>
    </row>
    <row r="634" spans="12:17">
      <c r="L634" t="e">
        <f>SMALL(SimData!$B$9:$B$508,126)</f>
        <v>#NUM!</v>
      </c>
      <c r="M634">
        <f>1/(COUNT(SimData!$B$9:$B$508)-1)+$M$633</f>
        <v>1.2626262626262623</v>
      </c>
      <c r="N634" t="e">
        <f>SMALL(SimData!$C$9:$C$508,126)</f>
        <v>#NUM!</v>
      </c>
      <c r="O634">
        <f>1/(COUNT(SimData!$C$9:$C$508)-1)+$O$633</f>
        <v>1.2626262626262623</v>
      </c>
      <c r="P634" t="e">
        <f>SMALL(SimData!$D$9:$D$508,126)</f>
        <v>#NUM!</v>
      </c>
      <c r="Q634">
        <f>1/(COUNT(SimData!$D$9:$D$508)-1)+$Q$633</f>
        <v>1.2626262626262623</v>
      </c>
    </row>
    <row r="635" spans="12:17">
      <c r="L635" t="e">
        <f>SMALL(SimData!$B$9:$B$508,127)</f>
        <v>#NUM!</v>
      </c>
      <c r="M635">
        <f>1/(COUNT(SimData!$B$9:$B$508)-1)+$M$634</f>
        <v>1.2727272727272725</v>
      </c>
      <c r="N635" t="e">
        <f>SMALL(SimData!$C$9:$C$508,127)</f>
        <v>#NUM!</v>
      </c>
      <c r="O635">
        <f>1/(COUNT(SimData!$C$9:$C$508)-1)+$O$634</f>
        <v>1.2727272727272725</v>
      </c>
      <c r="P635" t="e">
        <f>SMALL(SimData!$D$9:$D$508,127)</f>
        <v>#NUM!</v>
      </c>
      <c r="Q635">
        <f>1/(COUNT(SimData!$D$9:$D$508)-1)+$Q$634</f>
        <v>1.2727272727272725</v>
      </c>
    </row>
    <row r="636" spans="12:17">
      <c r="L636" t="e">
        <f>SMALL(SimData!$B$9:$B$508,128)</f>
        <v>#NUM!</v>
      </c>
      <c r="M636">
        <f>1/(COUNT(SimData!$B$9:$B$508)-1)+$M$635</f>
        <v>1.2828282828282827</v>
      </c>
      <c r="N636" t="e">
        <f>SMALL(SimData!$C$9:$C$508,128)</f>
        <v>#NUM!</v>
      </c>
      <c r="O636">
        <f>1/(COUNT(SimData!$C$9:$C$508)-1)+$O$635</f>
        <v>1.2828282828282827</v>
      </c>
      <c r="P636" t="e">
        <f>SMALL(SimData!$D$9:$D$508,128)</f>
        <v>#NUM!</v>
      </c>
      <c r="Q636">
        <f>1/(COUNT(SimData!$D$9:$D$508)-1)+$Q$635</f>
        <v>1.2828282828282827</v>
      </c>
    </row>
    <row r="637" spans="12:17">
      <c r="L637" t="e">
        <f>SMALL(SimData!$B$9:$B$508,129)</f>
        <v>#NUM!</v>
      </c>
      <c r="M637">
        <f>1/(COUNT(SimData!$B$9:$B$508)-1)+$M$636</f>
        <v>1.2929292929292928</v>
      </c>
      <c r="N637" t="e">
        <f>SMALL(SimData!$C$9:$C$508,129)</f>
        <v>#NUM!</v>
      </c>
      <c r="O637">
        <f>1/(COUNT(SimData!$C$9:$C$508)-1)+$O$636</f>
        <v>1.2929292929292928</v>
      </c>
      <c r="P637" t="e">
        <f>SMALL(SimData!$D$9:$D$508,129)</f>
        <v>#NUM!</v>
      </c>
      <c r="Q637">
        <f>1/(COUNT(SimData!$D$9:$D$508)-1)+$Q$636</f>
        <v>1.2929292929292928</v>
      </c>
    </row>
    <row r="638" spans="12:17">
      <c r="L638" t="e">
        <f>SMALL(SimData!$B$9:$B$508,130)</f>
        <v>#NUM!</v>
      </c>
      <c r="M638">
        <f>1/(COUNT(SimData!$B$9:$B$508)-1)+$M$637</f>
        <v>1.303030303030303</v>
      </c>
      <c r="N638" t="e">
        <f>SMALL(SimData!$C$9:$C$508,130)</f>
        <v>#NUM!</v>
      </c>
      <c r="O638">
        <f>1/(COUNT(SimData!$C$9:$C$508)-1)+$O$637</f>
        <v>1.303030303030303</v>
      </c>
      <c r="P638" t="e">
        <f>SMALL(SimData!$D$9:$D$508,130)</f>
        <v>#NUM!</v>
      </c>
      <c r="Q638">
        <f>1/(COUNT(SimData!$D$9:$D$508)-1)+$Q$637</f>
        <v>1.303030303030303</v>
      </c>
    </row>
    <row r="639" spans="12:17">
      <c r="L639" t="e">
        <f>SMALL(SimData!$B$9:$B$508,131)</f>
        <v>#NUM!</v>
      </c>
      <c r="M639">
        <f>1/(COUNT(SimData!$B$9:$B$508)-1)+$M$638</f>
        <v>1.3131313131313131</v>
      </c>
      <c r="N639" t="e">
        <f>SMALL(SimData!$C$9:$C$508,131)</f>
        <v>#NUM!</v>
      </c>
      <c r="O639">
        <f>1/(COUNT(SimData!$C$9:$C$508)-1)+$O$638</f>
        <v>1.3131313131313131</v>
      </c>
      <c r="P639" t="e">
        <f>SMALL(SimData!$D$9:$D$508,131)</f>
        <v>#NUM!</v>
      </c>
      <c r="Q639">
        <f>1/(COUNT(SimData!$D$9:$D$508)-1)+$Q$638</f>
        <v>1.3131313131313131</v>
      </c>
    </row>
    <row r="640" spans="12:17">
      <c r="L640" t="e">
        <f>SMALL(SimData!$B$9:$B$508,132)</f>
        <v>#NUM!</v>
      </c>
      <c r="M640">
        <f>1/(COUNT(SimData!$B$9:$B$508)-1)+$M$639</f>
        <v>1.3232323232323233</v>
      </c>
      <c r="N640" t="e">
        <f>SMALL(SimData!$C$9:$C$508,132)</f>
        <v>#NUM!</v>
      </c>
      <c r="O640">
        <f>1/(COUNT(SimData!$C$9:$C$508)-1)+$O$639</f>
        <v>1.3232323232323233</v>
      </c>
      <c r="P640" t="e">
        <f>SMALL(SimData!$D$9:$D$508,132)</f>
        <v>#NUM!</v>
      </c>
      <c r="Q640">
        <f>1/(COUNT(SimData!$D$9:$D$508)-1)+$Q$639</f>
        <v>1.3232323232323233</v>
      </c>
    </row>
    <row r="641" spans="12:17">
      <c r="L641" t="e">
        <f>SMALL(SimData!$B$9:$B$508,133)</f>
        <v>#NUM!</v>
      </c>
      <c r="M641">
        <f>1/(COUNT(SimData!$B$9:$B$508)-1)+$M$640</f>
        <v>1.3333333333333335</v>
      </c>
      <c r="N641" t="e">
        <f>SMALL(SimData!$C$9:$C$508,133)</f>
        <v>#NUM!</v>
      </c>
      <c r="O641">
        <f>1/(COUNT(SimData!$C$9:$C$508)-1)+$O$640</f>
        <v>1.3333333333333335</v>
      </c>
      <c r="P641" t="e">
        <f>SMALL(SimData!$D$9:$D$508,133)</f>
        <v>#NUM!</v>
      </c>
      <c r="Q641">
        <f>1/(COUNT(SimData!$D$9:$D$508)-1)+$Q$640</f>
        <v>1.3333333333333335</v>
      </c>
    </row>
    <row r="642" spans="12:17">
      <c r="L642" t="e">
        <f>SMALL(SimData!$B$9:$B$508,134)</f>
        <v>#NUM!</v>
      </c>
      <c r="M642">
        <f>1/(COUNT(SimData!$B$9:$B$508)-1)+$M$641</f>
        <v>1.3434343434343436</v>
      </c>
      <c r="N642" t="e">
        <f>SMALL(SimData!$C$9:$C$508,134)</f>
        <v>#NUM!</v>
      </c>
      <c r="O642">
        <f>1/(COUNT(SimData!$C$9:$C$508)-1)+$O$641</f>
        <v>1.3434343434343436</v>
      </c>
      <c r="P642" t="e">
        <f>SMALL(SimData!$D$9:$D$508,134)</f>
        <v>#NUM!</v>
      </c>
      <c r="Q642">
        <f>1/(COUNT(SimData!$D$9:$D$508)-1)+$Q$641</f>
        <v>1.3434343434343436</v>
      </c>
    </row>
    <row r="643" spans="12:17">
      <c r="L643" t="e">
        <f>SMALL(SimData!$B$9:$B$508,135)</f>
        <v>#NUM!</v>
      </c>
      <c r="M643">
        <f>1/(COUNT(SimData!$B$9:$B$508)-1)+$M$642</f>
        <v>1.3535353535353538</v>
      </c>
      <c r="N643" t="e">
        <f>SMALL(SimData!$C$9:$C$508,135)</f>
        <v>#NUM!</v>
      </c>
      <c r="O643">
        <f>1/(COUNT(SimData!$C$9:$C$508)-1)+$O$642</f>
        <v>1.3535353535353538</v>
      </c>
      <c r="P643" t="e">
        <f>SMALL(SimData!$D$9:$D$508,135)</f>
        <v>#NUM!</v>
      </c>
      <c r="Q643">
        <f>1/(COUNT(SimData!$D$9:$D$508)-1)+$Q$642</f>
        <v>1.3535353535353538</v>
      </c>
    </row>
    <row r="644" spans="12:17">
      <c r="L644" t="e">
        <f>SMALL(SimData!$B$9:$B$508,136)</f>
        <v>#NUM!</v>
      </c>
      <c r="M644">
        <f>1/(COUNT(SimData!$B$9:$B$508)-1)+$M$643</f>
        <v>1.363636363636364</v>
      </c>
      <c r="N644" t="e">
        <f>SMALL(SimData!$C$9:$C$508,136)</f>
        <v>#NUM!</v>
      </c>
      <c r="O644">
        <f>1/(COUNT(SimData!$C$9:$C$508)-1)+$O$643</f>
        <v>1.363636363636364</v>
      </c>
      <c r="P644" t="e">
        <f>SMALL(SimData!$D$9:$D$508,136)</f>
        <v>#NUM!</v>
      </c>
      <c r="Q644">
        <f>1/(COUNT(SimData!$D$9:$D$508)-1)+$Q$643</f>
        <v>1.363636363636364</v>
      </c>
    </row>
    <row r="645" spans="12:17">
      <c r="L645" t="e">
        <f>SMALL(SimData!$B$9:$B$508,137)</f>
        <v>#NUM!</v>
      </c>
      <c r="M645">
        <f>1/(COUNT(SimData!$B$9:$B$508)-1)+$M$644</f>
        <v>1.3737373737373741</v>
      </c>
      <c r="N645" t="e">
        <f>SMALL(SimData!$C$9:$C$508,137)</f>
        <v>#NUM!</v>
      </c>
      <c r="O645">
        <f>1/(COUNT(SimData!$C$9:$C$508)-1)+$O$644</f>
        <v>1.3737373737373741</v>
      </c>
      <c r="P645" t="e">
        <f>SMALL(SimData!$D$9:$D$508,137)</f>
        <v>#NUM!</v>
      </c>
      <c r="Q645">
        <f>1/(COUNT(SimData!$D$9:$D$508)-1)+$Q$644</f>
        <v>1.3737373737373741</v>
      </c>
    </row>
    <row r="646" spans="12:17">
      <c r="L646" t="e">
        <f>SMALL(SimData!$B$9:$B$508,138)</f>
        <v>#NUM!</v>
      </c>
      <c r="M646">
        <f>1/(COUNT(SimData!$B$9:$B$508)-1)+$M$645</f>
        <v>1.3838383838383843</v>
      </c>
      <c r="N646" t="e">
        <f>SMALL(SimData!$C$9:$C$508,138)</f>
        <v>#NUM!</v>
      </c>
      <c r="O646">
        <f>1/(COUNT(SimData!$C$9:$C$508)-1)+$O$645</f>
        <v>1.3838383838383843</v>
      </c>
      <c r="P646" t="e">
        <f>SMALL(SimData!$D$9:$D$508,138)</f>
        <v>#NUM!</v>
      </c>
      <c r="Q646">
        <f>1/(COUNT(SimData!$D$9:$D$508)-1)+$Q$645</f>
        <v>1.3838383838383843</v>
      </c>
    </row>
    <row r="647" spans="12:17">
      <c r="L647" t="e">
        <f>SMALL(SimData!$B$9:$B$508,139)</f>
        <v>#NUM!</v>
      </c>
      <c r="M647">
        <f>1/(COUNT(SimData!$B$9:$B$508)-1)+$M$646</f>
        <v>1.3939393939393945</v>
      </c>
      <c r="N647" t="e">
        <f>SMALL(SimData!$C$9:$C$508,139)</f>
        <v>#NUM!</v>
      </c>
      <c r="O647">
        <f>1/(COUNT(SimData!$C$9:$C$508)-1)+$O$646</f>
        <v>1.3939393939393945</v>
      </c>
      <c r="P647" t="e">
        <f>SMALL(SimData!$D$9:$D$508,139)</f>
        <v>#NUM!</v>
      </c>
      <c r="Q647">
        <f>1/(COUNT(SimData!$D$9:$D$508)-1)+$Q$646</f>
        <v>1.3939393939393945</v>
      </c>
    </row>
    <row r="648" spans="12:17">
      <c r="L648" t="e">
        <f>SMALL(SimData!$B$9:$B$508,140)</f>
        <v>#NUM!</v>
      </c>
      <c r="M648">
        <f>1/(COUNT(SimData!$B$9:$B$508)-1)+$M$647</f>
        <v>1.4040404040404046</v>
      </c>
      <c r="N648" t="e">
        <f>SMALL(SimData!$C$9:$C$508,140)</f>
        <v>#NUM!</v>
      </c>
      <c r="O648">
        <f>1/(COUNT(SimData!$C$9:$C$508)-1)+$O$647</f>
        <v>1.4040404040404046</v>
      </c>
      <c r="P648" t="e">
        <f>SMALL(SimData!$D$9:$D$508,140)</f>
        <v>#NUM!</v>
      </c>
      <c r="Q648">
        <f>1/(COUNT(SimData!$D$9:$D$508)-1)+$Q$647</f>
        <v>1.4040404040404046</v>
      </c>
    </row>
    <row r="649" spans="12:17">
      <c r="L649" t="e">
        <f>SMALL(SimData!$B$9:$B$508,141)</f>
        <v>#NUM!</v>
      </c>
      <c r="M649">
        <f>1/(COUNT(SimData!$B$9:$B$508)-1)+$M$648</f>
        <v>1.4141414141414148</v>
      </c>
      <c r="N649" t="e">
        <f>SMALL(SimData!$C$9:$C$508,141)</f>
        <v>#NUM!</v>
      </c>
      <c r="O649">
        <f>1/(COUNT(SimData!$C$9:$C$508)-1)+$O$648</f>
        <v>1.4141414141414148</v>
      </c>
      <c r="P649" t="e">
        <f>SMALL(SimData!$D$9:$D$508,141)</f>
        <v>#NUM!</v>
      </c>
      <c r="Q649">
        <f>1/(COUNT(SimData!$D$9:$D$508)-1)+$Q$648</f>
        <v>1.4141414141414148</v>
      </c>
    </row>
    <row r="650" spans="12:17">
      <c r="L650" t="e">
        <f>SMALL(SimData!$B$9:$B$508,142)</f>
        <v>#NUM!</v>
      </c>
      <c r="M650">
        <f>1/(COUNT(SimData!$B$9:$B$508)-1)+$M$649</f>
        <v>1.424242424242425</v>
      </c>
      <c r="N650" t="e">
        <f>SMALL(SimData!$C$9:$C$508,142)</f>
        <v>#NUM!</v>
      </c>
      <c r="O650">
        <f>1/(COUNT(SimData!$C$9:$C$508)-1)+$O$649</f>
        <v>1.424242424242425</v>
      </c>
      <c r="P650" t="e">
        <f>SMALL(SimData!$D$9:$D$508,142)</f>
        <v>#NUM!</v>
      </c>
      <c r="Q650">
        <f>1/(COUNT(SimData!$D$9:$D$508)-1)+$Q$649</f>
        <v>1.424242424242425</v>
      </c>
    </row>
    <row r="651" spans="12:17">
      <c r="L651" t="e">
        <f>SMALL(SimData!$B$9:$B$508,143)</f>
        <v>#NUM!</v>
      </c>
      <c r="M651">
        <f>1/(COUNT(SimData!$B$9:$B$508)-1)+$M$650</f>
        <v>1.4343434343434351</v>
      </c>
      <c r="N651" t="e">
        <f>SMALL(SimData!$C$9:$C$508,143)</f>
        <v>#NUM!</v>
      </c>
      <c r="O651">
        <f>1/(COUNT(SimData!$C$9:$C$508)-1)+$O$650</f>
        <v>1.4343434343434351</v>
      </c>
      <c r="P651" t="e">
        <f>SMALL(SimData!$D$9:$D$508,143)</f>
        <v>#NUM!</v>
      </c>
      <c r="Q651">
        <f>1/(COUNT(SimData!$D$9:$D$508)-1)+$Q$650</f>
        <v>1.4343434343434351</v>
      </c>
    </row>
    <row r="652" spans="12:17">
      <c r="L652" t="e">
        <f>SMALL(SimData!$B$9:$B$508,144)</f>
        <v>#NUM!</v>
      </c>
      <c r="M652">
        <f>1/(COUNT(SimData!$B$9:$B$508)-1)+$M$651</f>
        <v>1.4444444444444453</v>
      </c>
      <c r="N652" t="e">
        <f>SMALL(SimData!$C$9:$C$508,144)</f>
        <v>#NUM!</v>
      </c>
      <c r="O652">
        <f>1/(COUNT(SimData!$C$9:$C$508)-1)+$O$651</f>
        <v>1.4444444444444453</v>
      </c>
      <c r="P652" t="e">
        <f>SMALL(SimData!$D$9:$D$508,144)</f>
        <v>#NUM!</v>
      </c>
      <c r="Q652">
        <f>1/(COUNT(SimData!$D$9:$D$508)-1)+$Q$651</f>
        <v>1.4444444444444453</v>
      </c>
    </row>
    <row r="653" spans="12:17">
      <c r="L653" t="e">
        <f>SMALL(SimData!$B$9:$B$508,145)</f>
        <v>#NUM!</v>
      </c>
      <c r="M653">
        <f>1/(COUNT(SimData!$B$9:$B$508)-1)+$M$652</f>
        <v>1.4545454545454555</v>
      </c>
      <c r="N653" t="e">
        <f>SMALL(SimData!$C$9:$C$508,145)</f>
        <v>#NUM!</v>
      </c>
      <c r="O653">
        <f>1/(COUNT(SimData!$C$9:$C$508)-1)+$O$652</f>
        <v>1.4545454545454555</v>
      </c>
      <c r="P653" t="e">
        <f>SMALL(SimData!$D$9:$D$508,145)</f>
        <v>#NUM!</v>
      </c>
      <c r="Q653">
        <f>1/(COUNT(SimData!$D$9:$D$508)-1)+$Q$652</f>
        <v>1.4545454545454555</v>
      </c>
    </row>
    <row r="654" spans="12:17">
      <c r="L654" t="e">
        <f>SMALL(SimData!$B$9:$B$508,146)</f>
        <v>#NUM!</v>
      </c>
      <c r="M654">
        <f>1/(COUNT(SimData!$B$9:$B$508)-1)+$M$653</f>
        <v>1.4646464646464656</v>
      </c>
      <c r="N654" t="e">
        <f>SMALL(SimData!$C$9:$C$508,146)</f>
        <v>#NUM!</v>
      </c>
      <c r="O654">
        <f>1/(COUNT(SimData!$C$9:$C$508)-1)+$O$653</f>
        <v>1.4646464646464656</v>
      </c>
      <c r="P654" t="e">
        <f>SMALL(SimData!$D$9:$D$508,146)</f>
        <v>#NUM!</v>
      </c>
      <c r="Q654">
        <f>1/(COUNT(SimData!$D$9:$D$508)-1)+$Q$653</f>
        <v>1.4646464646464656</v>
      </c>
    </row>
    <row r="655" spans="12:17">
      <c r="L655" t="e">
        <f>SMALL(SimData!$B$9:$B$508,147)</f>
        <v>#NUM!</v>
      </c>
      <c r="M655">
        <f>1/(COUNT(SimData!$B$9:$B$508)-1)+$M$654</f>
        <v>1.4747474747474758</v>
      </c>
      <c r="N655" t="e">
        <f>SMALL(SimData!$C$9:$C$508,147)</f>
        <v>#NUM!</v>
      </c>
      <c r="O655">
        <f>1/(COUNT(SimData!$C$9:$C$508)-1)+$O$654</f>
        <v>1.4747474747474758</v>
      </c>
      <c r="P655" t="e">
        <f>SMALL(SimData!$D$9:$D$508,147)</f>
        <v>#NUM!</v>
      </c>
      <c r="Q655">
        <f>1/(COUNT(SimData!$D$9:$D$508)-1)+$Q$654</f>
        <v>1.4747474747474758</v>
      </c>
    </row>
    <row r="656" spans="12:17">
      <c r="L656" t="e">
        <f>SMALL(SimData!$B$9:$B$508,148)</f>
        <v>#NUM!</v>
      </c>
      <c r="M656">
        <f>1/(COUNT(SimData!$B$9:$B$508)-1)+$M$655</f>
        <v>1.484848484848486</v>
      </c>
      <c r="N656" t="e">
        <f>SMALL(SimData!$C$9:$C$508,148)</f>
        <v>#NUM!</v>
      </c>
      <c r="O656">
        <f>1/(COUNT(SimData!$C$9:$C$508)-1)+$O$655</f>
        <v>1.484848484848486</v>
      </c>
      <c r="P656" t="e">
        <f>SMALL(SimData!$D$9:$D$508,148)</f>
        <v>#NUM!</v>
      </c>
      <c r="Q656">
        <f>1/(COUNT(SimData!$D$9:$D$508)-1)+$Q$655</f>
        <v>1.484848484848486</v>
      </c>
    </row>
    <row r="657" spans="12:17">
      <c r="L657" t="e">
        <f>SMALL(SimData!$B$9:$B$508,149)</f>
        <v>#NUM!</v>
      </c>
      <c r="M657">
        <f>1/(COUNT(SimData!$B$9:$B$508)-1)+$M$656</f>
        <v>1.4949494949494961</v>
      </c>
      <c r="N657" t="e">
        <f>SMALL(SimData!$C$9:$C$508,149)</f>
        <v>#NUM!</v>
      </c>
      <c r="O657">
        <f>1/(COUNT(SimData!$C$9:$C$508)-1)+$O$656</f>
        <v>1.4949494949494961</v>
      </c>
      <c r="P657" t="e">
        <f>SMALL(SimData!$D$9:$D$508,149)</f>
        <v>#NUM!</v>
      </c>
      <c r="Q657">
        <f>1/(COUNT(SimData!$D$9:$D$508)-1)+$Q$656</f>
        <v>1.4949494949494961</v>
      </c>
    </row>
    <row r="658" spans="12:17">
      <c r="L658" t="e">
        <f>SMALL(SimData!$B$9:$B$508,150)</f>
        <v>#NUM!</v>
      </c>
      <c r="M658">
        <f>1/(COUNT(SimData!$B$9:$B$508)-1)+$M$657</f>
        <v>1.5050505050505063</v>
      </c>
      <c r="N658" t="e">
        <f>SMALL(SimData!$C$9:$C$508,150)</f>
        <v>#NUM!</v>
      </c>
      <c r="O658">
        <f>1/(COUNT(SimData!$C$9:$C$508)-1)+$O$657</f>
        <v>1.5050505050505063</v>
      </c>
      <c r="P658" t="e">
        <f>SMALL(SimData!$D$9:$D$508,150)</f>
        <v>#NUM!</v>
      </c>
      <c r="Q658">
        <f>1/(COUNT(SimData!$D$9:$D$508)-1)+$Q$657</f>
        <v>1.5050505050505063</v>
      </c>
    </row>
    <row r="659" spans="12:17">
      <c r="L659" t="e">
        <f>SMALL(SimData!$B$9:$B$508,151)</f>
        <v>#NUM!</v>
      </c>
      <c r="M659">
        <f>1/(COUNT(SimData!$B$9:$B$508)-1)+$M$658</f>
        <v>1.5151515151515165</v>
      </c>
      <c r="N659" t="e">
        <f>SMALL(SimData!$C$9:$C$508,151)</f>
        <v>#NUM!</v>
      </c>
      <c r="O659">
        <f>1/(COUNT(SimData!$C$9:$C$508)-1)+$O$658</f>
        <v>1.5151515151515165</v>
      </c>
      <c r="P659" t="e">
        <f>SMALL(SimData!$D$9:$D$508,151)</f>
        <v>#NUM!</v>
      </c>
      <c r="Q659">
        <f>1/(COUNT(SimData!$D$9:$D$508)-1)+$Q$658</f>
        <v>1.5151515151515165</v>
      </c>
    </row>
    <row r="660" spans="12:17">
      <c r="L660" t="e">
        <f>SMALL(SimData!$B$9:$B$508,152)</f>
        <v>#NUM!</v>
      </c>
      <c r="M660">
        <f>1/(COUNT(SimData!$B$9:$B$508)-1)+$M$659</f>
        <v>1.5252525252525266</v>
      </c>
      <c r="N660" t="e">
        <f>SMALL(SimData!$C$9:$C$508,152)</f>
        <v>#NUM!</v>
      </c>
      <c r="O660">
        <f>1/(COUNT(SimData!$C$9:$C$508)-1)+$O$659</f>
        <v>1.5252525252525266</v>
      </c>
      <c r="P660" t="e">
        <f>SMALL(SimData!$D$9:$D$508,152)</f>
        <v>#NUM!</v>
      </c>
      <c r="Q660">
        <f>1/(COUNT(SimData!$D$9:$D$508)-1)+$Q$659</f>
        <v>1.5252525252525266</v>
      </c>
    </row>
    <row r="661" spans="12:17">
      <c r="L661" t="e">
        <f>SMALL(SimData!$B$9:$B$508,153)</f>
        <v>#NUM!</v>
      </c>
      <c r="M661">
        <f>1/(COUNT(SimData!$B$9:$B$508)-1)+$M$660</f>
        <v>1.5353535353535368</v>
      </c>
      <c r="N661" t="e">
        <f>SMALL(SimData!$C$9:$C$508,153)</f>
        <v>#NUM!</v>
      </c>
      <c r="O661">
        <f>1/(COUNT(SimData!$C$9:$C$508)-1)+$O$660</f>
        <v>1.5353535353535368</v>
      </c>
      <c r="P661" t="e">
        <f>SMALL(SimData!$D$9:$D$508,153)</f>
        <v>#NUM!</v>
      </c>
      <c r="Q661">
        <f>1/(COUNT(SimData!$D$9:$D$508)-1)+$Q$660</f>
        <v>1.5353535353535368</v>
      </c>
    </row>
    <row r="662" spans="12:17">
      <c r="L662" t="e">
        <f>SMALL(SimData!$B$9:$B$508,154)</f>
        <v>#NUM!</v>
      </c>
      <c r="M662">
        <f>1/(COUNT(SimData!$B$9:$B$508)-1)+$M$661</f>
        <v>1.545454545454547</v>
      </c>
      <c r="N662" t="e">
        <f>SMALL(SimData!$C$9:$C$508,154)</f>
        <v>#NUM!</v>
      </c>
      <c r="O662">
        <f>1/(COUNT(SimData!$C$9:$C$508)-1)+$O$661</f>
        <v>1.545454545454547</v>
      </c>
      <c r="P662" t="e">
        <f>SMALL(SimData!$D$9:$D$508,154)</f>
        <v>#NUM!</v>
      </c>
      <c r="Q662">
        <f>1/(COUNT(SimData!$D$9:$D$508)-1)+$Q$661</f>
        <v>1.545454545454547</v>
      </c>
    </row>
    <row r="663" spans="12:17">
      <c r="L663" t="e">
        <f>SMALL(SimData!$B$9:$B$508,155)</f>
        <v>#NUM!</v>
      </c>
      <c r="M663">
        <f>1/(COUNT(SimData!$B$9:$B$508)-1)+$M$662</f>
        <v>1.5555555555555571</v>
      </c>
      <c r="N663" t="e">
        <f>SMALL(SimData!$C$9:$C$508,155)</f>
        <v>#NUM!</v>
      </c>
      <c r="O663">
        <f>1/(COUNT(SimData!$C$9:$C$508)-1)+$O$662</f>
        <v>1.5555555555555571</v>
      </c>
      <c r="P663" t="e">
        <f>SMALL(SimData!$D$9:$D$508,155)</f>
        <v>#NUM!</v>
      </c>
      <c r="Q663">
        <f>1/(COUNT(SimData!$D$9:$D$508)-1)+$Q$662</f>
        <v>1.5555555555555571</v>
      </c>
    </row>
    <row r="664" spans="12:17">
      <c r="L664" t="e">
        <f>SMALL(SimData!$B$9:$B$508,156)</f>
        <v>#NUM!</v>
      </c>
      <c r="M664">
        <f>1/(COUNT(SimData!$B$9:$B$508)-1)+$M$663</f>
        <v>1.5656565656565673</v>
      </c>
      <c r="N664" t="e">
        <f>SMALL(SimData!$C$9:$C$508,156)</f>
        <v>#NUM!</v>
      </c>
      <c r="O664">
        <f>1/(COUNT(SimData!$C$9:$C$508)-1)+$O$663</f>
        <v>1.5656565656565673</v>
      </c>
      <c r="P664" t="e">
        <f>SMALL(SimData!$D$9:$D$508,156)</f>
        <v>#NUM!</v>
      </c>
      <c r="Q664">
        <f>1/(COUNT(SimData!$D$9:$D$508)-1)+$Q$663</f>
        <v>1.5656565656565673</v>
      </c>
    </row>
    <row r="665" spans="12:17">
      <c r="L665" t="e">
        <f>SMALL(SimData!$B$9:$B$508,157)</f>
        <v>#NUM!</v>
      </c>
      <c r="M665">
        <f>1/(COUNT(SimData!$B$9:$B$508)-1)+$M$664</f>
        <v>1.5757575757575775</v>
      </c>
      <c r="N665" t="e">
        <f>SMALL(SimData!$C$9:$C$508,157)</f>
        <v>#NUM!</v>
      </c>
      <c r="O665">
        <f>1/(COUNT(SimData!$C$9:$C$508)-1)+$O$664</f>
        <v>1.5757575757575775</v>
      </c>
      <c r="P665" t="e">
        <f>SMALL(SimData!$D$9:$D$508,157)</f>
        <v>#NUM!</v>
      </c>
      <c r="Q665">
        <f>1/(COUNT(SimData!$D$9:$D$508)-1)+$Q$664</f>
        <v>1.5757575757575775</v>
      </c>
    </row>
    <row r="666" spans="12:17">
      <c r="L666" t="e">
        <f>SMALL(SimData!$B$9:$B$508,158)</f>
        <v>#NUM!</v>
      </c>
      <c r="M666">
        <f>1/(COUNT(SimData!$B$9:$B$508)-1)+$M$665</f>
        <v>1.5858585858585876</v>
      </c>
      <c r="N666" t="e">
        <f>SMALL(SimData!$C$9:$C$508,158)</f>
        <v>#NUM!</v>
      </c>
      <c r="O666">
        <f>1/(COUNT(SimData!$C$9:$C$508)-1)+$O$665</f>
        <v>1.5858585858585876</v>
      </c>
      <c r="P666" t="e">
        <f>SMALL(SimData!$D$9:$D$508,158)</f>
        <v>#NUM!</v>
      </c>
      <c r="Q666">
        <f>1/(COUNT(SimData!$D$9:$D$508)-1)+$Q$665</f>
        <v>1.5858585858585876</v>
      </c>
    </row>
    <row r="667" spans="12:17">
      <c r="L667" t="e">
        <f>SMALL(SimData!$B$9:$B$508,159)</f>
        <v>#NUM!</v>
      </c>
      <c r="M667">
        <f>1/(COUNT(SimData!$B$9:$B$508)-1)+$M$666</f>
        <v>1.5959595959595978</v>
      </c>
      <c r="N667" t="e">
        <f>SMALL(SimData!$C$9:$C$508,159)</f>
        <v>#NUM!</v>
      </c>
      <c r="O667">
        <f>1/(COUNT(SimData!$C$9:$C$508)-1)+$O$666</f>
        <v>1.5959595959595978</v>
      </c>
      <c r="P667" t="e">
        <f>SMALL(SimData!$D$9:$D$508,159)</f>
        <v>#NUM!</v>
      </c>
      <c r="Q667">
        <f>1/(COUNT(SimData!$D$9:$D$508)-1)+$Q$666</f>
        <v>1.5959595959595978</v>
      </c>
    </row>
    <row r="668" spans="12:17">
      <c r="L668" t="e">
        <f>SMALL(SimData!$B$9:$B$508,160)</f>
        <v>#NUM!</v>
      </c>
      <c r="M668">
        <f>1/(COUNT(SimData!$B$9:$B$508)-1)+$M$667</f>
        <v>1.606060606060608</v>
      </c>
      <c r="N668" t="e">
        <f>SMALL(SimData!$C$9:$C$508,160)</f>
        <v>#NUM!</v>
      </c>
      <c r="O668">
        <f>1/(COUNT(SimData!$C$9:$C$508)-1)+$O$667</f>
        <v>1.606060606060608</v>
      </c>
      <c r="P668" t="e">
        <f>SMALL(SimData!$D$9:$D$508,160)</f>
        <v>#NUM!</v>
      </c>
      <c r="Q668">
        <f>1/(COUNT(SimData!$D$9:$D$508)-1)+$Q$667</f>
        <v>1.606060606060608</v>
      </c>
    </row>
    <row r="669" spans="12:17">
      <c r="L669" t="e">
        <f>SMALL(SimData!$B$9:$B$508,161)</f>
        <v>#NUM!</v>
      </c>
      <c r="M669">
        <f>1/(COUNT(SimData!$B$9:$B$508)-1)+$M$668</f>
        <v>1.6161616161616181</v>
      </c>
      <c r="N669" t="e">
        <f>SMALL(SimData!$C$9:$C$508,161)</f>
        <v>#NUM!</v>
      </c>
      <c r="O669">
        <f>1/(COUNT(SimData!$C$9:$C$508)-1)+$O$668</f>
        <v>1.6161616161616181</v>
      </c>
      <c r="P669" t="e">
        <f>SMALL(SimData!$D$9:$D$508,161)</f>
        <v>#NUM!</v>
      </c>
      <c r="Q669">
        <f>1/(COUNT(SimData!$D$9:$D$508)-1)+$Q$668</f>
        <v>1.6161616161616181</v>
      </c>
    </row>
    <row r="670" spans="12:17">
      <c r="L670" t="e">
        <f>SMALL(SimData!$B$9:$B$508,162)</f>
        <v>#NUM!</v>
      </c>
      <c r="M670">
        <f>1/(COUNT(SimData!$B$9:$B$508)-1)+$M$669</f>
        <v>1.6262626262626283</v>
      </c>
      <c r="N670" t="e">
        <f>SMALL(SimData!$C$9:$C$508,162)</f>
        <v>#NUM!</v>
      </c>
      <c r="O670">
        <f>1/(COUNT(SimData!$C$9:$C$508)-1)+$O$669</f>
        <v>1.6262626262626283</v>
      </c>
      <c r="P670" t="e">
        <f>SMALL(SimData!$D$9:$D$508,162)</f>
        <v>#NUM!</v>
      </c>
      <c r="Q670">
        <f>1/(COUNT(SimData!$D$9:$D$508)-1)+$Q$669</f>
        <v>1.6262626262626283</v>
      </c>
    </row>
    <row r="671" spans="12:17">
      <c r="L671" t="e">
        <f>SMALL(SimData!$B$9:$B$508,163)</f>
        <v>#NUM!</v>
      </c>
      <c r="M671">
        <f>1/(COUNT(SimData!$B$9:$B$508)-1)+$M$670</f>
        <v>1.6363636363636385</v>
      </c>
      <c r="N671" t="e">
        <f>SMALL(SimData!$C$9:$C$508,163)</f>
        <v>#NUM!</v>
      </c>
      <c r="O671">
        <f>1/(COUNT(SimData!$C$9:$C$508)-1)+$O$670</f>
        <v>1.6363636363636385</v>
      </c>
      <c r="P671" t="e">
        <f>SMALL(SimData!$D$9:$D$508,163)</f>
        <v>#NUM!</v>
      </c>
      <c r="Q671">
        <f>1/(COUNT(SimData!$D$9:$D$508)-1)+$Q$670</f>
        <v>1.6363636363636385</v>
      </c>
    </row>
    <row r="672" spans="12:17">
      <c r="L672" t="e">
        <f>SMALL(SimData!$B$9:$B$508,164)</f>
        <v>#NUM!</v>
      </c>
      <c r="M672">
        <f>1/(COUNT(SimData!$B$9:$B$508)-1)+$M$671</f>
        <v>1.6464646464646486</v>
      </c>
      <c r="N672" t="e">
        <f>SMALL(SimData!$C$9:$C$508,164)</f>
        <v>#NUM!</v>
      </c>
      <c r="O672">
        <f>1/(COUNT(SimData!$C$9:$C$508)-1)+$O$671</f>
        <v>1.6464646464646486</v>
      </c>
      <c r="P672" t="e">
        <f>SMALL(SimData!$D$9:$D$508,164)</f>
        <v>#NUM!</v>
      </c>
      <c r="Q672">
        <f>1/(COUNT(SimData!$D$9:$D$508)-1)+$Q$671</f>
        <v>1.6464646464646486</v>
      </c>
    </row>
    <row r="673" spans="12:17">
      <c r="L673" t="e">
        <f>SMALL(SimData!$B$9:$B$508,165)</f>
        <v>#NUM!</v>
      </c>
      <c r="M673">
        <f>1/(COUNT(SimData!$B$9:$B$508)-1)+$M$672</f>
        <v>1.6565656565656588</v>
      </c>
      <c r="N673" t="e">
        <f>SMALL(SimData!$C$9:$C$508,165)</f>
        <v>#NUM!</v>
      </c>
      <c r="O673">
        <f>1/(COUNT(SimData!$C$9:$C$508)-1)+$O$672</f>
        <v>1.6565656565656588</v>
      </c>
      <c r="P673" t="e">
        <f>SMALL(SimData!$D$9:$D$508,165)</f>
        <v>#NUM!</v>
      </c>
      <c r="Q673">
        <f>1/(COUNT(SimData!$D$9:$D$508)-1)+$Q$672</f>
        <v>1.6565656565656588</v>
      </c>
    </row>
    <row r="674" spans="12:17">
      <c r="L674" t="e">
        <f>SMALL(SimData!$B$9:$B$508,166)</f>
        <v>#NUM!</v>
      </c>
      <c r="M674">
        <f>1/(COUNT(SimData!$B$9:$B$508)-1)+$M$673</f>
        <v>1.666666666666669</v>
      </c>
      <c r="N674" t="e">
        <f>SMALL(SimData!$C$9:$C$508,166)</f>
        <v>#NUM!</v>
      </c>
      <c r="O674">
        <f>1/(COUNT(SimData!$C$9:$C$508)-1)+$O$673</f>
        <v>1.666666666666669</v>
      </c>
      <c r="P674" t="e">
        <f>SMALL(SimData!$D$9:$D$508,166)</f>
        <v>#NUM!</v>
      </c>
      <c r="Q674">
        <f>1/(COUNT(SimData!$D$9:$D$508)-1)+$Q$673</f>
        <v>1.666666666666669</v>
      </c>
    </row>
    <row r="675" spans="12:17">
      <c r="L675" t="e">
        <f>SMALL(SimData!$B$9:$B$508,167)</f>
        <v>#NUM!</v>
      </c>
      <c r="M675">
        <f>1/(COUNT(SimData!$B$9:$B$508)-1)+$M$674</f>
        <v>1.6767676767676791</v>
      </c>
      <c r="N675" t="e">
        <f>SMALL(SimData!$C$9:$C$508,167)</f>
        <v>#NUM!</v>
      </c>
      <c r="O675">
        <f>1/(COUNT(SimData!$C$9:$C$508)-1)+$O$674</f>
        <v>1.6767676767676791</v>
      </c>
      <c r="P675" t="e">
        <f>SMALL(SimData!$D$9:$D$508,167)</f>
        <v>#NUM!</v>
      </c>
      <c r="Q675">
        <f>1/(COUNT(SimData!$D$9:$D$508)-1)+$Q$674</f>
        <v>1.6767676767676791</v>
      </c>
    </row>
    <row r="676" spans="12:17">
      <c r="L676" t="e">
        <f>SMALL(SimData!$B$9:$B$508,168)</f>
        <v>#NUM!</v>
      </c>
      <c r="M676">
        <f>1/(COUNT(SimData!$B$9:$B$508)-1)+$M$675</f>
        <v>1.6868686868686893</v>
      </c>
      <c r="N676" t="e">
        <f>SMALL(SimData!$C$9:$C$508,168)</f>
        <v>#NUM!</v>
      </c>
      <c r="O676">
        <f>1/(COUNT(SimData!$C$9:$C$508)-1)+$O$675</f>
        <v>1.6868686868686893</v>
      </c>
      <c r="P676" t="e">
        <f>SMALL(SimData!$D$9:$D$508,168)</f>
        <v>#NUM!</v>
      </c>
      <c r="Q676">
        <f>1/(COUNT(SimData!$D$9:$D$508)-1)+$Q$675</f>
        <v>1.6868686868686893</v>
      </c>
    </row>
    <row r="677" spans="12:17">
      <c r="L677" t="e">
        <f>SMALL(SimData!$B$9:$B$508,169)</f>
        <v>#NUM!</v>
      </c>
      <c r="M677">
        <f>1/(COUNT(SimData!$B$9:$B$508)-1)+$M$676</f>
        <v>1.6969696969696995</v>
      </c>
      <c r="N677" t="e">
        <f>SMALL(SimData!$C$9:$C$508,169)</f>
        <v>#NUM!</v>
      </c>
      <c r="O677">
        <f>1/(COUNT(SimData!$C$9:$C$508)-1)+$O$676</f>
        <v>1.6969696969696995</v>
      </c>
      <c r="P677" t="e">
        <f>SMALL(SimData!$D$9:$D$508,169)</f>
        <v>#NUM!</v>
      </c>
      <c r="Q677">
        <f>1/(COUNT(SimData!$D$9:$D$508)-1)+$Q$676</f>
        <v>1.6969696969696995</v>
      </c>
    </row>
    <row r="678" spans="12:17">
      <c r="L678" t="e">
        <f>SMALL(SimData!$B$9:$B$508,170)</f>
        <v>#NUM!</v>
      </c>
      <c r="M678">
        <f>1/(COUNT(SimData!$B$9:$B$508)-1)+$M$677</f>
        <v>1.7070707070707096</v>
      </c>
      <c r="N678" t="e">
        <f>SMALL(SimData!$C$9:$C$508,170)</f>
        <v>#NUM!</v>
      </c>
      <c r="O678">
        <f>1/(COUNT(SimData!$C$9:$C$508)-1)+$O$677</f>
        <v>1.7070707070707096</v>
      </c>
      <c r="P678" t="e">
        <f>SMALL(SimData!$D$9:$D$508,170)</f>
        <v>#NUM!</v>
      </c>
      <c r="Q678">
        <f>1/(COUNT(SimData!$D$9:$D$508)-1)+$Q$677</f>
        <v>1.7070707070707096</v>
      </c>
    </row>
    <row r="679" spans="12:17">
      <c r="L679" t="e">
        <f>SMALL(SimData!$B$9:$B$508,171)</f>
        <v>#NUM!</v>
      </c>
      <c r="M679">
        <f>1/(COUNT(SimData!$B$9:$B$508)-1)+$M$678</f>
        <v>1.7171717171717198</v>
      </c>
      <c r="N679" t="e">
        <f>SMALL(SimData!$C$9:$C$508,171)</f>
        <v>#NUM!</v>
      </c>
      <c r="O679">
        <f>1/(COUNT(SimData!$C$9:$C$508)-1)+$O$678</f>
        <v>1.7171717171717198</v>
      </c>
      <c r="P679" t="e">
        <f>SMALL(SimData!$D$9:$D$508,171)</f>
        <v>#NUM!</v>
      </c>
      <c r="Q679">
        <f>1/(COUNT(SimData!$D$9:$D$508)-1)+$Q$678</f>
        <v>1.7171717171717198</v>
      </c>
    </row>
    <row r="680" spans="12:17">
      <c r="L680" t="e">
        <f>SMALL(SimData!$B$9:$B$508,172)</f>
        <v>#NUM!</v>
      </c>
      <c r="M680">
        <f>1/(COUNT(SimData!$B$9:$B$508)-1)+$M$679</f>
        <v>1.72727272727273</v>
      </c>
      <c r="N680" t="e">
        <f>SMALL(SimData!$C$9:$C$508,172)</f>
        <v>#NUM!</v>
      </c>
      <c r="O680">
        <f>1/(COUNT(SimData!$C$9:$C$508)-1)+$O$679</f>
        <v>1.72727272727273</v>
      </c>
      <c r="P680" t="e">
        <f>SMALL(SimData!$D$9:$D$508,172)</f>
        <v>#NUM!</v>
      </c>
      <c r="Q680">
        <f>1/(COUNT(SimData!$D$9:$D$508)-1)+$Q$679</f>
        <v>1.72727272727273</v>
      </c>
    </row>
    <row r="681" spans="12:17">
      <c r="L681" t="e">
        <f>SMALL(SimData!$B$9:$B$508,173)</f>
        <v>#NUM!</v>
      </c>
      <c r="M681">
        <f>1/(COUNT(SimData!$B$9:$B$508)-1)+$M$680</f>
        <v>1.7373737373737401</v>
      </c>
      <c r="N681" t="e">
        <f>SMALL(SimData!$C$9:$C$508,173)</f>
        <v>#NUM!</v>
      </c>
      <c r="O681">
        <f>1/(COUNT(SimData!$C$9:$C$508)-1)+$O$680</f>
        <v>1.7373737373737401</v>
      </c>
      <c r="P681" t="e">
        <f>SMALL(SimData!$D$9:$D$508,173)</f>
        <v>#NUM!</v>
      </c>
      <c r="Q681">
        <f>1/(COUNT(SimData!$D$9:$D$508)-1)+$Q$680</f>
        <v>1.7373737373737401</v>
      </c>
    </row>
    <row r="682" spans="12:17">
      <c r="L682" t="e">
        <f>SMALL(SimData!$B$9:$B$508,174)</f>
        <v>#NUM!</v>
      </c>
      <c r="M682">
        <f>1/(COUNT(SimData!$B$9:$B$508)-1)+$M$681</f>
        <v>1.7474747474747503</v>
      </c>
      <c r="N682" t="e">
        <f>SMALL(SimData!$C$9:$C$508,174)</f>
        <v>#NUM!</v>
      </c>
      <c r="O682">
        <f>1/(COUNT(SimData!$C$9:$C$508)-1)+$O$681</f>
        <v>1.7474747474747503</v>
      </c>
      <c r="P682" t="e">
        <f>SMALL(SimData!$D$9:$D$508,174)</f>
        <v>#NUM!</v>
      </c>
      <c r="Q682">
        <f>1/(COUNT(SimData!$D$9:$D$508)-1)+$Q$681</f>
        <v>1.7474747474747503</v>
      </c>
    </row>
    <row r="683" spans="12:17">
      <c r="L683" t="e">
        <f>SMALL(SimData!$B$9:$B$508,175)</f>
        <v>#NUM!</v>
      </c>
      <c r="M683">
        <f>1/(COUNT(SimData!$B$9:$B$508)-1)+$M$682</f>
        <v>1.7575757575757605</v>
      </c>
      <c r="N683" t="e">
        <f>SMALL(SimData!$C$9:$C$508,175)</f>
        <v>#NUM!</v>
      </c>
      <c r="O683">
        <f>1/(COUNT(SimData!$C$9:$C$508)-1)+$O$682</f>
        <v>1.7575757575757605</v>
      </c>
      <c r="P683" t="e">
        <f>SMALL(SimData!$D$9:$D$508,175)</f>
        <v>#NUM!</v>
      </c>
      <c r="Q683">
        <f>1/(COUNT(SimData!$D$9:$D$508)-1)+$Q$682</f>
        <v>1.7575757575757605</v>
      </c>
    </row>
    <row r="684" spans="12:17">
      <c r="L684" t="e">
        <f>SMALL(SimData!$B$9:$B$508,176)</f>
        <v>#NUM!</v>
      </c>
      <c r="M684">
        <f>1/(COUNT(SimData!$B$9:$B$508)-1)+$M$683</f>
        <v>1.7676767676767706</v>
      </c>
      <c r="N684" t="e">
        <f>SMALL(SimData!$C$9:$C$508,176)</f>
        <v>#NUM!</v>
      </c>
      <c r="O684">
        <f>1/(COUNT(SimData!$C$9:$C$508)-1)+$O$683</f>
        <v>1.7676767676767706</v>
      </c>
      <c r="P684" t="e">
        <f>SMALL(SimData!$D$9:$D$508,176)</f>
        <v>#NUM!</v>
      </c>
      <c r="Q684">
        <f>1/(COUNT(SimData!$D$9:$D$508)-1)+$Q$683</f>
        <v>1.7676767676767706</v>
      </c>
    </row>
    <row r="685" spans="12:17">
      <c r="L685" t="e">
        <f>SMALL(SimData!$B$9:$B$508,177)</f>
        <v>#NUM!</v>
      </c>
      <c r="M685">
        <f>1/(COUNT(SimData!$B$9:$B$508)-1)+$M$684</f>
        <v>1.7777777777777808</v>
      </c>
      <c r="N685" t="e">
        <f>SMALL(SimData!$C$9:$C$508,177)</f>
        <v>#NUM!</v>
      </c>
      <c r="O685">
        <f>1/(COUNT(SimData!$C$9:$C$508)-1)+$O$684</f>
        <v>1.7777777777777808</v>
      </c>
      <c r="P685" t="e">
        <f>SMALL(SimData!$D$9:$D$508,177)</f>
        <v>#NUM!</v>
      </c>
      <c r="Q685">
        <f>1/(COUNT(SimData!$D$9:$D$508)-1)+$Q$684</f>
        <v>1.7777777777777808</v>
      </c>
    </row>
    <row r="686" spans="12:17">
      <c r="L686" t="e">
        <f>SMALL(SimData!$B$9:$B$508,178)</f>
        <v>#NUM!</v>
      </c>
      <c r="M686">
        <f>1/(COUNT(SimData!$B$9:$B$508)-1)+$M$685</f>
        <v>1.787878787878791</v>
      </c>
      <c r="N686" t="e">
        <f>SMALL(SimData!$C$9:$C$508,178)</f>
        <v>#NUM!</v>
      </c>
      <c r="O686">
        <f>1/(COUNT(SimData!$C$9:$C$508)-1)+$O$685</f>
        <v>1.787878787878791</v>
      </c>
      <c r="P686" t="e">
        <f>SMALL(SimData!$D$9:$D$508,178)</f>
        <v>#NUM!</v>
      </c>
      <c r="Q686">
        <f>1/(COUNT(SimData!$D$9:$D$508)-1)+$Q$685</f>
        <v>1.787878787878791</v>
      </c>
    </row>
    <row r="687" spans="12:17">
      <c r="L687" t="e">
        <f>SMALL(SimData!$B$9:$B$508,179)</f>
        <v>#NUM!</v>
      </c>
      <c r="M687">
        <f>1/(COUNT(SimData!$B$9:$B$508)-1)+$M$686</f>
        <v>1.7979797979798011</v>
      </c>
      <c r="N687" t="e">
        <f>SMALL(SimData!$C$9:$C$508,179)</f>
        <v>#NUM!</v>
      </c>
      <c r="O687">
        <f>1/(COUNT(SimData!$C$9:$C$508)-1)+$O$686</f>
        <v>1.7979797979798011</v>
      </c>
      <c r="P687" t="e">
        <f>SMALL(SimData!$D$9:$D$508,179)</f>
        <v>#NUM!</v>
      </c>
      <c r="Q687">
        <f>1/(COUNT(SimData!$D$9:$D$508)-1)+$Q$686</f>
        <v>1.7979797979798011</v>
      </c>
    </row>
    <row r="688" spans="12:17">
      <c r="L688" t="e">
        <f>SMALL(SimData!$B$9:$B$508,180)</f>
        <v>#NUM!</v>
      </c>
      <c r="M688">
        <f>1/(COUNT(SimData!$B$9:$B$508)-1)+$M$687</f>
        <v>1.8080808080808113</v>
      </c>
      <c r="N688" t="e">
        <f>SMALL(SimData!$C$9:$C$508,180)</f>
        <v>#NUM!</v>
      </c>
      <c r="O688">
        <f>1/(COUNT(SimData!$C$9:$C$508)-1)+$O$687</f>
        <v>1.8080808080808113</v>
      </c>
      <c r="P688" t="e">
        <f>SMALL(SimData!$D$9:$D$508,180)</f>
        <v>#NUM!</v>
      </c>
      <c r="Q688">
        <f>1/(COUNT(SimData!$D$9:$D$508)-1)+$Q$687</f>
        <v>1.8080808080808113</v>
      </c>
    </row>
    <row r="689" spans="12:17">
      <c r="L689" t="e">
        <f>SMALL(SimData!$B$9:$B$508,181)</f>
        <v>#NUM!</v>
      </c>
      <c r="M689">
        <f>1/(COUNT(SimData!$B$9:$B$508)-1)+$M$688</f>
        <v>1.8181818181818215</v>
      </c>
      <c r="N689" t="e">
        <f>SMALL(SimData!$C$9:$C$508,181)</f>
        <v>#NUM!</v>
      </c>
      <c r="O689">
        <f>1/(COUNT(SimData!$C$9:$C$508)-1)+$O$688</f>
        <v>1.8181818181818215</v>
      </c>
      <c r="P689" t="e">
        <f>SMALL(SimData!$D$9:$D$508,181)</f>
        <v>#NUM!</v>
      </c>
      <c r="Q689">
        <f>1/(COUNT(SimData!$D$9:$D$508)-1)+$Q$688</f>
        <v>1.8181818181818215</v>
      </c>
    </row>
    <row r="690" spans="12:17">
      <c r="L690" t="e">
        <f>SMALL(SimData!$B$9:$B$508,182)</f>
        <v>#NUM!</v>
      </c>
      <c r="M690">
        <f>1/(COUNT(SimData!$B$9:$B$508)-1)+$M$689</f>
        <v>1.8282828282828316</v>
      </c>
      <c r="N690" t="e">
        <f>SMALL(SimData!$C$9:$C$508,182)</f>
        <v>#NUM!</v>
      </c>
      <c r="O690">
        <f>1/(COUNT(SimData!$C$9:$C$508)-1)+$O$689</f>
        <v>1.8282828282828316</v>
      </c>
      <c r="P690" t="e">
        <f>SMALL(SimData!$D$9:$D$508,182)</f>
        <v>#NUM!</v>
      </c>
      <c r="Q690">
        <f>1/(COUNT(SimData!$D$9:$D$508)-1)+$Q$689</f>
        <v>1.8282828282828316</v>
      </c>
    </row>
    <row r="691" spans="12:17">
      <c r="L691" t="e">
        <f>SMALL(SimData!$B$9:$B$508,183)</f>
        <v>#NUM!</v>
      </c>
      <c r="M691">
        <f>1/(COUNT(SimData!$B$9:$B$508)-1)+$M$690</f>
        <v>1.8383838383838418</v>
      </c>
      <c r="N691" t="e">
        <f>SMALL(SimData!$C$9:$C$508,183)</f>
        <v>#NUM!</v>
      </c>
      <c r="O691">
        <f>1/(COUNT(SimData!$C$9:$C$508)-1)+$O$690</f>
        <v>1.8383838383838418</v>
      </c>
      <c r="P691" t="e">
        <f>SMALL(SimData!$D$9:$D$508,183)</f>
        <v>#NUM!</v>
      </c>
      <c r="Q691">
        <f>1/(COUNT(SimData!$D$9:$D$508)-1)+$Q$690</f>
        <v>1.8383838383838418</v>
      </c>
    </row>
    <row r="692" spans="12:17">
      <c r="L692" t="e">
        <f>SMALL(SimData!$B$9:$B$508,184)</f>
        <v>#NUM!</v>
      </c>
      <c r="M692">
        <f>1/(COUNT(SimData!$B$9:$B$508)-1)+$M$691</f>
        <v>1.848484848484852</v>
      </c>
      <c r="N692" t="e">
        <f>SMALL(SimData!$C$9:$C$508,184)</f>
        <v>#NUM!</v>
      </c>
      <c r="O692">
        <f>1/(COUNT(SimData!$C$9:$C$508)-1)+$O$691</f>
        <v>1.848484848484852</v>
      </c>
      <c r="P692" t="e">
        <f>SMALL(SimData!$D$9:$D$508,184)</f>
        <v>#NUM!</v>
      </c>
      <c r="Q692">
        <f>1/(COUNT(SimData!$D$9:$D$508)-1)+$Q$691</f>
        <v>1.848484848484852</v>
      </c>
    </row>
    <row r="693" spans="12:17">
      <c r="L693" t="e">
        <f>SMALL(SimData!$B$9:$B$508,185)</f>
        <v>#NUM!</v>
      </c>
      <c r="M693">
        <f>1/(COUNT(SimData!$B$9:$B$508)-1)+$M$692</f>
        <v>1.8585858585858621</v>
      </c>
      <c r="N693" t="e">
        <f>SMALL(SimData!$C$9:$C$508,185)</f>
        <v>#NUM!</v>
      </c>
      <c r="O693">
        <f>1/(COUNT(SimData!$C$9:$C$508)-1)+$O$692</f>
        <v>1.8585858585858621</v>
      </c>
      <c r="P693" t="e">
        <f>SMALL(SimData!$D$9:$D$508,185)</f>
        <v>#NUM!</v>
      </c>
      <c r="Q693">
        <f>1/(COUNT(SimData!$D$9:$D$508)-1)+$Q$692</f>
        <v>1.8585858585858621</v>
      </c>
    </row>
    <row r="694" spans="12:17">
      <c r="L694" t="e">
        <f>SMALL(SimData!$B$9:$B$508,186)</f>
        <v>#NUM!</v>
      </c>
      <c r="M694">
        <f>1/(COUNT(SimData!$B$9:$B$508)-1)+$M$693</f>
        <v>1.8686868686868723</v>
      </c>
      <c r="N694" t="e">
        <f>SMALL(SimData!$C$9:$C$508,186)</f>
        <v>#NUM!</v>
      </c>
      <c r="O694">
        <f>1/(COUNT(SimData!$C$9:$C$508)-1)+$O$693</f>
        <v>1.8686868686868723</v>
      </c>
      <c r="P694" t="e">
        <f>SMALL(SimData!$D$9:$D$508,186)</f>
        <v>#NUM!</v>
      </c>
      <c r="Q694">
        <f>1/(COUNT(SimData!$D$9:$D$508)-1)+$Q$693</f>
        <v>1.8686868686868723</v>
      </c>
    </row>
    <row r="695" spans="12:17">
      <c r="L695" t="e">
        <f>SMALL(SimData!$B$9:$B$508,187)</f>
        <v>#NUM!</v>
      </c>
      <c r="M695">
        <f>1/(COUNT(SimData!$B$9:$B$508)-1)+$M$694</f>
        <v>1.8787878787878824</v>
      </c>
      <c r="N695" t="e">
        <f>SMALL(SimData!$C$9:$C$508,187)</f>
        <v>#NUM!</v>
      </c>
      <c r="O695">
        <f>1/(COUNT(SimData!$C$9:$C$508)-1)+$O$694</f>
        <v>1.8787878787878824</v>
      </c>
      <c r="P695" t="e">
        <f>SMALL(SimData!$D$9:$D$508,187)</f>
        <v>#NUM!</v>
      </c>
      <c r="Q695">
        <f>1/(COUNT(SimData!$D$9:$D$508)-1)+$Q$694</f>
        <v>1.8787878787878824</v>
      </c>
    </row>
    <row r="696" spans="12:17">
      <c r="L696" t="e">
        <f>SMALL(SimData!$B$9:$B$508,188)</f>
        <v>#NUM!</v>
      </c>
      <c r="M696">
        <f>1/(COUNT(SimData!$B$9:$B$508)-1)+$M$695</f>
        <v>1.8888888888888926</v>
      </c>
      <c r="N696" t="e">
        <f>SMALL(SimData!$C$9:$C$508,188)</f>
        <v>#NUM!</v>
      </c>
      <c r="O696">
        <f>1/(COUNT(SimData!$C$9:$C$508)-1)+$O$695</f>
        <v>1.8888888888888926</v>
      </c>
      <c r="P696" t="e">
        <f>SMALL(SimData!$D$9:$D$508,188)</f>
        <v>#NUM!</v>
      </c>
      <c r="Q696">
        <f>1/(COUNT(SimData!$D$9:$D$508)-1)+$Q$695</f>
        <v>1.8888888888888926</v>
      </c>
    </row>
    <row r="697" spans="12:17">
      <c r="L697" t="e">
        <f>SMALL(SimData!$B$9:$B$508,189)</f>
        <v>#NUM!</v>
      </c>
      <c r="M697">
        <f>1/(COUNT(SimData!$B$9:$B$508)-1)+$M$696</f>
        <v>1.8989898989899028</v>
      </c>
      <c r="N697" t="e">
        <f>SMALL(SimData!$C$9:$C$508,189)</f>
        <v>#NUM!</v>
      </c>
      <c r="O697">
        <f>1/(COUNT(SimData!$C$9:$C$508)-1)+$O$696</f>
        <v>1.8989898989899028</v>
      </c>
      <c r="P697" t="e">
        <f>SMALL(SimData!$D$9:$D$508,189)</f>
        <v>#NUM!</v>
      </c>
      <c r="Q697">
        <f>1/(COUNT(SimData!$D$9:$D$508)-1)+$Q$696</f>
        <v>1.8989898989899028</v>
      </c>
    </row>
    <row r="698" spans="12:17">
      <c r="L698" t="e">
        <f>SMALL(SimData!$B$9:$B$508,190)</f>
        <v>#NUM!</v>
      </c>
      <c r="M698">
        <f>1/(COUNT(SimData!$B$9:$B$508)-1)+$M$697</f>
        <v>1.9090909090909129</v>
      </c>
      <c r="N698" t="e">
        <f>SMALL(SimData!$C$9:$C$508,190)</f>
        <v>#NUM!</v>
      </c>
      <c r="O698">
        <f>1/(COUNT(SimData!$C$9:$C$508)-1)+$O$697</f>
        <v>1.9090909090909129</v>
      </c>
      <c r="P698" t="e">
        <f>SMALL(SimData!$D$9:$D$508,190)</f>
        <v>#NUM!</v>
      </c>
      <c r="Q698">
        <f>1/(COUNT(SimData!$D$9:$D$508)-1)+$Q$697</f>
        <v>1.9090909090909129</v>
      </c>
    </row>
    <row r="699" spans="12:17">
      <c r="L699" t="e">
        <f>SMALL(SimData!$B$9:$B$508,191)</f>
        <v>#NUM!</v>
      </c>
      <c r="M699">
        <f>1/(COUNT(SimData!$B$9:$B$508)-1)+$M$698</f>
        <v>1.9191919191919231</v>
      </c>
      <c r="N699" t="e">
        <f>SMALL(SimData!$C$9:$C$508,191)</f>
        <v>#NUM!</v>
      </c>
      <c r="O699">
        <f>1/(COUNT(SimData!$C$9:$C$508)-1)+$O$698</f>
        <v>1.9191919191919231</v>
      </c>
      <c r="P699" t="e">
        <f>SMALL(SimData!$D$9:$D$508,191)</f>
        <v>#NUM!</v>
      </c>
      <c r="Q699">
        <f>1/(COUNT(SimData!$D$9:$D$508)-1)+$Q$698</f>
        <v>1.9191919191919231</v>
      </c>
    </row>
    <row r="700" spans="12:17">
      <c r="L700" t="e">
        <f>SMALL(SimData!$B$9:$B$508,192)</f>
        <v>#NUM!</v>
      </c>
      <c r="M700">
        <f>1/(COUNT(SimData!$B$9:$B$508)-1)+$M$699</f>
        <v>1.9292929292929333</v>
      </c>
      <c r="N700" t="e">
        <f>SMALL(SimData!$C$9:$C$508,192)</f>
        <v>#NUM!</v>
      </c>
      <c r="O700">
        <f>1/(COUNT(SimData!$C$9:$C$508)-1)+$O$699</f>
        <v>1.9292929292929333</v>
      </c>
      <c r="P700" t="e">
        <f>SMALL(SimData!$D$9:$D$508,192)</f>
        <v>#NUM!</v>
      </c>
      <c r="Q700">
        <f>1/(COUNT(SimData!$D$9:$D$508)-1)+$Q$699</f>
        <v>1.9292929292929333</v>
      </c>
    </row>
    <row r="701" spans="12:17">
      <c r="L701" t="e">
        <f>SMALL(SimData!$B$9:$B$508,193)</f>
        <v>#NUM!</v>
      </c>
      <c r="M701">
        <f>1/(COUNT(SimData!$B$9:$B$508)-1)+$M$700</f>
        <v>1.9393939393939434</v>
      </c>
      <c r="N701" t="e">
        <f>SMALL(SimData!$C$9:$C$508,193)</f>
        <v>#NUM!</v>
      </c>
      <c r="O701">
        <f>1/(COUNT(SimData!$C$9:$C$508)-1)+$O$700</f>
        <v>1.9393939393939434</v>
      </c>
      <c r="P701" t="e">
        <f>SMALL(SimData!$D$9:$D$508,193)</f>
        <v>#NUM!</v>
      </c>
      <c r="Q701">
        <f>1/(COUNT(SimData!$D$9:$D$508)-1)+$Q$700</f>
        <v>1.9393939393939434</v>
      </c>
    </row>
    <row r="702" spans="12:17">
      <c r="L702" t="e">
        <f>SMALL(SimData!$B$9:$B$508,194)</f>
        <v>#NUM!</v>
      </c>
      <c r="M702">
        <f>1/(COUNT(SimData!$B$9:$B$508)-1)+$M$701</f>
        <v>1.9494949494949536</v>
      </c>
      <c r="N702" t="e">
        <f>SMALL(SimData!$C$9:$C$508,194)</f>
        <v>#NUM!</v>
      </c>
      <c r="O702">
        <f>1/(COUNT(SimData!$C$9:$C$508)-1)+$O$701</f>
        <v>1.9494949494949536</v>
      </c>
      <c r="P702" t="e">
        <f>SMALL(SimData!$D$9:$D$508,194)</f>
        <v>#NUM!</v>
      </c>
      <c r="Q702">
        <f>1/(COUNT(SimData!$D$9:$D$508)-1)+$Q$701</f>
        <v>1.9494949494949536</v>
      </c>
    </row>
    <row r="703" spans="12:17">
      <c r="L703" t="e">
        <f>SMALL(SimData!$B$9:$B$508,195)</f>
        <v>#NUM!</v>
      </c>
      <c r="M703">
        <f>1/(COUNT(SimData!$B$9:$B$508)-1)+$M$702</f>
        <v>1.9595959595959638</v>
      </c>
      <c r="N703" t="e">
        <f>SMALL(SimData!$C$9:$C$508,195)</f>
        <v>#NUM!</v>
      </c>
      <c r="O703">
        <f>1/(COUNT(SimData!$C$9:$C$508)-1)+$O$702</f>
        <v>1.9595959595959638</v>
      </c>
      <c r="P703" t="e">
        <f>SMALL(SimData!$D$9:$D$508,195)</f>
        <v>#NUM!</v>
      </c>
      <c r="Q703">
        <f>1/(COUNT(SimData!$D$9:$D$508)-1)+$Q$702</f>
        <v>1.9595959595959638</v>
      </c>
    </row>
    <row r="704" spans="12:17">
      <c r="L704" t="e">
        <f>SMALL(SimData!$B$9:$B$508,196)</f>
        <v>#NUM!</v>
      </c>
      <c r="M704">
        <f>1/(COUNT(SimData!$B$9:$B$508)-1)+$M$703</f>
        <v>1.9696969696969739</v>
      </c>
      <c r="N704" t="e">
        <f>SMALL(SimData!$C$9:$C$508,196)</f>
        <v>#NUM!</v>
      </c>
      <c r="O704">
        <f>1/(COUNT(SimData!$C$9:$C$508)-1)+$O$703</f>
        <v>1.9696969696969739</v>
      </c>
      <c r="P704" t="e">
        <f>SMALL(SimData!$D$9:$D$508,196)</f>
        <v>#NUM!</v>
      </c>
      <c r="Q704">
        <f>1/(COUNT(SimData!$D$9:$D$508)-1)+$Q$703</f>
        <v>1.9696969696969739</v>
      </c>
    </row>
    <row r="705" spans="12:17">
      <c r="L705" t="e">
        <f>SMALL(SimData!$B$9:$B$508,197)</f>
        <v>#NUM!</v>
      </c>
      <c r="M705">
        <f>1/(COUNT(SimData!$B$9:$B$508)-1)+$M$704</f>
        <v>1.9797979797979841</v>
      </c>
      <c r="N705" t="e">
        <f>SMALL(SimData!$C$9:$C$508,197)</f>
        <v>#NUM!</v>
      </c>
      <c r="O705">
        <f>1/(COUNT(SimData!$C$9:$C$508)-1)+$O$704</f>
        <v>1.9797979797979841</v>
      </c>
      <c r="P705" t="e">
        <f>SMALL(SimData!$D$9:$D$508,197)</f>
        <v>#NUM!</v>
      </c>
      <c r="Q705">
        <f>1/(COUNT(SimData!$D$9:$D$508)-1)+$Q$704</f>
        <v>1.9797979797979841</v>
      </c>
    </row>
    <row r="706" spans="12:17">
      <c r="L706" t="e">
        <f>SMALL(SimData!$B$9:$B$508,198)</f>
        <v>#NUM!</v>
      </c>
      <c r="M706">
        <f>1/(COUNT(SimData!$B$9:$B$508)-1)+$M$705</f>
        <v>1.9898989898989943</v>
      </c>
      <c r="N706" t="e">
        <f>SMALL(SimData!$C$9:$C$508,198)</f>
        <v>#NUM!</v>
      </c>
      <c r="O706">
        <f>1/(COUNT(SimData!$C$9:$C$508)-1)+$O$705</f>
        <v>1.9898989898989943</v>
      </c>
      <c r="P706" t="e">
        <f>SMALL(SimData!$D$9:$D$508,198)</f>
        <v>#NUM!</v>
      </c>
      <c r="Q706">
        <f>1/(COUNT(SimData!$D$9:$D$508)-1)+$Q$705</f>
        <v>1.9898989898989943</v>
      </c>
    </row>
    <row r="707" spans="12:17">
      <c r="L707" t="e">
        <f>SMALL(SimData!$B$9:$B$508,199)</f>
        <v>#NUM!</v>
      </c>
      <c r="M707">
        <f>1/(COUNT(SimData!$B$9:$B$508)-1)+$M$706</f>
        <v>2.0000000000000044</v>
      </c>
      <c r="N707" t="e">
        <f>SMALL(SimData!$C$9:$C$508,199)</f>
        <v>#NUM!</v>
      </c>
      <c r="O707">
        <f>1/(COUNT(SimData!$C$9:$C$508)-1)+$O$706</f>
        <v>2.0000000000000044</v>
      </c>
      <c r="P707" t="e">
        <f>SMALL(SimData!$D$9:$D$508,199)</f>
        <v>#NUM!</v>
      </c>
      <c r="Q707">
        <f>1/(COUNT(SimData!$D$9:$D$508)-1)+$Q$706</f>
        <v>2.0000000000000044</v>
      </c>
    </row>
    <row r="708" spans="12:17">
      <c r="L708" t="e">
        <f>SMALL(SimData!$B$9:$B$508,200)</f>
        <v>#NUM!</v>
      </c>
      <c r="M708">
        <f>1/(COUNT(SimData!$B$9:$B$508)-1)+$M$707</f>
        <v>2.0101010101010144</v>
      </c>
      <c r="N708" t="e">
        <f>SMALL(SimData!$C$9:$C$508,200)</f>
        <v>#NUM!</v>
      </c>
      <c r="O708">
        <f>1/(COUNT(SimData!$C$9:$C$508)-1)+$O$707</f>
        <v>2.0101010101010144</v>
      </c>
      <c r="P708" t="e">
        <f>SMALL(SimData!$D$9:$D$508,200)</f>
        <v>#NUM!</v>
      </c>
      <c r="Q708">
        <f>1/(COUNT(SimData!$D$9:$D$508)-1)+$Q$707</f>
        <v>2.0101010101010144</v>
      </c>
    </row>
    <row r="709" spans="12:17">
      <c r="L709" t="e">
        <f>SMALL(SimData!$B$9:$B$508,201)</f>
        <v>#NUM!</v>
      </c>
      <c r="M709">
        <f>1/(COUNT(SimData!$B$9:$B$508)-1)+$M$708</f>
        <v>2.0202020202020243</v>
      </c>
      <c r="N709" t="e">
        <f>SMALL(SimData!$C$9:$C$508,201)</f>
        <v>#NUM!</v>
      </c>
      <c r="O709">
        <f>1/(COUNT(SimData!$C$9:$C$508)-1)+$O$708</f>
        <v>2.0202020202020243</v>
      </c>
      <c r="P709" t="e">
        <f>SMALL(SimData!$D$9:$D$508,201)</f>
        <v>#NUM!</v>
      </c>
      <c r="Q709">
        <f>1/(COUNT(SimData!$D$9:$D$508)-1)+$Q$708</f>
        <v>2.0202020202020243</v>
      </c>
    </row>
    <row r="710" spans="12:17">
      <c r="L710" t="e">
        <f>SMALL(SimData!$B$9:$B$508,202)</f>
        <v>#NUM!</v>
      </c>
      <c r="M710">
        <f>1/(COUNT(SimData!$B$9:$B$508)-1)+$M$709</f>
        <v>2.0303030303030343</v>
      </c>
      <c r="N710" t="e">
        <f>SMALL(SimData!$C$9:$C$508,202)</f>
        <v>#NUM!</v>
      </c>
      <c r="O710">
        <f>1/(COUNT(SimData!$C$9:$C$508)-1)+$O$709</f>
        <v>2.0303030303030343</v>
      </c>
      <c r="P710" t="e">
        <f>SMALL(SimData!$D$9:$D$508,202)</f>
        <v>#NUM!</v>
      </c>
      <c r="Q710">
        <f>1/(COUNT(SimData!$D$9:$D$508)-1)+$Q$709</f>
        <v>2.0303030303030343</v>
      </c>
    </row>
    <row r="711" spans="12:17">
      <c r="L711" t="e">
        <f>SMALL(SimData!$B$9:$B$508,203)</f>
        <v>#NUM!</v>
      </c>
      <c r="M711">
        <f>1/(COUNT(SimData!$B$9:$B$508)-1)+$M$710</f>
        <v>2.0404040404040442</v>
      </c>
      <c r="N711" t="e">
        <f>SMALL(SimData!$C$9:$C$508,203)</f>
        <v>#NUM!</v>
      </c>
      <c r="O711">
        <f>1/(COUNT(SimData!$C$9:$C$508)-1)+$O$710</f>
        <v>2.0404040404040442</v>
      </c>
      <c r="P711" t="e">
        <f>SMALL(SimData!$D$9:$D$508,203)</f>
        <v>#NUM!</v>
      </c>
      <c r="Q711">
        <f>1/(COUNT(SimData!$D$9:$D$508)-1)+$Q$710</f>
        <v>2.0404040404040442</v>
      </c>
    </row>
    <row r="712" spans="12:17">
      <c r="L712" t="e">
        <f>SMALL(SimData!$B$9:$B$508,204)</f>
        <v>#NUM!</v>
      </c>
      <c r="M712">
        <f>1/(COUNT(SimData!$B$9:$B$508)-1)+$M$711</f>
        <v>2.0505050505050542</v>
      </c>
      <c r="N712" t="e">
        <f>SMALL(SimData!$C$9:$C$508,204)</f>
        <v>#NUM!</v>
      </c>
      <c r="O712">
        <f>1/(COUNT(SimData!$C$9:$C$508)-1)+$O$711</f>
        <v>2.0505050505050542</v>
      </c>
      <c r="P712" t="e">
        <f>SMALL(SimData!$D$9:$D$508,204)</f>
        <v>#NUM!</v>
      </c>
      <c r="Q712">
        <f>1/(COUNT(SimData!$D$9:$D$508)-1)+$Q$711</f>
        <v>2.0505050505050542</v>
      </c>
    </row>
    <row r="713" spans="12:17">
      <c r="L713" t="e">
        <f>SMALL(SimData!$B$9:$B$508,205)</f>
        <v>#NUM!</v>
      </c>
      <c r="M713">
        <f>1/(COUNT(SimData!$B$9:$B$508)-1)+$M$712</f>
        <v>2.0606060606060641</v>
      </c>
      <c r="N713" t="e">
        <f>SMALL(SimData!$C$9:$C$508,205)</f>
        <v>#NUM!</v>
      </c>
      <c r="O713">
        <f>1/(COUNT(SimData!$C$9:$C$508)-1)+$O$712</f>
        <v>2.0606060606060641</v>
      </c>
      <c r="P713" t="e">
        <f>SMALL(SimData!$D$9:$D$508,205)</f>
        <v>#NUM!</v>
      </c>
      <c r="Q713">
        <f>1/(COUNT(SimData!$D$9:$D$508)-1)+$Q$712</f>
        <v>2.0606060606060641</v>
      </c>
    </row>
    <row r="714" spans="12:17">
      <c r="L714" t="e">
        <f>SMALL(SimData!$B$9:$B$508,206)</f>
        <v>#NUM!</v>
      </c>
      <c r="M714">
        <f>1/(COUNT(SimData!$B$9:$B$508)-1)+$M$713</f>
        <v>2.070707070707074</v>
      </c>
      <c r="N714" t="e">
        <f>SMALL(SimData!$C$9:$C$508,206)</f>
        <v>#NUM!</v>
      </c>
      <c r="O714">
        <f>1/(COUNT(SimData!$C$9:$C$508)-1)+$O$713</f>
        <v>2.070707070707074</v>
      </c>
      <c r="P714" t="e">
        <f>SMALL(SimData!$D$9:$D$508,206)</f>
        <v>#NUM!</v>
      </c>
      <c r="Q714">
        <f>1/(COUNT(SimData!$D$9:$D$508)-1)+$Q$713</f>
        <v>2.070707070707074</v>
      </c>
    </row>
    <row r="715" spans="12:17">
      <c r="L715" t="e">
        <f>SMALL(SimData!$B$9:$B$508,207)</f>
        <v>#NUM!</v>
      </c>
      <c r="M715">
        <f>1/(COUNT(SimData!$B$9:$B$508)-1)+$M$714</f>
        <v>2.080808080808084</v>
      </c>
      <c r="N715" t="e">
        <f>SMALL(SimData!$C$9:$C$508,207)</f>
        <v>#NUM!</v>
      </c>
      <c r="O715">
        <f>1/(COUNT(SimData!$C$9:$C$508)-1)+$O$714</f>
        <v>2.080808080808084</v>
      </c>
      <c r="P715" t="e">
        <f>SMALL(SimData!$D$9:$D$508,207)</f>
        <v>#NUM!</v>
      </c>
      <c r="Q715">
        <f>1/(COUNT(SimData!$D$9:$D$508)-1)+$Q$714</f>
        <v>2.080808080808084</v>
      </c>
    </row>
    <row r="716" spans="12:17">
      <c r="L716" t="e">
        <f>SMALL(SimData!$B$9:$B$508,208)</f>
        <v>#NUM!</v>
      </c>
      <c r="M716">
        <f>1/(COUNT(SimData!$B$9:$B$508)-1)+$M$715</f>
        <v>2.0909090909090939</v>
      </c>
      <c r="N716" t="e">
        <f>SMALL(SimData!$C$9:$C$508,208)</f>
        <v>#NUM!</v>
      </c>
      <c r="O716">
        <f>1/(COUNT(SimData!$C$9:$C$508)-1)+$O$715</f>
        <v>2.0909090909090939</v>
      </c>
      <c r="P716" t="e">
        <f>SMALL(SimData!$D$9:$D$508,208)</f>
        <v>#NUM!</v>
      </c>
      <c r="Q716">
        <f>1/(COUNT(SimData!$D$9:$D$508)-1)+$Q$715</f>
        <v>2.0909090909090939</v>
      </c>
    </row>
    <row r="717" spans="12:17">
      <c r="L717" t="e">
        <f>SMALL(SimData!$B$9:$B$508,209)</f>
        <v>#NUM!</v>
      </c>
      <c r="M717">
        <f>1/(COUNT(SimData!$B$9:$B$508)-1)+$M$716</f>
        <v>2.1010101010101039</v>
      </c>
      <c r="N717" t="e">
        <f>SMALL(SimData!$C$9:$C$508,209)</f>
        <v>#NUM!</v>
      </c>
      <c r="O717">
        <f>1/(COUNT(SimData!$C$9:$C$508)-1)+$O$716</f>
        <v>2.1010101010101039</v>
      </c>
      <c r="P717" t="e">
        <f>SMALL(SimData!$D$9:$D$508,209)</f>
        <v>#NUM!</v>
      </c>
      <c r="Q717">
        <f>1/(COUNT(SimData!$D$9:$D$508)-1)+$Q$716</f>
        <v>2.1010101010101039</v>
      </c>
    </row>
    <row r="718" spans="12:17">
      <c r="L718" t="e">
        <f>SMALL(SimData!$B$9:$B$508,210)</f>
        <v>#NUM!</v>
      </c>
      <c r="M718">
        <f>1/(COUNT(SimData!$B$9:$B$508)-1)+$M$717</f>
        <v>2.1111111111111138</v>
      </c>
      <c r="N718" t="e">
        <f>SMALL(SimData!$C$9:$C$508,210)</f>
        <v>#NUM!</v>
      </c>
      <c r="O718">
        <f>1/(COUNT(SimData!$C$9:$C$508)-1)+$O$717</f>
        <v>2.1111111111111138</v>
      </c>
      <c r="P718" t="e">
        <f>SMALL(SimData!$D$9:$D$508,210)</f>
        <v>#NUM!</v>
      </c>
      <c r="Q718">
        <f>1/(COUNT(SimData!$D$9:$D$508)-1)+$Q$717</f>
        <v>2.1111111111111138</v>
      </c>
    </row>
    <row r="719" spans="12:17">
      <c r="L719" t="e">
        <f>SMALL(SimData!$B$9:$B$508,211)</f>
        <v>#NUM!</v>
      </c>
      <c r="M719">
        <f>1/(COUNT(SimData!$B$9:$B$508)-1)+$M$718</f>
        <v>2.1212121212121238</v>
      </c>
      <c r="N719" t="e">
        <f>SMALL(SimData!$C$9:$C$508,211)</f>
        <v>#NUM!</v>
      </c>
      <c r="O719">
        <f>1/(COUNT(SimData!$C$9:$C$508)-1)+$O$718</f>
        <v>2.1212121212121238</v>
      </c>
      <c r="P719" t="e">
        <f>SMALL(SimData!$D$9:$D$508,211)</f>
        <v>#NUM!</v>
      </c>
      <c r="Q719">
        <f>1/(COUNT(SimData!$D$9:$D$508)-1)+$Q$718</f>
        <v>2.1212121212121238</v>
      </c>
    </row>
    <row r="720" spans="12:17">
      <c r="L720" t="e">
        <f>SMALL(SimData!$B$9:$B$508,212)</f>
        <v>#NUM!</v>
      </c>
      <c r="M720">
        <f>1/(COUNT(SimData!$B$9:$B$508)-1)+$M$719</f>
        <v>2.1313131313131337</v>
      </c>
      <c r="N720" t="e">
        <f>SMALL(SimData!$C$9:$C$508,212)</f>
        <v>#NUM!</v>
      </c>
      <c r="O720">
        <f>1/(COUNT(SimData!$C$9:$C$508)-1)+$O$719</f>
        <v>2.1313131313131337</v>
      </c>
      <c r="P720" t="e">
        <f>SMALL(SimData!$D$9:$D$508,212)</f>
        <v>#NUM!</v>
      </c>
      <c r="Q720">
        <f>1/(COUNT(SimData!$D$9:$D$508)-1)+$Q$719</f>
        <v>2.1313131313131337</v>
      </c>
    </row>
    <row r="721" spans="12:17">
      <c r="L721" t="e">
        <f>SMALL(SimData!$B$9:$B$508,213)</f>
        <v>#NUM!</v>
      </c>
      <c r="M721">
        <f>1/(COUNT(SimData!$B$9:$B$508)-1)+$M$720</f>
        <v>2.1414141414141437</v>
      </c>
      <c r="N721" t="e">
        <f>SMALL(SimData!$C$9:$C$508,213)</f>
        <v>#NUM!</v>
      </c>
      <c r="O721">
        <f>1/(COUNT(SimData!$C$9:$C$508)-1)+$O$720</f>
        <v>2.1414141414141437</v>
      </c>
      <c r="P721" t="e">
        <f>SMALL(SimData!$D$9:$D$508,213)</f>
        <v>#NUM!</v>
      </c>
      <c r="Q721">
        <f>1/(COUNT(SimData!$D$9:$D$508)-1)+$Q$720</f>
        <v>2.1414141414141437</v>
      </c>
    </row>
    <row r="722" spans="12:17">
      <c r="L722" t="e">
        <f>SMALL(SimData!$B$9:$B$508,214)</f>
        <v>#NUM!</v>
      </c>
      <c r="M722">
        <f>1/(COUNT(SimData!$B$9:$B$508)-1)+$M$721</f>
        <v>2.1515151515151536</v>
      </c>
      <c r="N722" t="e">
        <f>SMALL(SimData!$C$9:$C$508,214)</f>
        <v>#NUM!</v>
      </c>
      <c r="O722">
        <f>1/(COUNT(SimData!$C$9:$C$508)-1)+$O$721</f>
        <v>2.1515151515151536</v>
      </c>
      <c r="P722" t="e">
        <f>SMALL(SimData!$D$9:$D$508,214)</f>
        <v>#NUM!</v>
      </c>
      <c r="Q722">
        <f>1/(COUNT(SimData!$D$9:$D$508)-1)+$Q$721</f>
        <v>2.1515151515151536</v>
      </c>
    </row>
    <row r="723" spans="12:17">
      <c r="L723" t="e">
        <f>SMALL(SimData!$B$9:$B$508,215)</f>
        <v>#NUM!</v>
      </c>
      <c r="M723">
        <f>1/(COUNT(SimData!$B$9:$B$508)-1)+$M$722</f>
        <v>2.1616161616161635</v>
      </c>
      <c r="N723" t="e">
        <f>SMALL(SimData!$C$9:$C$508,215)</f>
        <v>#NUM!</v>
      </c>
      <c r="O723">
        <f>1/(COUNT(SimData!$C$9:$C$508)-1)+$O$722</f>
        <v>2.1616161616161635</v>
      </c>
      <c r="P723" t="e">
        <f>SMALL(SimData!$D$9:$D$508,215)</f>
        <v>#NUM!</v>
      </c>
      <c r="Q723">
        <f>1/(COUNT(SimData!$D$9:$D$508)-1)+$Q$722</f>
        <v>2.1616161616161635</v>
      </c>
    </row>
    <row r="724" spans="12:17">
      <c r="L724" t="e">
        <f>SMALL(SimData!$B$9:$B$508,216)</f>
        <v>#NUM!</v>
      </c>
      <c r="M724">
        <f>1/(COUNT(SimData!$B$9:$B$508)-1)+$M$723</f>
        <v>2.1717171717171735</v>
      </c>
      <c r="N724" t="e">
        <f>SMALL(SimData!$C$9:$C$508,216)</f>
        <v>#NUM!</v>
      </c>
      <c r="O724">
        <f>1/(COUNT(SimData!$C$9:$C$508)-1)+$O$723</f>
        <v>2.1717171717171735</v>
      </c>
      <c r="P724" t="e">
        <f>SMALL(SimData!$D$9:$D$508,216)</f>
        <v>#NUM!</v>
      </c>
      <c r="Q724">
        <f>1/(COUNT(SimData!$D$9:$D$508)-1)+$Q$723</f>
        <v>2.1717171717171735</v>
      </c>
    </row>
    <row r="725" spans="12:17">
      <c r="L725" t="e">
        <f>SMALL(SimData!$B$9:$B$508,217)</f>
        <v>#NUM!</v>
      </c>
      <c r="M725">
        <f>1/(COUNT(SimData!$B$9:$B$508)-1)+$M$724</f>
        <v>2.1818181818181834</v>
      </c>
      <c r="N725" t="e">
        <f>SMALL(SimData!$C$9:$C$508,217)</f>
        <v>#NUM!</v>
      </c>
      <c r="O725">
        <f>1/(COUNT(SimData!$C$9:$C$508)-1)+$O$724</f>
        <v>2.1818181818181834</v>
      </c>
      <c r="P725" t="e">
        <f>SMALL(SimData!$D$9:$D$508,217)</f>
        <v>#NUM!</v>
      </c>
      <c r="Q725">
        <f>1/(COUNT(SimData!$D$9:$D$508)-1)+$Q$724</f>
        <v>2.1818181818181834</v>
      </c>
    </row>
    <row r="726" spans="12:17">
      <c r="L726" t="e">
        <f>SMALL(SimData!$B$9:$B$508,218)</f>
        <v>#NUM!</v>
      </c>
      <c r="M726">
        <f>1/(COUNT(SimData!$B$9:$B$508)-1)+$M$725</f>
        <v>2.1919191919191934</v>
      </c>
      <c r="N726" t="e">
        <f>SMALL(SimData!$C$9:$C$508,218)</f>
        <v>#NUM!</v>
      </c>
      <c r="O726">
        <f>1/(COUNT(SimData!$C$9:$C$508)-1)+$O$725</f>
        <v>2.1919191919191934</v>
      </c>
      <c r="P726" t="e">
        <f>SMALL(SimData!$D$9:$D$508,218)</f>
        <v>#NUM!</v>
      </c>
      <c r="Q726">
        <f>1/(COUNT(SimData!$D$9:$D$508)-1)+$Q$725</f>
        <v>2.1919191919191934</v>
      </c>
    </row>
    <row r="727" spans="12:17">
      <c r="L727" t="e">
        <f>SMALL(SimData!$B$9:$B$508,219)</f>
        <v>#NUM!</v>
      </c>
      <c r="M727">
        <f>1/(COUNT(SimData!$B$9:$B$508)-1)+$M$726</f>
        <v>2.2020202020202033</v>
      </c>
      <c r="N727" t="e">
        <f>SMALL(SimData!$C$9:$C$508,219)</f>
        <v>#NUM!</v>
      </c>
      <c r="O727">
        <f>1/(COUNT(SimData!$C$9:$C$508)-1)+$O$726</f>
        <v>2.2020202020202033</v>
      </c>
      <c r="P727" t="e">
        <f>SMALL(SimData!$D$9:$D$508,219)</f>
        <v>#NUM!</v>
      </c>
      <c r="Q727">
        <f>1/(COUNT(SimData!$D$9:$D$508)-1)+$Q$726</f>
        <v>2.2020202020202033</v>
      </c>
    </row>
    <row r="728" spans="12:17">
      <c r="L728" t="e">
        <f>SMALL(SimData!$B$9:$B$508,220)</f>
        <v>#NUM!</v>
      </c>
      <c r="M728">
        <f>1/(COUNT(SimData!$B$9:$B$508)-1)+$M$727</f>
        <v>2.2121212121212133</v>
      </c>
      <c r="N728" t="e">
        <f>SMALL(SimData!$C$9:$C$508,220)</f>
        <v>#NUM!</v>
      </c>
      <c r="O728">
        <f>1/(COUNT(SimData!$C$9:$C$508)-1)+$O$727</f>
        <v>2.2121212121212133</v>
      </c>
      <c r="P728" t="e">
        <f>SMALL(SimData!$D$9:$D$508,220)</f>
        <v>#NUM!</v>
      </c>
      <c r="Q728">
        <f>1/(COUNT(SimData!$D$9:$D$508)-1)+$Q$727</f>
        <v>2.2121212121212133</v>
      </c>
    </row>
    <row r="729" spans="12:17">
      <c r="L729" t="e">
        <f>SMALL(SimData!$B$9:$B$508,221)</f>
        <v>#NUM!</v>
      </c>
      <c r="M729">
        <f>1/(COUNT(SimData!$B$9:$B$508)-1)+$M$728</f>
        <v>2.2222222222222232</v>
      </c>
      <c r="N729" t="e">
        <f>SMALL(SimData!$C$9:$C$508,221)</f>
        <v>#NUM!</v>
      </c>
      <c r="O729">
        <f>1/(COUNT(SimData!$C$9:$C$508)-1)+$O$728</f>
        <v>2.2222222222222232</v>
      </c>
      <c r="P729" t="e">
        <f>SMALL(SimData!$D$9:$D$508,221)</f>
        <v>#NUM!</v>
      </c>
      <c r="Q729">
        <f>1/(COUNT(SimData!$D$9:$D$508)-1)+$Q$728</f>
        <v>2.2222222222222232</v>
      </c>
    </row>
    <row r="730" spans="12:17">
      <c r="L730" t="e">
        <f>SMALL(SimData!$B$9:$B$508,222)</f>
        <v>#NUM!</v>
      </c>
      <c r="M730">
        <f>1/(COUNT(SimData!$B$9:$B$508)-1)+$M$729</f>
        <v>2.2323232323232332</v>
      </c>
      <c r="N730" t="e">
        <f>SMALL(SimData!$C$9:$C$508,222)</f>
        <v>#NUM!</v>
      </c>
      <c r="O730">
        <f>1/(COUNT(SimData!$C$9:$C$508)-1)+$O$729</f>
        <v>2.2323232323232332</v>
      </c>
      <c r="P730" t="e">
        <f>SMALL(SimData!$D$9:$D$508,222)</f>
        <v>#NUM!</v>
      </c>
      <c r="Q730">
        <f>1/(COUNT(SimData!$D$9:$D$508)-1)+$Q$729</f>
        <v>2.2323232323232332</v>
      </c>
    </row>
    <row r="731" spans="12:17">
      <c r="L731" t="e">
        <f>SMALL(SimData!$B$9:$B$508,223)</f>
        <v>#NUM!</v>
      </c>
      <c r="M731">
        <f>1/(COUNT(SimData!$B$9:$B$508)-1)+$M$730</f>
        <v>2.2424242424242431</v>
      </c>
      <c r="N731" t="e">
        <f>SMALL(SimData!$C$9:$C$508,223)</f>
        <v>#NUM!</v>
      </c>
      <c r="O731">
        <f>1/(COUNT(SimData!$C$9:$C$508)-1)+$O$730</f>
        <v>2.2424242424242431</v>
      </c>
      <c r="P731" t="e">
        <f>SMALL(SimData!$D$9:$D$508,223)</f>
        <v>#NUM!</v>
      </c>
      <c r="Q731">
        <f>1/(COUNT(SimData!$D$9:$D$508)-1)+$Q$730</f>
        <v>2.2424242424242431</v>
      </c>
    </row>
    <row r="732" spans="12:17">
      <c r="L732" t="e">
        <f>SMALL(SimData!$B$9:$B$508,224)</f>
        <v>#NUM!</v>
      </c>
      <c r="M732">
        <f>1/(COUNT(SimData!$B$9:$B$508)-1)+$M$731</f>
        <v>2.252525252525253</v>
      </c>
      <c r="N732" t="e">
        <f>SMALL(SimData!$C$9:$C$508,224)</f>
        <v>#NUM!</v>
      </c>
      <c r="O732">
        <f>1/(COUNT(SimData!$C$9:$C$508)-1)+$O$731</f>
        <v>2.252525252525253</v>
      </c>
      <c r="P732" t="e">
        <f>SMALL(SimData!$D$9:$D$508,224)</f>
        <v>#NUM!</v>
      </c>
      <c r="Q732">
        <f>1/(COUNT(SimData!$D$9:$D$508)-1)+$Q$731</f>
        <v>2.252525252525253</v>
      </c>
    </row>
    <row r="733" spans="12:17">
      <c r="L733" t="e">
        <f>SMALL(SimData!$B$9:$B$508,225)</f>
        <v>#NUM!</v>
      </c>
      <c r="M733">
        <f>1/(COUNT(SimData!$B$9:$B$508)-1)+$M$732</f>
        <v>2.262626262626263</v>
      </c>
      <c r="N733" t="e">
        <f>SMALL(SimData!$C$9:$C$508,225)</f>
        <v>#NUM!</v>
      </c>
      <c r="O733">
        <f>1/(COUNT(SimData!$C$9:$C$508)-1)+$O$732</f>
        <v>2.262626262626263</v>
      </c>
      <c r="P733" t="e">
        <f>SMALL(SimData!$D$9:$D$508,225)</f>
        <v>#NUM!</v>
      </c>
      <c r="Q733">
        <f>1/(COUNT(SimData!$D$9:$D$508)-1)+$Q$732</f>
        <v>2.262626262626263</v>
      </c>
    </row>
    <row r="734" spans="12:17">
      <c r="L734" t="e">
        <f>SMALL(SimData!$B$9:$B$508,226)</f>
        <v>#NUM!</v>
      </c>
      <c r="M734">
        <f>1/(COUNT(SimData!$B$9:$B$508)-1)+$M$733</f>
        <v>2.2727272727272729</v>
      </c>
      <c r="N734" t="e">
        <f>SMALL(SimData!$C$9:$C$508,226)</f>
        <v>#NUM!</v>
      </c>
      <c r="O734">
        <f>1/(COUNT(SimData!$C$9:$C$508)-1)+$O$733</f>
        <v>2.2727272727272729</v>
      </c>
      <c r="P734" t="e">
        <f>SMALL(SimData!$D$9:$D$508,226)</f>
        <v>#NUM!</v>
      </c>
      <c r="Q734">
        <f>1/(COUNT(SimData!$D$9:$D$508)-1)+$Q$733</f>
        <v>2.2727272727272729</v>
      </c>
    </row>
    <row r="735" spans="12:17">
      <c r="L735" t="e">
        <f>SMALL(SimData!$B$9:$B$508,227)</f>
        <v>#NUM!</v>
      </c>
      <c r="M735">
        <f>1/(COUNT(SimData!$B$9:$B$508)-1)+$M$734</f>
        <v>2.2828282828282829</v>
      </c>
      <c r="N735" t="e">
        <f>SMALL(SimData!$C$9:$C$508,227)</f>
        <v>#NUM!</v>
      </c>
      <c r="O735">
        <f>1/(COUNT(SimData!$C$9:$C$508)-1)+$O$734</f>
        <v>2.2828282828282829</v>
      </c>
      <c r="P735" t="e">
        <f>SMALL(SimData!$D$9:$D$508,227)</f>
        <v>#NUM!</v>
      </c>
      <c r="Q735">
        <f>1/(COUNT(SimData!$D$9:$D$508)-1)+$Q$734</f>
        <v>2.2828282828282829</v>
      </c>
    </row>
    <row r="736" spans="12:17">
      <c r="L736" t="e">
        <f>SMALL(SimData!$B$9:$B$508,228)</f>
        <v>#NUM!</v>
      </c>
      <c r="M736">
        <f>1/(COUNT(SimData!$B$9:$B$508)-1)+$M$735</f>
        <v>2.2929292929292928</v>
      </c>
      <c r="N736" t="e">
        <f>SMALL(SimData!$C$9:$C$508,228)</f>
        <v>#NUM!</v>
      </c>
      <c r="O736">
        <f>1/(COUNT(SimData!$C$9:$C$508)-1)+$O$735</f>
        <v>2.2929292929292928</v>
      </c>
      <c r="P736" t="e">
        <f>SMALL(SimData!$D$9:$D$508,228)</f>
        <v>#NUM!</v>
      </c>
      <c r="Q736">
        <f>1/(COUNT(SimData!$D$9:$D$508)-1)+$Q$735</f>
        <v>2.2929292929292928</v>
      </c>
    </row>
    <row r="737" spans="12:17">
      <c r="L737" t="e">
        <f>SMALL(SimData!$B$9:$B$508,229)</f>
        <v>#NUM!</v>
      </c>
      <c r="M737">
        <f>1/(COUNT(SimData!$B$9:$B$508)-1)+$M$736</f>
        <v>2.3030303030303028</v>
      </c>
      <c r="N737" t="e">
        <f>SMALL(SimData!$C$9:$C$508,229)</f>
        <v>#NUM!</v>
      </c>
      <c r="O737">
        <f>1/(COUNT(SimData!$C$9:$C$508)-1)+$O$736</f>
        <v>2.3030303030303028</v>
      </c>
      <c r="P737" t="e">
        <f>SMALL(SimData!$D$9:$D$508,229)</f>
        <v>#NUM!</v>
      </c>
      <c r="Q737">
        <f>1/(COUNT(SimData!$D$9:$D$508)-1)+$Q$736</f>
        <v>2.3030303030303028</v>
      </c>
    </row>
    <row r="738" spans="12:17">
      <c r="L738" t="e">
        <f>SMALL(SimData!$B$9:$B$508,230)</f>
        <v>#NUM!</v>
      </c>
      <c r="M738">
        <f>1/(COUNT(SimData!$B$9:$B$508)-1)+$M$737</f>
        <v>2.3131313131313127</v>
      </c>
      <c r="N738" t="e">
        <f>SMALL(SimData!$C$9:$C$508,230)</f>
        <v>#NUM!</v>
      </c>
      <c r="O738">
        <f>1/(COUNT(SimData!$C$9:$C$508)-1)+$O$737</f>
        <v>2.3131313131313127</v>
      </c>
      <c r="P738" t="e">
        <f>SMALL(SimData!$D$9:$D$508,230)</f>
        <v>#NUM!</v>
      </c>
      <c r="Q738">
        <f>1/(COUNT(SimData!$D$9:$D$508)-1)+$Q$737</f>
        <v>2.3131313131313127</v>
      </c>
    </row>
    <row r="739" spans="12:17">
      <c r="L739" t="e">
        <f>SMALL(SimData!$B$9:$B$508,231)</f>
        <v>#NUM!</v>
      </c>
      <c r="M739">
        <f>1/(COUNT(SimData!$B$9:$B$508)-1)+$M$738</f>
        <v>2.3232323232323226</v>
      </c>
      <c r="N739" t="e">
        <f>SMALL(SimData!$C$9:$C$508,231)</f>
        <v>#NUM!</v>
      </c>
      <c r="O739">
        <f>1/(COUNT(SimData!$C$9:$C$508)-1)+$O$738</f>
        <v>2.3232323232323226</v>
      </c>
      <c r="P739" t="e">
        <f>SMALL(SimData!$D$9:$D$508,231)</f>
        <v>#NUM!</v>
      </c>
      <c r="Q739">
        <f>1/(COUNT(SimData!$D$9:$D$508)-1)+$Q$738</f>
        <v>2.3232323232323226</v>
      </c>
    </row>
    <row r="740" spans="12:17">
      <c r="L740" t="e">
        <f>SMALL(SimData!$B$9:$B$508,232)</f>
        <v>#NUM!</v>
      </c>
      <c r="M740">
        <f>1/(COUNT(SimData!$B$9:$B$508)-1)+$M$739</f>
        <v>2.3333333333333326</v>
      </c>
      <c r="N740" t="e">
        <f>SMALL(SimData!$C$9:$C$508,232)</f>
        <v>#NUM!</v>
      </c>
      <c r="O740">
        <f>1/(COUNT(SimData!$C$9:$C$508)-1)+$O$739</f>
        <v>2.3333333333333326</v>
      </c>
      <c r="P740" t="e">
        <f>SMALL(SimData!$D$9:$D$508,232)</f>
        <v>#NUM!</v>
      </c>
      <c r="Q740">
        <f>1/(COUNT(SimData!$D$9:$D$508)-1)+$Q$739</f>
        <v>2.3333333333333326</v>
      </c>
    </row>
    <row r="741" spans="12:17">
      <c r="L741" t="e">
        <f>SMALL(SimData!$B$9:$B$508,233)</f>
        <v>#NUM!</v>
      </c>
      <c r="M741">
        <f>1/(COUNT(SimData!$B$9:$B$508)-1)+$M$740</f>
        <v>2.3434343434343425</v>
      </c>
      <c r="N741" t="e">
        <f>SMALL(SimData!$C$9:$C$508,233)</f>
        <v>#NUM!</v>
      </c>
      <c r="O741">
        <f>1/(COUNT(SimData!$C$9:$C$508)-1)+$O$740</f>
        <v>2.3434343434343425</v>
      </c>
      <c r="P741" t="e">
        <f>SMALL(SimData!$D$9:$D$508,233)</f>
        <v>#NUM!</v>
      </c>
      <c r="Q741">
        <f>1/(COUNT(SimData!$D$9:$D$508)-1)+$Q$740</f>
        <v>2.3434343434343425</v>
      </c>
    </row>
    <row r="742" spans="12:17">
      <c r="L742" t="e">
        <f>SMALL(SimData!$B$9:$B$508,234)</f>
        <v>#NUM!</v>
      </c>
      <c r="M742">
        <f>1/(COUNT(SimData!$B$9:$B$508)-1)+$M$741</f>
        <v>2.3535353535353525</v>
      </c>
      <c r="N742" t="e">
        <f>SMALL(SimData!$C$9:$C$508,234)</f>
        <v>#NUM!</v>
      </c>
      <c r="O742">
        <f>1/(COUNT(SimData!$C$9:$C$508)-1)+$O$741</f>
        <v>2.3535353535353525</v>
      </c>
      <c r="P742" t="e">
        <f>SMALL(SimData!$D$9:$D$508,234)</f>
        <v>#NUM!</v>
      </c>
      <c r="Q742">
        <f>1/(COUNT(SimData!$D$9:$D$508)-1)+$Q$741</f>
        <v>2.3535353535353525</v>
      </c>
    </row>
    <row r="743" spans="12:17">
      <c r="L743" t="e">
        <f>SMALL(SimData!$B$9:$B$508,235)</f>
        <v>#NUM!</v>
      </c>
      <c r="M743">
        <f>1/(COUNT(SimData!$B$9:$B$508)-1)+$M$742</f>
        <v>2.3636363636363624</v>
      </c>
      <c r="N743" t="e">
        <f>SMALL(SimData!$C$9:$C$508,235)</f>
        <v>#NUM!</v>
      </c>
      <c r="O743">
        <f>1/(COUNT(SimData!$C$9:$C$508)-1)+$O$742</f>
        <v>2.3636363636363624</v>
      </c>
      <c r="P743" t="e">
        <f>SMALL(SimData!$D$9:$D$508,235)</f>
        <v>#NUM!</v>
      </c>
      <c r="Q743">
        <f>1/(COUNT(SimData!$D$9:$D$508)-1)+$Q$742</f>
        <v>2.3636363636363624</v>
      </c>
    </row>
    <row r="744" spans="12:17">
      <c r="L744" t="e">
        <f>SMALL(SimData!$B$9:$B$508,236)</f>
        <v>#NUM!</v>
      </c>
      <c r="M744">
        <f>1/(COUNT(SimData!$B$9:$B$508)-1)+$M$743</f>
        <v>2.3737373737373724</v>
      </c>
      <c r="N744" t="e">
        <f>SMALL(SimData!$C$9:$C$508,236)</f>
        <v>#NUM!</v>
      </c>
      <c r="O744">
        <f>1/(COUNT(SimData!$C$9:$C$508)-1)+$O$743</f>
        <v>2.3737373737373724</v>
      </c>
      <c r="P744" t="e">
        <f>SMALL(SimData!$D$9:$D$508,236)</f>
        <v>#NUM!</v>
      </c>
      <c r="Q744">
        <f>1/(COUNT(SimData!$D$9:$D$508)-1)+$Q$743</f>
        <v>2.3737373737373724</v>
      </c>
    </row>
    <row r="745" spans="12:17">
      <c r="L745" t="e">
        <f>SMALL(SimData!$B$9:$B$508,237)</f>
        <v>#NUM!</v>
      </c>
      <c r="M745">
        <f>1/(COUNT(SimData!$B$9:$B$508)-1)+$M$744</f>
        <v>2.3838383838383823</v>
      </c>
      <c r="N745" t="e">
        <f>SMALL(SimData!$C$9:$C$508,237)</f>
        <v>#NUM!</v>
      </c>
      <c r="O745">
        <f>1/(COUNT(SimData!$C$9:$C$508)-1)+$O$744</f>
        <v>2.3838383838383823</v>
      </c>
      <c r="P745" t="e">
        <f>SMALL(SimData!$D$9:$D$508,237)</f>
        <v>#NUM!</v>
      </c>
      <c r="Q745">
        <f>1/(COUNT(SimData!$D$9:$D$508)-1)+$Q$744</f>
        <v>2.3838383838383823</v>
      </c>
    </row>
    <row r="746" spans="12:17">
      <c r="L746" t="e">
        <f>SMALL(SimData!$B$9:$B$508,238)</f>
        <v>#NUM!</v>
      </c>
      <c r="M746">
        <f>1/(COUNT(SimData!$B$9:$B$508)-1)+$M$745</f>
        <v>2.3939393939393923</v>
      </c>
      <c r="N746" t="e">
        <f>SMALL(SimData!$C$9:$C$508,238)</f>
        <v>#NUM!</v>
      </c>
      <c r="O746">
        <f>1/(COUNT(SimData!$C$9:$C$508)-1)+$O$745</f>
        <v>2.3939393939393923</v>
      </c>
      <c r="P746" t="e">
        <f>SMALL(SimData!$D$9:$D$508,238)</f>
        <v>#NUM!</v>
      </c>
      <c r="Q746">
        <f>1/(COUNT(SimData!$D$9:$D$508)-1)+$Q$745</f>
        <v>2.3939393939393923</v>
      </c>
    </row>
    <row r="747" spans="12:17">
      <c r="L747" t="e">
        <f>SMALL(SimData!$B$9:$B$508,239)</f>
        <v>#NUM!</v>
      </c>
      <c r="M747">
        <f>1/(COUNT(SimData!$B$9:$B$508)-1)+$M$746</f>
        <v>2.4040404040404022</v>
      </c>
      <c r="N747" t="e">
        <f>SMALL(SimData!$C$9:$C$508,239)</f>
        <v>#NUM!</v>
      </c>
      <c r="O747">
        <f>1/(COUNT(SimData!$C$9:$C$508)-1)+$O$746</f>
        <v>2.4040404040404022</v>
      </c>
      <c r="P747" t="e">
        <f>SMALL(SimData!$D$9:$D$508,239)</f>
        <v>#NUM!</v>
      </c>
      <c r="Q747">
        <f>1/(COUNT(SimData!$D$9:$D$508)-1)+$Q$746</f>
        <v>2.4040404040404022</v>
      </c>
    </row>
    <row r="748" spans="12:17">
      <c r="L748" t="e">
        <f>SMALL(SimData!$B$9:$B$508,240)</f>
        <v>#NUM!</v>
      </c>
      <c r="M748">
        <f>1/(COUNT(SimData!$B$9:$B$508)-1)+$M$747</f>
        <v>2.4141414141414121</v>
      </c>
      <c r="N748" t="e">
        <f>SMALL(SimData!$C$9:$C$508,240)</f>
        <v>#NUM!</v>
      </c>
      <c r="O748">
        <f>1/(COUNT(SimData!$C$9:$C$508)-1)+$O$747</f>
        <v>2.4141414141414121</v>
      </c>
      <c r="P748" t="e">
        <f>SMALL(SimData!$D$9:$D$508,240)</f>
        <v>#NUM!</v>
      </c>
      <c r="Q748">
        <f>1/(COUNT(SimData!$D$9:$D$508)-1)+$Q$747</f>
        <v>2.4141414141414121</v>
      </c>
    </row>
    <row r="749" spans="12:17">
      <c r="L749" t="e">
        <f>SMALL(SimData!$B$9:$B$508,241)</f>
        <v>#NUM!</v>
      </c>
      <c r="M749">
        <f>1/(COUNT(SimData!$B$9:$B$508)-1)+$M$748</f>
        <v>2.4242424242424221</v>
      </c>
      <c r="N749" t="e">
        <f>SMALL(SimData!$C$9:$C$508,241)</f>
        <v>#NUM!</v>
      </c>
      <c r="O749">
        <f>1/(COUNT(SimData!$C$9:$C$508)-1)+$O$748</f>
        <v>2.4242424242424221</v>
      </c>
      <c r="P749" t="e">
        <f>SMALL(SimData!$D$9:$D$508,241)</f>
        <v>#NUM!</v>
      </c>
      <c r="Q749">
        <f>1/(COUNT(SimData!$D$9:$D$508)-1)+$Q$748</f>
        <v>2.4242424242424221</v>
      </c>
    </row>
    <row r="750" spans="12:17">
      <c r="L750" t="e">
        <f>SMALL(SimData!$B$9:$B$508,242)</f>
        <v>#NUM!</v>
      </c>
      <c r="M750">
        <f>1/(COUNT(SimData!$B$9:$B$508)-1)+$M$749</f>
        <v>2.434343434343432</v>
      </c>
      <c r="N750" t="e">
        <f>SMALL(SimData!$C$9:$C$508,242)</f>
        <v>#NUM!</v>
      </c>
      <c r="O750">
        <f>1/(COUNT(SimData!$C$9:$C$508)-1)+$O$749</f>
        <v>2.434343434343432</v>
      </c>
      <c r="P750" t="e">
        <f>SMALL(SimData!$D$9:$D$508,242)</f>
        <v>#NUM!</v>
      </c>
      <c r="Q750">
        <f>1/(COUNT(SimData!$D$9:$D$508)-1)+$Q$749</f>
        <v>2.434343434343432</v>
      </c>
    </row>
    <row r="751" spans="12:17">
      <c r="L751" t="e">
        <f>SMALL(SimData!$B$9:$B$508,243)</f>
        <v>#NUM!</v>
      </c>
      <c r="M751">
        <f>1/(COUNT(SimData!$B$9:$B$508)-1)+$M$750</f>
        <v>2.444444444444442</v>
      </c>
      <c r="N751" t="e">
        <f>SMALL(SimData!$C$9:$C$508,243)</f>
        <v>#NUM!</v>
      </c>
      <c r="O751">
        <f>1/(COUNT(SimData!$C$9:$C$508)-1)+$O$750</f>
        <v>2.444444444444442</v>
      </c>
      <c r="P751" t="e">
        <f>SMALL(SimData!$D$9:$D$508,243)</f>
        <v>#NUM!</v>
      </c>
      <c r="Q751">
        <f>1/(COUNT(SimData!$D$9:$D$508)-1)+$Q$750</f>
        <v>2.444444444444442</v>
      </c>
    </row>
    <row r="752" spans="12:17">
      <c r="L752" t="e">
        <f>SMALL(SimData!$B$9:$B$508,244)</f>
        <v>#NUM!</v>
      </c>
      <c r="M752">
        <f>1/(COUNT(SimData!$B$9:$B$508)-1)+$M$751</f>
        <v>2.4545454545454519</v>
      </c>
      <c r="N752" t="e">
        <f>SMALL(SimData!$C$9:$C$508,244)</f>
        <v>#NUM!</v>
      </c>
      <c r="O752">
        <f>1/(COUNT(SimData!$C$9:$C$508)-1)+$O$751</f>
        <v>2.4545454545454519</v>
      </c>
      <c r="P752" t="e">
        <f>SMALL(SimData!$D$9:$D$508,244)</f>
        <v>#NUM!</v>
      </c>
      <c r="Q752">
        <f>1/(COUNT(SimData!$D$9:$D$508)-1)+$Q$751</f>
        <v>2.4545454545454519</v>
      </c>
    </row>
    <row r="753" spans="12:17">
      <c r="L753" t="e">
        <f>SMALL(SimData!$B$9:$B$508,245)</f>
        <v>#NUM!</v>
      </c>
      <c r="M753">
        <f>1/(COUNT(SimData!$B$9:$B$508)-1)+$M$752</f>
        <v>2.4646464646464619</v>
      </c>
      <c r="N753" t="e">
        <f>SMALL(SimData!$C$9:$C$508,245)</f>
        <v>#NUM!</v>
      </c>
      <c r="O753">
        <f>1/(COUNT(SimData!$C$9:$C$508)-1)+$O$752</f>
        <v>2.4646464646464619</v>
      </c>
      <c r="P753" t="e">
        <f>SMALL(SimData!$D$9:$D$508,245)</f>
        <v>#NUM!</v>
      </c>
      <c r="Q753">
        <f>1/(COUNT(SimData!$D$9:$D$508)-1)+$Q$752</f>
        <v>2.4646464646464619</v>
      </c>
    </row>
    <row r="754" spans="12:17">
      <c r="L754" t="e">
        <f>SMALL(SimData!$B$9:$B$508,246)</f>
        <v>#NUM!</v>
      </c>
      <c r="M754">
        <f>1/(COUNT(SimData!$B$9:$B$508)-1)+$M$753</f>
        <v>2.4747474747474718</v>
      </c>
      <c r="N754" t="e">
        <f>SMALL(SimData!$C$9:$C$508,246)</f>
        <v>#NUM!</v>
      </c>
      <c r="O754">
        <f>1/(COUNT(SimData!$C$9:$C$508)-1)+$O$753</f>
        <v>2.4747474747474718</v>
      </c>
      <c r="P754" t="e">
        <f>SMALL(SimData!$D$9:$D$508,246)</f>
        <v>#NUM!</v>
      </c>
      <c r="Q754">
        <f>1/(COUNT(SimData!$D$9:$D$508)-1)+$Q$753</f>
        <v>2.4747474747474718</v>
      </c>
    </row>
    <row r="755" spans="12:17">
      <c r="L755" t="e">
        <f>SMALL(SimData!$B$9:$B$508,247)</f>
        <v>#NUM!</v>
      </c>
      <c r="M755">
        <f>1/(COUNT(SimData!$B$9:$B$508)-1)+$M$754</f>
        <v>2.4848484848484818</v>
      </c>
      <c r="N755" t="e">
        <f>SMALL(SimData!$C$9:$C$508,247)</f>
        <v>#NUM!</v>
      </c>
      <c r="O755">
        <f>1/(COUNT(SimData!$C$9:$C$508)-1)+$O$754</f>
        <v>2.4848484848484818</v>
      </c>
      <c r="P755" t="e">
        <f>SMALL(SimData!$D$9:$D$508,247)</f>
        <v>#NUM!</v>
      </c>
      <c r="Q755">
        <f>1/(COUNT(SimData!$D$9:$D$508)-1)+$Q$754</f>
        <v>2.4848484848484818</v>
      </c>
    </row>
    <row r="756" spans="12:17">
      <c r="L756" t="e">
        <f>SMALL(SimData!$B$9:$B$508,248)</f>
        <v>#NUM!</v>
      </c>
      <c r="M756">
        <f>1/(COUNT(SimData!$B$9:$B$508)-1)+$M$755</f>
        <v>2.4949494949494917</v>
      </c>
      <c r="N756" t="e">
        <f>SMALL(SimData!$C$9:$C$508,248)</f>
        <v>#NUM!</v>
      </c>
      <c r="O756">
        <f>1/(COUNT(SimData!$C$9:$C$508)-1)+$O$755</f>
        <v>2.4949494949494917</v>
      </c>
      <c r="P756" t="e">
        <f>SMALL(SimData!$D$9:$D$508,248)</f>
        <v>#NUM!</v>
      </c>
      <c r="Q756">
        <f>1/(COUNT(SimData!$D$9:$D$508)-1)+$Q$755</f>
        <v>2.4949494949494917</v>
      </c>
    </row>
    <row r="757" spans="12:17">
      <c r="L757" t="e">
        <f>SMALL(SimData!$B$9:$B$508,249)</f>
        <v>#NUM!</v>
      </c>
      <c r="M757">
        <f>1/(COUNT(SimData!$B$9:$B$508)-1)+$M$756</f>
        <v>2.5050505050505016</v>
      </c>
      <c r="N757" t="e">
        <f>SMALL(SimData!$C$9:$C$508,249)</f>
        <v>#NUM!</v>
      </c>
      <c r="O757">
        <f>1/(COUNT(SimData!$C$9:$C$508)-1)+$O$756</f>
        <v>2.5050505050505016</v>
      </c>
      <c r="P757" t="e">
        <f>SMALL(SimData!$D$9:$D$508,249)</f>
        <v>#NUM!</v>
      </c>
      <c r="Q757">
        <f>1/(COUNT(SimData!$D$9:$D$508)-1)+$Q$756</f>
        <v>2.5050505050505016</v>
      </c>
    </row>
    <row r="758" spans="12:17">
      <c r="L758" t="e">
        <f>SMALL(SimData!$B$9:$B$508,250)</f>
        <v>#NUM!</v>
      </c>
      <c r="M758">
        <f>1/(COUNT(SimData!$B$9:$B$508)-1)+$M$757</f>
        <v>2.5151515151515116</v>
      </c>
      <c r="N758" t="e">
        <f>SMALL(SimData!$C$9:$C$508,250)</f>
        <v>#NUM!</v>
      </c>
      <c r="O758">
        <f>1/(COUNT(SimData!$C$9:$C$508)-1)+$O$757</f>
        <v>2.5151515151515116</v>
      </c>
      <c r="P758" t="e">
        <f>SMALL(SimData!$D$9:$D$508,250)</f>
        <v>#NUM!</v>
      </c>
      <c r="Q758">
        <f>1/(COUNT(SimData!$D$9:$D$508)-1)+$Q$757</f>
        <v>2.5151515151515116</v>
      </c>
    </row>
    <row r="759" spans="12:17">
      <c r="L759" t="e">
        <f>SMALL(SimData!$B$9:$B$508,251)</f>
        <v>#NUM!</v>
      </c>
      <c r="M759">
        <f>1/(COUNT(SimData!$B$9:$B$508)-1)+$M$758</f>
        <v>2.5252525252525215</v>
      </c>
      <c r="N759" t="e">
        <f>SMALL(SimData!$C$9:$C$508,251)</f>
        <v>#NUM!</v>
      </c>
      <c r="O759">
        <f>1/(COUNT(SimData!$C$9:$C$508)-1)+$O$758</f>
        <v>2.5252525252525215</v>
      </c>
      <c r="P759" t="e">
        <f>SMALL(SimData!$D$9:$D$508,251)</f>
        <v>#NUM!</v>
      </c>
      <c r="Q759">
        <f>1/(COUNT(SimData!$D$9:$D$508)-1)+$Q$758</f>
        <v>2.5252525252525215</v>
      </c>
    </row>
    <row r="760" spans="12:17">
      <c r="L760" t="e">
        <f>SMALL(SimData!$B$9:$B$508,252)</f>
        <v>#NUM!</v>
      </c>
      <c r="M760">
        <f>1/(COUNT(SimData!$B$9:$B$508)-1)+$M$759</f>
        <v>2.5353535353535315</v>
      </c>
      <c r="N760" t="e">
        <f>SMALL(SimData!$C$9:$C$508,252)</f>
        <v>#NUM!</v>
      </c>
      <c r="O760">
        <f>1/(COUNT(SimData!$C$9:$C$508)-1)+$O$759</f>
        <v>2.5353535353535315</v>
      </c>
      <c r="P760" t="e">
        <f>SMALL(SimData!$D$9:$D$508,252)</f>
        <v>#NUM!</v>
      </c>
      <c r="Q760">
        <f>1/(COUNT(SimData!$D$9:$D$508)-1)+$Q$759</f>
        <v>2.5353535353535315</v>
      </c>
    </row>
    <row r="761" spans="12:17">
      <c r="L761" t="e">
        <f>SMALL(SimData!$B$9:$B$508,253)</f>
        <v>#NUM!</v>
      </c>
      <c r="M761">
        <f>1/(COUNT(SimData!$B$9:$B$508)-1)+$M$760</f>
        <v>2.5454545454545414</v>
      </c>
      <c r="N761" t="e">
        <f>SMALL(SimData!$C$9:$C$508,253)</f>
        <v>#NUM!</v>
      </c>
      <c r="O761">
        <f>1/(COUNT(SimData!$C$9:$C$508)-1)+$O$760</f>
        <v>2.5454545454545414</v>
      </c>
      <c r="P761" t="e">
        <f>SMALL(SimData!$D$9:$D$508,253)</f>
        <v>#NUM!</v>
      </c>
      <c r="Q761">
        <f>1/(COUNT(SimData!$D$9:$D$508)-1)+$Q$760</f>
        <v>2.5454545454545414</v>
      </c>
    </row>
    <row r="762" spans="12:17">
      <c r="L762" t="e">
        <f>SMALL(SimData!$B$9:$B$508,254)</f>
        <v>#NUM!</v>
      </c>
      <c r="M762">
        <f>1/(COUNT(SimData!$B$9:$B$508)-1)+$M$761</f>
        <v>2.5555555555555514</v>
      </c>
      <c r="N762" t="e">
        <f>SMALL(SimData!$C$9:$C$508,254)</f>
        <v>#NUM!</v>
      </c>
      <c r="O762">
        <f>1/(COUNT(SimData!$C$9:$C$508)-1)+$O$761</f>
        <v>2.5555555555555514</v>
      </c>
      <c r="P762" t="e">
        <f>SMALL(SimData!$D$9:$D$508,254)</f>
        <v>#NUM!</v>
      </c>
      <c r="Q762">
        <f>1/(COUNT(SimData!$D$9:$D$508)-1)+$Q$761</f>
        <v>2.5555555555555514</v>
      </c>
    </row>
    <row r="763" spans="12:17">
      <c r="L763" t="e">
        <f>SMALL(SimData!$B$9:$B$508,255)</f>
        <v>#NUM!</v>
      </c>
      <c r="M763">
        <f>1/(COUNT(SimData!$B$9:$B$508)-1)+$M$762</f>
        <v>2.5656565656565613</v>
      </c>
      <c r="N763" t="e">
        <f>SMALL(SimData!$C$9:$C$508,255)</f>
        <v>#NUM!</v>
      </c>
      <c r="O763">
        <f>1/(COUNT(SimData!$C$9:$C$508)-1)+$O$762</f>
        <v>2.5656565656565613</v>
      </c>
      <c r="P763" t="e">
        <f>SMALL(SimData!$D$9:$D$508,255)</f>
        <v>#NUM!</v>
      </c>
      <c r="Q763">
        <f>1/(COUNT(SimData!$D$9:$D$508)-1)+$Q$762</f>
        <v>2.5656565656565613</v>
      </c>
    </row>
    <row r="764" spans="12:17">
      <c r="L764" t="e">
        <f>SMALL(SimData!$B$9:$B$508,256)</f>
        <v>#NUM!</v>
      </c>
      <c r="M764">
        <f>1/(COUNT(SimData!$B$9:$B$508)-1)+$M$763</f>
        <v>2.5757575757575712</v>
      </c>
      <c r="N764" t="e">
        <f>SMALL(SimData!$C$9:$C$508,256)</f>
        <v>#NUM!</v>
      </c>
      <c r="O764">
        <f>1/(COUNT(SimData!$C$9:$C$508)-1)+$O$763</f>
        <v>2.5757575757575712</v>
      </c>
      <c r="P764" t="e">
        <f>SMALL(SimData!$D$9:$D$508,256)</f>
        <v>#NUM!</v>
      </c>
      <c r="Q764">
        <f>1/(COUNT(SimData!$D$9:$D$508)-1)+$Q$763</f>
        <v>2.5757575757575712</v>
      </c>
    </row>
    <row r="765" spans="12:17">
      <c r="L765" t="e">
        <f>SMALL(SimData!$B$9:$B$508,257)</f>
        <v>#NUM!</v>
      </c>
      <c r="M765">
        <f>1/(COUNT(SimData!$B$9:$B$508)-1)+$M$764</f>
        <v>2.5858585858585812</v>
      </c>
      <c r="N765" t="e">
        <f>SMALL(SimData!$C$9:$C$508,257)</f>
        <v>#NUM!</v>
      </c>
      <c r="O765">
        <f>1/(COUNT(SimData!$C$9:$C$508)-1)+$O$764</f>
        <v>2.5858585858585812</v>
      </c>
      <c r="P765" t="e">
        <f>SMALL(SimData!$D$9:$D$508,257)</f>
        <v>#NUM!</v>
      </c>
      <c r="Q765">
        <f>1/(COUNT(SimData!$D$9:$D$508)-1)+$Q$764</f>
        <v>2.5858585858585812</v>
      </c>
    </row>
    <row r="766" spans="12:17">
      <c r="L766" t="e">
        <f>SMALL(SimData!$B$9:$B$508,258)</f>
        <v>#NUM!</v>
      </c>
      <c r="M766">
        <f>1/(COUNT(SimData!$B$9:$B$508)-1)+$M$765</f>
        <v>2.5959595959595911</v>
      </c>
      <c r="N766" t="e">
        <f>SMALL(SimData!$C$9:$C$508,258)</f>
        <v>#NUM!</v>
      </c>
      <c r="O766">
        <f>1/(COUNT(SimData!$C$9:$C$508)-1)+$O$765</f>
        <v>2.5959595959595911</v>
      </c>
      <c r="P766" t="e">
        <f>SMALL(SimData!$D$9:$D$508,258)</f>
        <v>#NUM!</v>
      </c>
      <c r="Q766">
        <f>1/(COUNT(SimData!$D$9:$D$508)-1)+$Q$765</f>
        <v>2.5959595959595911</v>
      </c>
    </row>
    <row r="767" spans="12:17">
      <c r="L767" t="e">
        <f>SMALL(SimData!$B$9:$B$508,259)</f>
        <v>#NUM!</v>
      </c>
      <c r="M767">
        <f>1/(COUNT(SimData!$B$9:$B$508)-1)+$M$766</f>
        <v>2.6060606060606011</v>
      </c>
      <c r="N767" t="e">
        <f>SMALL(SimData!$C$9:$C$508,259)</f>
        <v>#NUM!</v>
      </c>
      <c r="O767">
        <f>1/(COUNT(SimData!$C$9:$C$508)-1)+$O$766</f>
        <v>2.6060606060606011</v>
      </c>
      <c r="P767" t="e">
        <f>SMALL(SimData!$D$9:$D$508,259)</f>
        <v>#NUM!</v>
      </c>
      <c r="Q767">
        <f>1/(COUNT(SimData!$D$9:$D$508)-1)+$Q$766</f>
        <v>2.6060606060606011</v>
      </c>
    </row>
    <row r="768" spans="12:17">
      <c r="L768" t="e">
        <f>SMALL(SimData!$B$9:$B$508,260)</f>
        <v>#NUM!</v>
      </c>
      <c r="M768">
        <f>1/(COUNT(SimData!$B$9:$B$508)-1)+$M$767</f>
        <v>2.616161616161611</v>
      </c>
      <c r="N768" t="e">
        <f>SMALL(SimData!$C$9:$C$508,260)</f>
        <v>#NUM!</v>
      </c>
      <c r="O768">
        <f>1/(COUNT(SimData!$C$9:$C$508)-1)+$O$767</f>
        <v>2.616161616161611</v>
      </c>
      <c r="P768" t="e">
        <f>SMALL(SimData!$D$9:$D$508,260)</f>
        <v>#NUM!</v>
      </c>
      <c r="Q768">
        <f>1/(COUNT(SimData!$D$9:$D$508)-1)+$Q$767</f>
        <v>2.616161616161611</v>
      </c>
    </row>
    <row r="769" spans="12:17">
      <c r="L769" t="e">
        <f>SMALL(SimData!$B$9:$B$508,261)</f>
        <v>#NUM!</v>
      </c>
      <c r="M769">
        <f>1/(COUNT(SimData!$B$9:$B$508)-1)+$M$768</f>
        <v>2.626262626262621</v>
      </c>
      <c r="N769" t="e">
        <f>SMALL(SimData!$C$9:$C$508,261)</f>
        <v>#NUM!</v>
      </c>
      <c r="O769">
        <f>1/(COUNT(SimData!$C$9:$C$508)-1)+$O$768</f>
        <v>2.626262626262621</v>
      </c>
      <c r="P769" t="e">
        <f>SMALL(SimData!$D$9:$D$508,261)</f>
        <v>#NUM!</v>
      </c>
      <c r="Q769">
        <f>1/(COUNT(SimData!$D$9:$D$508)-1)+$Q$768</f>
        <v>2.626262626262621</v>
      </c>
    </row>
    <row r="770" spans="12:17">
      <c r="L770" t="e">
        <f>SMALL(SimData!$B$9:$B$508,262)</f>
        <v>#NUM!</v>
      </c>
      <c r="M770">
        <f>1/(COUNT(SimData!$B$9:$B$508)-1)+$M$769</f>
        <v>2.6363636363636309</v>
      </c>
      <c r="N770" t="e">
        <f>SMALL(SimData!$C$9:$C$508,262)</f>
        <v>#NUM!</v>
      </c>
      <c r="O770">
        <f>1/(COUNT(SimData!$C$9:$C$508)-1)+$O$769</f>
        <v>2.6363636363636309</v>
      </c>
      <c r="P770" t="e">
        <f>SMALL(SimData!$D$9:$D$508,262)</f>
        <v>#NUM!</v>
      </c>
      <c r="Q770">
        <f>1/(COUNT(SimData!$D$9:$D$508)-1)+$Q$769</f>
        <v>2.6363636363636309</v>
      </c>
    </row>
    <row r="771" spans="12:17">
      <c r="L771" t="e">
        <f>SMALL(SimData!$B$9:$B$508,263)</f>
        <v>#NUM!</v>
      </c>
      <c r="M771">
        <f>1/(COUNT(SimData!$B$9:$B$508)-1)+$M$770</f>
        <v>2.6464646464646409</v>
      </c>
      <c r="N771" t="e">
        <f>SMALL(SimData!$C$9:$C$508,263)</f>
        <v>#NUM!</v>
      </c>
      <c r="O771">
        <f>1/(COUNT(SimData!$C$9:$C$508)-1)+$O$770</f>
        <v>2.6464646464646409</v>
      </c>
      <c r="P771" t="e">
        <f>SMALL(SimData!$D$9:$D$508,263)</f>
        <v>#NUM!</v>
      </c>
      <c r="Q771">
        <f>1/(COUNT(SimData!$D$9:$D$508)-1)+$Q$770</f>
        <v>2.6464646464646409</v>
      </c>
    </row>
    <row r="772" spans="12:17">
      <c r="L772" t="e">
        <f>SMALL(SimData!$B$9:$B$508,264)</f>
        <v>#NUM!</v>
      </c>
      <c r="M772">
        <f>1/(COUNT(SimData!$B$9:$B$508)-1)+$M$771</f>
        <v>2.6565656565656508</v>
      </c>
      <c r="N772" t="e">
        <f>SMALL(SimData!$C$9:$C$508,264)</f>
        <v>#NUM!</v>
      </c>
      <c r="O772">
        <f>1/(COUNT(SimData!$C$9:$C$508)-1)+$O$771</f>
        <v>2.6565656565656508</v>
      </c>
      <c r="P772" t="e">
        <f>SMALL(SimData!$D$9:$D$508,264)</f>
        <v>#NUM!</v>
      </c>
      <c r="Q772">
        <f>1/(COUNT(SimData!$D$9:$D$508)-1)+$Q$771</f>
        <v>2.6565656565656508</v>
      </c>
    </row>
    <row r="773" spans="12:17">
      <c r="L773" t="e">
        <f>SMALL(SimData!$B$9:$B$508,265)</f>
        <v>#NUM!</v>
      </c>
      <c r="M773">
        <f>1/(COUNT(SimData!$B$9:$B$508)-1)+$M$772</f>
        <v>2.6666666666666607</v>
      </c>
      <c r="N773" t="e">
        <f>SMALL(SimData!$C$9:$C$508,265)</f>
        <v>#NUM!</v>
      </c>
      <c r="O773">
        <f>1/(COUNT(SimData!$C$9:$C$508)-1)+$O$772</f>
        <v>2.6666666666666607</v>
      </c>
      <c r="P773" t="e">
        <f>SMALL(SimData!$D$9:$D$508,265)</f>
        <v>#NUM!</v>
      </c>
      <c r="Q773">
        <f>1/(COUNT(SimData!$D$9:$D$508)-1)+$Q$772</f>
        <v>2.6666666666666607</v>
      </c>
    </row>
    <row r="774" spans="12:17">
      <c r="L774" t="e">
        <f>SMALL(SimData!$B$9:$B$508,266)</f>
        <v>#NUM!</v>
      </c>
      <c r="M774">
        <f>1/(COUNT(SimData!$B$9:$B$508)-1)+$M$773</f>
        <v>2.6767676767676707</v>
      </c>
      <c r="N774" t="e">
        <f>SMALL(SimData!$C$9:$C$508,266)</f>
        <v>#NUM!</v>
      </c>
      <c r="O774">
        <f>1/(COUNT(SimData!$C$9:$C$508)-1)+$O$773</f>
        <v>2.6767676767676707</v>
      </c>
      <c r="P774" t="e">
        <f>SMALL(SimData!$D$9:$D$508,266)</f>
        <v>#NUM!</v>
      </c>
      <c r="Q774">
        <f>1/(COUNT(SimData!$D$9:$D$508)-1)+$Q$773</f>
        <v>2.6767676767676707</v>
      </c>
    </row>
    <row r="775" spans="12:17">
      <c r="L775" t="e">
        <f>SMALL(SimData!$B$9:$B$508,267)</f>
        <v>#NUM!</v>
      </c>
      <c r="M775">
        <f>1/(COUNT(SimData!$B$9:$B$508)-1)+$M$774</f>
        <v>2.6868686868686806</v>
      </c>
      <c r="N775" t="e">
        <f>SMALL(SimData!$C$9:$C$508,267)</f>
        <v>#NUM!</v>
      </c>
      <c r="O775">
        <f>1/(COUNT(SimData!$C$9:$C$508)-1)+$O$774</f>
        <v>2.6868686868686806</v>
      </c>
      <c r="P775" t="e">
        <f>SMALL(SimData!$D$9:$D$508,267)</f>
        <v>#NUM!</v>
      </c>
      <c r="Q775">
        <f>1/(COUNT(SimData!$D$9:$D$508)-1)+$Q$774</f>
        <v>2.6868686868686806</v>
      </c>
    </row>
    <row r="776" spans="12:17">
      <c r="L776" t="e">
        <f>SMALL(SimData!$B$9:$B$508,268)</f>
        <v>#NUM!</v>
      </c>
      <c r="M776">
        <f>1/(COUNT(SimData!$B$9:$B$508)-1)+$M$775</f>
        <v>2.6969696969696906</v>
      </c>
      <c r="N776" t="e">
        <f>SMALL(SimData!$C$9:$C$508,268)</f>
        <v>#NUM!</v>
      </c>
      <c r="O776">
        <f>1/(COUNT(SimData!$C$9:$C$508)-1)+$O$775</f>
        <v>2.6969696969696906</v>
      </c>
      <c r="P776" t="e">
        <f>SMALL(SimData!$D$9:$D$508,268)</f>
        <v>#NUM!</v>
      </c>
      <c r="Q776">
        <f>1/(COUNT(SimData!$D$9:$D$508)-1)+$Q$775</f>
        <v>2.6969696969696906</v>
      </c>
    </row>
    <row r="777" spans="12:17">
      <c r="L777" t="e">
        <f>SMALL(SimData!$B$9:$B$508,269)</f>
        <v>#NUM!</v>
      </c>
      <c r="M777">
        <f>1/(COUNT(SimData!$B$9:$B$508)-1)+$M$776</f>
        <v>2.7070707070707005</v>
      </c>
      <c r="N777" t="e">
        <f>SMALL(SimData!$C$9:$C$508,269)</f>
        <v>#NUM!</v>
      </c>
      <c r="O777">
        <f>1/(COUNT(SimData!$C$9:$C$508)-1)+$O$776</f>
        <v>2.7070707070707005</v>
      </c>
      <c r="P777" t="e">
        <f>SMALL(SimData!$D$9:$D$508,269)</f>
        <v>#NUM!</v>
      </c>
      <c r="Q777">
        <f>1/(COUNT(SimData!$D$9:$D$508)-1)+$Q$776</f>
        <v>2.7070707070707005</v>
      </c>
    </row>
    <row r="778" spans="12:17">
      <c r="L778" t="e">
        <f>SMALL(SimData!$B$9:$B$508,270)</f>
        <v>#NUM!</v>
      </c>
      <c r="M778">
        <f>1/(COUNT(SimData!$B$9:$B$508)-1)+$M$777</f>
        <v>2.7171717171717105</v>
      </c>
      <c r="N778" t="e">
        <f>SMALL(SimData!$C$9:$C$508,270)</f>
        <v>#NUM!</v>
      </c>
      <c r="O778">
        <f>1/(COUNT(SimData!$C$9:$C$508)-1)+$O$777</f>
        <v>2.7171717171717105</v>
      </c>
      <c r="P778" t="e">
        <f>SMALL(SimData!$D$9:$D$508,270)</f>
        <v>#NUM!</v>
      </c>
      <c r="Q778">
        <f>1/(COUNT(SimData!$D$9:$D$508)-1)+$Q$777</f>
        <v>2.7171717171717105</v>
      </c>
    </row>
    <row r="779" spans="12:17">
      <c r="L779" t="e">
        <f>SMALL(SimData!$B$9:$B$508,271)</f>
        <v>#NUM!</v>
      </c>
      <c r="M779">
        <f>1/(COUNT(SimData!$B$9:$B$508)-1)+$M$778</f>
        <v>2.7272727272727204</v>
      </c>
      <c r="N779" t="e">
        <f>SMALL(SimData!$C$9:$C$508,271)</f>
        <v>#NUM!</v>
      </c>
      <c r="O779">
        <f>1/(COUNT(SimData!$C$9:$C$508)-1)+$O$778</f>
        <v>2.7272727272727204</v>
      </c>
      <c r="P779" t="e">
        <f>SMALL(SimData!$D$9:$D$508,271)</f>
        <v>#NUM!</v>
      </c>
      <c r="Q779">
        <f>1/(COUNT(SimData!$D$9:$D$508)-1)+$Q$778</f>
        <v>2.7272727272727204</v>
      </c>
    </row>
    <row r="780" spans="12:17">
      <c r="L780" t="e">
        <f>SMALL(SimData!$B$9:$B$508,272)</f>
        <v>#NUM!</v>
      </c>
      <c r="M780">
        <f>1/(COUNT(SimData!$B$9:$B$508)-1)+$M$779</f>
        <v>2.7373737373737304</v>
      </c>
      <c r="N780" t="e">
        <f>SMALL(SimData!$C$9:$C$508,272)</f>
        <v>#NUM!</v>
      </c>
      <c r="O780">
        <f>1/(COUNT(SimData!$C$9:$C$508)-1)+$O$779</f>
        <v>2.7373737373737304</v>
      </c>
      <c r="P780" t="e">
        <f>SMALL(SimData!$D$9:$D$508,272)</f>
        <v>#NUM!</v>
      </c>
      <c r="Q780">
        <f>1/(COUNT(SimData!$D$9:$D$508)-1)+$Q$779</f>
        <v>2.7373737373737304</v>
      </c>
    </row>
    <row r="781" spans="12:17">
      <c r="L781" t="e">
        <f>SMALL(SimData!$B$9:$B$508,273)</f>
        <v>#NUM!</v>
      </c>
      <c r="M781">
        <f>1/(COUNT(SimData!$B$9:$B$508)-1)+$M$780</f>
        <v>2.7474747474747403</v>
      </c>
      <c r="N781" t="e">
        <f>SMALL(SimData!$C$9:$C$508,273)</f>
        <v>#NUM!</v>
      </c>
      <c r="O781">
        <f>1/(COUNT(SimData!$C$9:$C$508)-1)+$O$780</f>
        <v>2.7474747474747403</v>
      </c>
      <c r="P781" t="e">
        <f>SMALL(SimData!$D$9:$D$508,273)</f>
        <v>#NUM!</v>
      </c>
      <c r="Q781">
        <f>1/(COUNT(SimData!$D$9:$D$508)-1)+$Q$780</f>
        <v>2.7474747474747403</v>
      </c>
    </row>
    <row r="782" spans="12:17">
      <c r="L782" t="e">
        <f>SMALL(SimData!$B$9:$B$508,274)</f>
        <v>#NUM!</v>
      </c>
      <c r="M782">
        <f>1/(COUNT(SimData!$B$9:$B$508)-1)+$M$781</f>
        <v>2.7575757575757502</v>
      </c>
      <c r="N782" t="e">
        <f>SMALL(SimData!$C$9:$C$508,274)</f>
        <v>#NUM!</v>
      </c>
      <c r="O782">
        <f>1/(COUNT(SimData!$C$9:$C$508)-1)+$O$781</f>
        <v>2.7575757575757502</v>
      </c>
      <c r="P782" t="e">
        <f>SMALL(SimData!$D$9:$D$508,274)</f>
        <v>#NUM!</v>
      </c>
      <c r="Q782">
        <f>1/(COUNT(SimData!$D$9:$D$508)-1)+$Q$781</f>
        <v>2.7575757575757502</v>
      </c>
    </row>
    <row r="783" spans="12:17">
      <c r="L783" t="e">
        <f>SMALL(SimData!$B$9:$B$508,275)</f>
        <v>#NUM!</v>
      </c>
      <c r="M783">
        <f>1/(COUNT(SimData!$B$9:$B$508)-1)+$M$782</f>
        <v>2.7676767676767602</v>
      </c>
      <c r="N783" t="e">
        <f>SMALL(SimData!$C$9:$C$508,275)</f>
        <v>#NUM!</v>
      </c>
      <c r="O783">
        <f>1/(COUNT(SimData!$C$9:$C$508)-1)+$O$782</f>
        <v>2.7676767676767602</v>
      </c>
      <c r="P783" t="e">
        <f>SMALL(SimData!$D$9:$D$508,275)</f>
        <v>#NUM!</v>
      </c>
      <c r="Q783">
        <f>1/(COUNT(SimData!$D$9:$D$508)-1)+$Q$782</f>
        <v>2.7676767676767602</v>
      </c>
    </row>
    <row r="784" spans="12:17">
      <c r="L784" t="e">
        <f>SMALL(SimData!$B$9:$B$508,276)</f>
        <v>#NUM!</v>
      </c>
      <c r="M784">
        <f>1/(COUNT(SimData!$B$9:$B$508)-1)+$M$783</f>
        <v>2.7777777777777701</v>
      </c>
      <c r="N784" t="e">
        <f>SMALL(SimData!$C$9:$C$508,276)</f>
        <v>#NUM!</v>
      </c>
      <c r="O784">
        <f>1/(COUNT(SimData!$C$9:$C$508)-1)+$O$783</f>
        <v>2.7777777777777701</v>
      </c>
      <c r="P784" t="e">
        <f>SMALL(SimData!$D$9:$D$508,276)</f>
        <v>#NUM!</v>
      </c>
      <c r="Q784">
        <f>1/(COUNT(SimData!$D$9:$D$508)-1)+$Q$783</f>
        <v>2.7777777777777701</v>
      </c>
    </row>
    <row r="785" spans="12:17">
      <c r="L785" t="e">
        <f>SMALL(SimData!$B$9:$B$508,277)</f>
        <v>#NUM!</v>
      </c>
      <c r="M785">
        <f>1/(COUNT(SimData!$B$9:$B$508)-1)+$M$784</f>
        <v>2.7878787878787801</v>
      </c>
      <c r="N785" t="e">
        <f>SMALL(SimData!$C$9:$C$508,277)</f>
        <v>#NUM!</v>
      </c>
      <c r="O785">
        <f>1/(COUNT(SimData!$C$9:$C$508)-1)+$O$784</f>
        <v>2.7878787878787801</v>
      </c>
      <c r="P785" t="e">
        <f>SMALL(SimData!$D$9:$D$508,277)</f>
        <v>#NUM!</v>
      </c>
      <c r="Q785">
        <f>1/(COUNT(SimData!$D$9:$D$508)-1)+$Q$784</f>
        <v>2.7878787878787801</v>
      </c>
    </row>
    <row r="786" spans="12:17">
      <c r="L786" t="e">
        <f>SMALL(SimData!$B$9:$B$508,278)</f>
        <v>#NUM!</v>
      </c>
      <c r="M786">
        <f>1/(COUNT(SimData!$B$9:$B$508)-1)+$M$785</f>
        <v>2.79797979797979</v>
      </c>
      <c r="N786" t="e">
        <f>SMALL(SimData!$C$9:$C$508,278)</f>
        <v>#NUM!</v>
      </c>
      <c r="O786">
        <f>1/(COUNT(SimData!$C$9:$C$508)-1)+$O$785</f>
        <v>2.79797979797979</v>
      </c>
      <c r="P786" t="e">
        <f>SMALL(SimData!$D$9:$D$508,278)</f>
        <v>#NUM!</v>
      </c>
      <c r="Q786">
        <f>1/(COUNT(SimData!$D$9:$D$508)-1)+$Q$785</f>
        <v>2.79797979797979</v>
      </c>
    </row>
    <row r="787" spans="12:17">
      <c r="L787" t="e">
        <f>SMALL(SimData!$B$9:$B$508,279)</f>
        <v>#NUM!</v>
      </c>
      <c r="M787">
        <f>1/(COUNT(SimData!$B$9:$B$508)-1)+$M$786</f>
        <v>2.8080808080808</v>
      </c>
      <c r="N787" t="e">
        <f>SMALL(SimData!$C$9:$C$508,279)</f>
        <v>#NUM!</v>
      </c>
      <c r="O787">
        <f>1/(COUNT(SimData!$C$9:$C$508)-1)+$O$786</f>
        <v>2.8080808080808</v>
      </c>
      <c r="P787" t="e">
        <f>SMALL(SimData!$D$9:$D$508,279)</f>
        <v>#NUM!</v>
      </c>
      <c r="Q787">
        <f>1/(COUNT(SimData!$D$9:$D$508)-1)+$Q$786</f>
        <v>2.8080808080808</v>
      </c>
    </row>
    <row r="788" spans="12:17">
      <c r="L788" t="e">
        <f>SMALL(SimData!$B$9:$B$508,280)</f>
        <v>#NUM!</v>
      </c>
      <c r="M788">
        <f>1/(COUNT(SimData!$B$9:$B$508)-1)+$M$787</f>
        <v>2.8181818181818099</v>
      </c>
      <c r="N788" t="e">
        <f>SMALL(SimData!$C$9:$C$508,280)</f>
        <v>#NUM!</v>
      </c>
      <c r="O788">
        <f>1/(COUNT(SimData!$C$9:$C$508)-1)+$O$787</f>
        <v>2.8181818181818099</v>
      </c>
      <c r="P788" t="e">
        <f>SMALL(SimData!$D$9:$D$508,280)</f>
        <v>#NUM!</v>
      </c>
      <c r="Q788">
        <f>1/(COUNT(SimData!$D$9:$D$508)-1)+$Q$787</f>
        <v>2.8181818181818099</v>
      </c>
    </row>
    <row r="789" spans="12:17">
      <c r="L789" t="e">
        <f>SMALL(SimData!$B$9:$B$508,281)</f>
        <v>#NUM!</v>
      </c>
      <c r="M789">
        <f>1/(COUNT(SimData!$B$9:$B$508)-1)+$M$788</f>
        <v>2.8282828282828198</v>
      </c>
      <c r="N789" t="e">
        <f>SMALL(SimData!$C$9:$C$508,281)</f>
        <v>#NUM!</v>
      </c>
      <c r="O789">
        <f>1/(COUNT(SimData!$C$9:$C$508)-1)+$O$788</f>
        <v>2.8282828282828198</v>
      </c>
      <c r="P789" t="e">
        <f>SMALL(SimData!$D$9:$D$508,281)</f>
        <v>#NUM!</v>
      </c>
      <c r="Q789">
        <f>1/(COUNT(SimData!$D$9:$D$508)-1)+$Q$788</f>
        <v>2.8282828282828198</v>
      </c>
    </row>
    <row r="790" spans="12:17">
      <c r="L790" t="e">
        <f>SMALL(SimData!$B$9:$B$508,282)</f>
        <v>#NUM!</v>
      </c>
      <c r="M790">
        <f>1/(COUNT(SimData!$B$9:$B$508)-1)+$M$789</f>
        <v>2.8383838383838298</v>
      </c>
      <c r="N790" t="e">
        <f>SMALL(SimData!$C$9:$C$508,282)</f>
        <v>#NUM!</v>
      </c>
      <c r="O790">
        <f>1/(COUNT(SimData!$C$9:$C$508)-1)+$O$789</f>
        <v>2.8383838383838298</v>
      </c>
      <c r="P790" t="e">
        <f>SMALL(SimData!$D$9:$D$508,282)</f>
        <v>#NUM!</v>
      </c>
      <c r="Q790">
        <f>1/(COUNT(SimData!$D$9:$D$508)-1)+$Q$789</f>
        <v>2.8383838383838298</v>
      </c>
    </row>
    <row r="791" spans="12:17">
      <c r="L791" t="e">
        <f>SMALL(SimData!$B$9:$B$508,283)</f>
        <v>#NUM!</v>
      </c>
      <c r="M791">
        <f>1/(COUNT(SimData!$B$9:$B$508)-1)+$M$790</f>
        <v>2.8484848484848397</v>
      </c>
      <c r="N791" t="e">
        <f>SMALL(SimData!$C$9:$C$508,283)</f>
        <v>#NUM!</v>
      </c>
      <c r="O791">
        <f>1/(COUNT(SimData!$C$9:$C$508)-1)+$O$790</f>
        <v>2.8484848484848397</v>
      </c>
      <c r="P791" t="e">
        <f>SMALL(SimData!$D$9:$D$508,283)</f>
        <v>#NUM!</v>
      </c>
      <c r="Q791">
        <f>1/(COUNT(SimData!$D$9:$D$508)-1)+$Q$790</f>
        <v>2.8484848484848397</v>
      </c>
    </row>
    <row r="792" spans="12:17">
      <c r="L792" t="e">
        <f>SMALL(SimData!$B$9:$B$508,284)</f>
        <v>#NUM!</v>
      </c>
      <c r="M792">
        <f>1/(COUNT(SimData!$B$9:$B$508)-1)+$M$791</f>
        <v>2.8585858585858497</v>
      </c>
      <c r="N792" t="e">
        <f>SMALL(SimData!$C$9:$C$508,284)</f>
        <v>#NUM!</v>
      </c>
      <c r="O792">
        <f>1/(COUNT(SimData!$C$9:$C$508)-1)+$O$791</f>
        <v>2.8585858585858497</v>
      </c>
      <c r="P792" t="e">
        <f>SMALL(SimData!$D$9:$D$508,284)</f>
        <v>#NUM!</v>
      </c>
      <c r="Q792">
        <f>1/(COUNT(SimData!$D$9:$D$508)-1)+$Q$791</f>
        <v>2.8585858585858497</v>
      </c>
    </row>
    <row r="793" spans="12:17">
      <c r="L793" t="e">
        <f>SMALL(SimData!$B$9:$B$508,285)</f>
        <v>#NUM!</v>
      </c>
      <c r="M793">
        <f>1/(COUNT(SimData!$B$9:$B$508)-1)+$M$792</f>
        <v>2.8686868686868596</v>
      </c>
      <c r="N793" t="e">
        <f>SMALL(SimData!$C$9:$C$508,285)</f>
        <v>#NUM!</v>
      </c>
      <c r="O793">
        <f>1/(COUNT(SimData!$C$9:$C$508)-1)+$O$792</f>
        <v>2.8686868686868596</v>
      </c>
      <c r="P793" t="e">
        <f>SMALL(SimData!$D$9:$D$508,285)</f>
        <v>#NUM!</v>
      </c>
      <c r="Q793">
        <f>1/(COUNT(SimData!$D$9:$D$508)-1)+$Q$792</f>
        <v>2.8686868686868596</v>
      </c>
    </row>
    <row r="794" spans="12:17">
      <c r="L794" t="e">
        <f>SMALL(SimData!$B$9:$B$508,286)</f>
        <v>#NUM!</v>
      </c>
      <c r="M794">
        <f>1/(COUNT(SimData!$B$9:$B$508)-1)+$M$793</f>
        <v>2.8787878787878696</v>
      </c>
      <c r="N794" t="e">
        <f>SMALL(SimData!$C$9:$C$508,286)</f>
        <v>#NUM!</v>
      </c>
      <c r="O794">
        <f>1/(COUNT(SimData!$C$9:$C$508)-1)+$O$793</f>
        <v>2.8787878787878696</v>
      </c>
      <c r="P794" t="e">
        <f>SMALL(SimData!$D$9:$D$508,286)</f>
        <v>#NUM!</v>
      </c>
      <c r="Q794">
        <f>1/(COUNT(SimData!$D$9:$D$508)-1)+$Q$793</f>
        <v>2.8787878787878696</v>
      </c>
    </row>
    <row r="795" spans="12:17">
      <c r="L795" t="e">
        <f>SMALL(SimData!$B$9:$B$508,287)</f>
        <v>#NUM!</v>
      </c>
      <c r="M795">
        <f>1/(COUNT(SimData!$B$9:$B$508)-1)+$M$794</f>
        <v>2.8888888888888795</v>
      </c>
      <c r="N795" t="e">
        <f>SMALL(SimData!$C$9:$C$508,287)</f>
        <v>#NUM!</v>
      </c>
      <c r="O795">
        <f>1/(COUNT(SimData!$C$9:$C$508)-1)+$O$794</f>
        <v>2.8888888888888795</v>
      </c>
      <c r="P795" t="e">
        <f>SMALL(SimData!$D$9:$D$508,287)</f>
        <v>#NUM!</v>
      </c>
      <c r="Q795">
        <f>1/(COUNT(SimData!$D$9:$D$508)-1)+$Q$794</f>
        <v>2.8888888888888795</v>
      </c>
    </row>
    <row r="796" spans="12:17">
      <c r="L796" t="e">
        <f>SMALL(SimData!$B$9:$B$508,288)</f>
        <v>#NUM!</v>
      </c>
      <c r="M796">
        <f>1/(COUNT(SimData!$B$9:$B$508)-1)+$M$795</f>
        <v>2.8989898989898895</v>
      </c>
      <c r="N796" t="e">
        <f>SMALL(SimData!$C$9:$C$508,288)</f>
        <v>#NUM!</v>
      </c>
      <c r="O796">
        <f>1/(COUNT(SimData!$C$9:$C$508)-1)+$O$795</f>
        <v>2.8989898989898895</v>
      </c>
      <c r="P796" t="e">
        <f>SMALL(SimData!$D$9:$D$508,288)</f>
        <v>#NUM!</v>
      </c>
      <c r="Q796">
        <f>1/(COUNT(SimData!$D$9:$D$508)-1)+$Q$795</f>
        <v>2.8989898989898895</v>
      </c>
    </row>
    <row r="797" spans="12:17">
      <c r="L797" t="e">
        <f>SMALL(SimData!$B$9:$B$508,289)</f>
        <v>#NUM!</v>
      </c>
      <c r="M797">
        <f>1/(COUNT(SimData!$B$9:$B$508)-1)+$M$796</f>
        <v>2.9090909090908994</v>
      </c>
      <c r="N797" t="e">
        <f>SMALL(SimData!$C$9:$C$508,289)</f>
        <v>#NUM!</v>
      </c>
      <c r="O797">
        <f>1/(COUNT(SimData!$C$9:$C$508)-1)+$O$796</f>
        <v>2.9090909090908994</v>
      </c>
      <c r="P797" t="e">
        <f>SMALL(SimData!$D$9:$D$508,289)</f>
        <v>#NUM!</v>
      </c>
      <c r="Q797">
        <f>1/(COUNT(SimData!$D$9:$D$508)-1)+$Q$796</f>
        <v>2.9090909090908994</v>
      </c>
    </row>
    <row r="798" spans="12:17">
      <c r="L798" t="e">
        <f>SMALL(SimData!$B$9:$B$508,290)</f>
        <v>#NUM!</v>
      </c>
      <c r="M798">
        <f>1/(COUNT(SimData!$B$9:$B$508)-1)+$M$797</f>
        <v>2.9191919191919093</v>
      </c>
      <c r="N798" t="e">
        <f>SMALL(SimData!$C$9:$C$508,290)</f>
        <v>#NUM!</v>
      </c>
      <c r="O798">
        <f>1/(COUNT(SimData!$C$9:$C$508)-1)+$O$797</f>
        <v>2.9191919191919093</v>
      </c>
      <c r="P798" t="e">
        <f>SMALL(SimData!$D$9:$D$508,290)</f>
        <v>#NUM!</v>
      </c>
      <c r="Q798">
        <f>1/(COUNT(SimData!$D$9:$D$508)-1)+$Q$797</f>
        <v>2.9191919191919093</v>
      </c>
    </row>
    <row r="799" spans="12:17">
      <c r="L799" t="e">
        <f>SMALL(SimData!$B$9:$B$508,291)</f>
        <v>#NUM!</v>
      </c>
      <c r="M799">
        <f>1/(COUNT(SimData!$B$9:$B$508)-1)+$M$798</f>
        <v>2.9292929292929193</v>
      </c>
      <c r="N799" t="e">
        <f>SMALL(SimData!$C$9:$C$508,291)</f>
        <v>#NUM!</v>
      </c>
      <c r="O799">
        <f>1/(COUNT(SimData!$C$9:$C$508)-1)+$O$798</f>
        <v>2.9292929292929193</v>
      </c>
      <c r="P799" t="e">
        <f>SMALL(SimData!$D$9:$D$508,291)</f>
        <v>#NUM!</v>
      </c>
      <c r="Q799">
        <f>1/(COUNT(SimData!$D$9:$D$508)-1)+$Q$798</f>
        <v>2.9292929292929193</v>
      </c>
    </row>
    <row r="800" spans="12:17">
      <c r="L800" t="e">
        <f>SMALL(SimData!$B$9:$B$508,292)</f>
        <v>#NUM!</v>
      </c>
      <c r="M800">
        <f>1/(COUNT(SimData!$B$9:$B$508)-1)+$M$799</f>
        <v>2.9393939393939292</v>
      </c>
      <c r="N800" t="e">
        <f>SMALL(SimData!$C$9:$C$508,292)</f>
        <v>#NUM!</v>
      </c>
      <c r="O800">
        <f>1/(COUNT(SimData!$C$9:$C$508)-1)+$O$799</f>
        <v>2.9393939393939292</v>
      </c>
      <c r="P800" t="e">
        <f>SMALL(SimData!$D$9:$D$508,292)</f>
        <v>#NUM!</v>
      </c>
      <c r="Q800">
        <f>1/(COUNT(SimData!$D$9:$D$508)-1)+$Q$799</f>
        <v>2.9393939393939292</v>
      </c>
    </row>
    <row r="801" spans="12:17">
      <c r="L801" t="e">
        <f>SMALL(SimData!$B$9:$B$508,293)</f>
        <v>#NUM!</v>
      </c>
      <c r="M801">
        <f>1/(COUNT(SimData!$B$9:$B$508)-1)+$M$800</f>
        <v>2.9494949494949392</v>
      </c>
      <c r="N801" t="e">
        <f>SMALL(SimData!$C$9:$C$508,293)</f>
        <v>#NUM!</v>
      </c>
      <c r="O801">
        <f>1/(COUNT(SimData!$C$9:$C$508)-1)+$O$800</f>
        <v>2.9494949494949392</v>
      </c>
      <c r="P801" t="e">
        <f>SMALL(SimData!$D$9:$D$508,293)</f>
        <v>#NUM!</v>
      </c>
      <c r="Q801">
        <f>1/(COUNT(SimData!$D$9:$D$508)-1)+$Q$800</f>
        <v>2.9494949494949392</v>
      </c>
    </row>
    <row r="802" spans="12:17">
      <c r="L802" t="e">
        <f>SMALL(SimData!$B$9:$B$508,294)</f>
        <v>#NUM!</v>
      </c>
      <c r="M802">
        <f>1/(COUNT(SimData!$B$9:$B$508)-1)+$M$801</f>
        <v>2.9595959595959491</v>
      </c>
      <c r="N802" t="e">
        <f>SMALL(SimData!$C$9:$C$508,294)</f>
        <v>#NUM!</v>
      </c>
      <c r="O802">
        <f>1/(COUNT(SimData!$C$9:$C$508)-1)+$O$801</f>
        <v>2.9595959595959491</v>
      </c>
      <c r="P802" t="e">
        <f>SMALL(SimData!$D$9:$D$508,294)</f>
        <v>#NUM!</v>
      </c>
      <c r="Q802">
        <f>1/(COUNT(SimData!$D$9:$D$508)-1)+$Q$801</f>
        <v>2.9595959595959491</v>
      </c>
    </row>
    <row r="803" spans="12:17">
      <c r="L803" t="e">
        <f>SMALL(SimData!$B$9:$B$508,295)</f>
        <v>#NUM!</v>
      </c>
      <c r="M803">
        <f>1/(COUNT(SimData!$B$9:$B$508)-1)+$M$802</f>
        <v>2.9696969696969591</v>
      </c>
      <c r="N803" t="e">
        <f>SMALL(SimData!$C$9:$C$508,295)</f>
        <v>#NUM!</v>
      </c>
      <c r="O803">
        <f>1/(COUNT(SimData!$C$9:$C$508)-1)+$O$802</f>
        <v>2.9696969696969591</v>
      </c>
      <c r="P803" t="e">
        <f>SMALL(SimData!$D$9:$D$508,295)</f>
        <v>#NUM!</v>
      </c>
      <c r="Q803">
        <f>1/(COUNT(SimData!$D$9:$D$508)-1)+$Q$802</f>
        <v>2.9696969696969591</v>
      </c>
    </row>
    <row r="804" spans="12:17">
      <c r="L804" t="e">
        <f>SMALL(SimData!$B$9:$B$508,296)</f>
        <v>#NUM!</v>
      </c>
      <c r="M804">
        <f>1/(COUNT(SimData!$B$9:$B$508)-1)+$M$803</f>
        <v>2.979797979797969</v>
      </c>
      <c r="N804" t="e">
        <f>SMALL(SimData!$C$9:$C$508,296)</f>
        <v>#NUM!</v>
      </c>
      <c r="O804">
        <f>1/(COUNT(SimData!$C$9:$C$508)-1)+$O$803</f>
        <v>2.979797979797969</v>
      </c>
      <c r="P804" t="e">
        <f>SMALL(SimData!$D$9:$D$508,296)</f>
        <v>#NUM!</v>
      </c>
      <c r="Q804">
        <f>1/(COUNT(SimData!$D$9:$D$508)-1)+$Q$803</f>
        <v>2.979797979797969</v>
      </c>
    </row>
    <row r="805" spans="12:17">
      <c r="L805" t="e">
        <f>SMALL(SimData!$B$9:$B$508,297)</f>
        <v>#NUM!</v>
      </c>
      <c r="M805">
        <f>1/(COUNT(SimData!$B$9:$B$508)-1)+$M$804</f>
        <v>2.989898989898979</v>
      </c>
      <c r="N805" t="e">
        <f>SMALL(SimData!$C$9:$C$508,297)</f>
        <v>#NUM!</v>
      </c>
      <c r="O805">
        <f>1/(COUNT(SimData!$C$9:$C$508)-1)+$O$804</f>
        <v>2.989898989898979</v>
      </c>
      <c r="P805" t="e">
        <f>SMALL(SimData!$D$9:$D$508,297)</f>
        <v>#NUM!</v>
      </c>
      <c r="Q805">
        <f>1/(COUNT(SimData!$D$9:$D$508)-1)+$Q$804</f>
        <v>2.989898989898979</v>
      </c>
    </row>
    <row r="806" spans="12:17">
      <c r="L806" t="e">
        <f>SMALL(SimData!$B$9:$B$508,298)</f>
        <v>#NUM!</v>
      </c>
      <c r="M806">
        <f>1/(COUNT(SimData!$B$9:$B$508)-1)+$M$805</f>
        <v>2.9999999999999889</v>
      </c>
      <c r="N806" t="e">
        <f>SMALL(SimData!$C$9:$C$508,298)</f>
        <v>#NUM!</v>
      </c>
      <c r="O806">
        <f>1/(COUNT(SimData!$C$9:$C$508)-1)+$O$805</f>
        <v>2.9999999999999889</v>
      </c>
      <c r="P806" t="e">
        <f>SMALL(SimData!$D$9:$D$508,298)</f>
        <v>#NUM!</v>
      </c>
      <c r="Q806">
        <f>1/(COUNT(SimData!$D$9:$D$508)-1)+$Q$805</f>
        <v>2.9999999999999889</v>
      </c>
    </row>
    <row r="807" spans="12:17">
      <c r="L807" t="e">
        <f>SMALL(SimData!$B$9:$B$508,299)</f>
        <v>#NUM!</v>
      </c>
      <c r="M807">
        <f>1/(COUNT(SimData!$B$9:$B$508)-1)+$M$806</f>
        <v>3.0101010101009988</v>
      </c>
      <c r="N807" t="e">
        <f>SMALL(SimData!$C$9:$C$508,299)</f>
        <v>#NUM!</v>
      </c>
      <c r="O807">
        <f>1/(COUNT(SimData!$C$9:$C$508)-1)+$O$806</f>
        <v>3.0101010101009988</v>
      </c>
      <c r="P807" t="e">
        <f>SMALL(SimData!$D$9:$D$508,299)</f>
        <v>#NUM!</v>
      </c>
      <c r="Q807">
        <f>1/(COUNT(SimData!$D$9:$D$508)-1)+$Q$806</f>
        <v>3.0101010101009988</v>
      </c>
    </row>
    <row r="808" spans="12:17">
      <c r="L808" t="e">
        <f>SMALL(SimData!$B$9:$B$508,300)</f>
        <v>#NUM!</v>
      </c>
      <c r="M808">
        <f>1/(COUNT(SimData!$B$9:$B$508)-1)+$M$807</f>
        <v>3.0202020202020088</v>
      </c>
      <c r="N808" t="e">
        <f>SMALL(SimData!$C$9:$C$508,300)</f>
        <v>#NUM!</v>
      </c>
      <c r="O808">
        <f>1/(COUNT(SimData!$C$9:$C$508)-1)+$O$807</f>
        <v>3.0202020202020088</v>
      </c>
      <c r="P808" t="e">
        <f>SMALL(SimData!$D$9:$D$508,300)</f>
        <v>#NUM!</v>
      </c>
      <c r="Q808">
        <f>1/(COUNT(SimData!$D$9:$D$508)-1)+$Q$807</f>
        <v>3.0202020202020088</v>
      </c>
    </row>
    <row r="809" spans="12:17">
      <c r="L809" t="e">
        <f>SMALL(SimData!$B$9:$B$508,301)</f>
        <v>#NUM!</v>
      </c>
      <c r="M809">
        <f>1/(COUNT(SimData!$B$9:$B$508)-1)+$M$808</f>
        <v>3.0303030303030187</v>
      </c>
      <c r="N809" t="e">
        <f>SMALL(SimData!$C$9:$C$508,301)</f>
        <v>#NUM!</v>
      </c>
      <c r="O809">
        <f>1/(COUNT(SimData!$C$9:$C$508)-1)+$O$808</f>
        <v>3.0303030303030187</v>
      </c>
      <c r="P809" t="e">
        <f>SMALL(SimData!$D$9:$D$508,301)</f>
        <v>#NUM!</v>
      </c>
      <c r="Q809">
        <f>1/(COUNT(SimData!$D$9:$D$508)-1)+$Q$808</f>
        <v>3.0303030303030187</v>
      </c>
    </row>
    <row r="810" spans="12:17">
      <c r="L810" t="e">
        <f>SMALL(SimData!$B$9:$B$508,302)</f>
        <v>#NUM!</v>
      </c>
      <c r="M810">
        <f>1/(COUNT(SimData!$B$9:$B$508)-1)+$M$809</f>
        <v>3.0404040404040287</v>
      </c>
      <c r="N810" t="e">
        <f>SMALL(SimData!$C$9:$C$508,302)</f>
        <v>#NUM!</v>
      </c>
      <c r="O810">
        <f>1/(COUNT(SimData!$C$9:$C$508)-1)+$O$809</f>
        <v>3.0404040404040287</v>
      </c>
      <c r="P810" t="e">
        <f>SMALL(SimData!$D$9:$D$508,302)</f>
        <v>#NUM!</v>
      </c>
      <c r="Q810">
        <f>1/(COUNT(SimData!$D$9:$D$508)-1)+$Q$809</f>
        <v>3.0404040404040287</v>
      </c>
    </row>
    <row r="811" spans="12:17">
      <c r="L811" t="e">
        <f>SMALL(SimData!$B$9:$B$508,303)</f>
        <v>#NUM!</v>
      </c>
      <c r="M811">
        <f>1/(COUNT(SimData!$B$9:$B$508)-1)+$M$810</f>
        <v>3.0505050505050386</v>
      </c>
      <c r="N811" t="e">
        <f>SMALL(SimData!$C$9:$C$508,303)</f>
        <v>#NUM!</v>
      </c>
      <c r="O811">
        <f>1/(COUNT(SimData!$C$9:$C$508)-1)+$O$810</f>
        <v>3.0505050505050386</v>
      </c>
      <c r="P811" t="e">
        <f>SMALL(SimData!$D$9:$D$508,303)</f>
        <v>#NUM!</v>
      </c>
      <c r="Q811">
        <f>1/(COUNT(SimData!$D$9:$D$508)-1)+$Q$810</f>
        <v>3.0505050505050386</v>
      </c>
    </row>
    <row r="812" spans="12:17">
      <c r="L812" t="e">
        <f>SMALL(SimData!$B$9:$B$508,304)</f>
        <v>#NUM!</v>
      </c>
      <c r="M812">
        <f>1/(COUNT(SimData!$B$9:$B$508)-1)+$M$811</f>
        <v>3.0606060606060486</v>
      </c>
      <c r="N812" t="e">
        <f>SMALL(SimData!$C$9:$C$508,304)</f>
        <v>#NUM!</v>
      </c>
      <c r="O812">
        <f>1/(COUNT(SimData!$C$9:$C$508)-1)+$O$811</f>
        <v>3.0606060606060486</v>
      </c>
      <c r="P812" t="e">
        <f>SMALL(SimData!$D$9:$D$508,304)</f>
        <v>#NUM!</v>
      </c>
      <c r="Q812">
        <f>1/(COUNT(SimData!$D$9:$D$508)-1)+$Q$811</f>
        <v>3.0606060606060486</v>
      </c>
    </row>
    <row r="813" spans="12:17">
      <c r="L813" t="e">
        <f>SMALL(SimData!$B$9:$B$508,305)</f>
        <v>#NUM!</v>
      </c>
      <c r="M813">
        <f>1/(COUNT(SimData!$B$9:$B$508)-1)+$M$812</f>
        <v>3.0707070707070585</v>
      </c>
      <c r="N813" t="e">
        <f>SMALL(SimData!$C$9:$C$508,305)</f>
        <v>#NUM!</v>
      </c>
      <c r="O813">
        <f>1/(COUNT(SimData!$C$9:$C$508)-1)+$O$812</f>
        <v>3.0707070707070585</v>
      </c>
      <c r="P813" t="e">
        <f>SMALL(SimData!$D$9:$D$508,305)</f>
        <v>#NUM!</v>
      </c>
      <c r="Q813">
        <f>1/(COUNT(SimData!$D$9:$D$508)-1)+$Q$812</f>
        <v>3.0707070707070585</v>
      </c>
    </row>
    <row r="814" spans="12:17">
      <c r="L814" t="e">
        <f>SMALL(SimData!$B$9:$B$508,306)</f>
        <v>#NUM!</v>
      </c>
      <c r="M814">
        <f>1/(COUNT(SimData!$B$9:$B$508)-1)+$M$813</f>
        <v>3.0808080808080684</v>
      </c>
      <c r="N814" t="e">
        <f>SMALL(SimData!$C$9:$C$508,306)</f>
        <v>#NUM!</v>
      </c>
      <c r="O814">
        <f>1/(COUNT(SimData!$C$9:$C$508)-1)+$O$813</f>
        <v>3.0808080808080684</v>
      </c>
      <c r="P814" t="e">
        <f>SMALL(SimData!$D$9:$D$508,306)</f>
        <v>#NUM!</v>
      </c>
      <c r="Q814">
        <f>1/(COUNT(SimData!$D$9:$D$508)-1)+$Q$813</f>
        <v>3.0808080808080684</v>
      </c>
    </row>
    <row r="815" spans="12:17">
      <c r="L815" t="e">
        <f>SMALL(SimData!$B$9:$B$508,307)</f>
        <v>#NUM!</v>
      </c>
      <c r="M815">
        <f>1/(COUNT(SimData!$B$9:$B$508)-1)+$M$814</f>
        <v>3.0909090909090784</v>
      </c>
      <c r="N815" t="e">
        <f>SMALL(SimData!$C$9:$C$508,307)</f>
        <v>#NUM!</v>
      </c>
      <c r="O815">
        <f>1/(COUNT(SimData!$C$9:$C$508)-1)+$O$814</f>
        <v>3.0909090909090784</v>
      </c>
      <c r="P815" t="e">
        <f>SMALL(SimData!$D$9:$D$508,307)</f>
        <v>#NUM!</v>
      </c>
      <c r="Q815">
        <f>1/(COUNT(SimData!$D$9:$D$508)-1)+$Q$814</f>
        <v>3.0909090909090784</v>
      </c>
    </row>
    <row r="816" spans="12:17">
      <c r="L816" t="e">
        <f>SMALL(SimData!$B$9:$B$508,308)</f>
        <v>#NUM!</v>
      </c>
      <c r="M816">
        <f>1/(COUNT(SimData!$B$9:$B$508)-1)+$M$815</f>
        <v>3.1010101010100883</v>
      </c>
      <c r="N816" t="e">
        <f>SMALL(SimData!$C$9:$C$508,308)</f>
        <v>#NUM!</v>
      </c>
      <c r="O816">
        <f>1/(COUNT(SimData!$C$9:$C$508)-1)+$O$815</f>
        <v>3.1010101010100883</v>
      </c>
      <c r="P816" t="e">
        <f>SMALL(SimData!$D$9:$D$508,308)</f>
        <v>#NUM!</v>
      </c>
      <c r="Q816">
        <f>1/(COUNT(SimData!$D$9:$D$508)-1)+$Q$815</f>
        <v>3.1010101010100883</v>
      </c>
    </row>
    <row r="817" spans="12:17">
      <c r="L817" t="e">
        <f>SMALL(SimData!$B$9:$B$508,309)</f>
        <v>#NUM!</v>
      </c>
      <c r="M817">
        <f>1/(COUNT(SimData!$B$9:$B$508)-1)+$M$816</f>
        <v>3.1111111111110983</v>
      </c>
      <c r="N817" t="e">
        <f>SMALL(SimData!$C$9:$C$508,309)</f>
        <v>#NUM!</v>
      </c>
      <c r="O817">
        <f>1/(COUNT(SimData!$C$9:$C$508)-1)+$O$816</f>
        <v>3.1111111111110983</v>
      </c>
      <c r="P817" t="e">
        <f>SMALL(SimData!$D$9:$D$508,309)</f>
        <v>#NUM!</v>
      </c>
      <c r="Q817">
        <f>1/(COUNT(SimData!$D$9:$D$508)-1)+$Q$816</f>
        <v>3.1111111111110983</v>
      </c>
    </row>
    <row r="818" spans="12:17">
      <c r="L818" t="e">
        <f>SMALL(SimData!$B$9:$B$508,310)</f>
        <v>#NUM!</v>
      </c>
      <c r="M818">
        <f>1/(COUNT(SimData!$B$9:$B$508)-1)+$M$817</f>
        <v>3.1212121212121082</v>
      </c>
      <c r="N818" t="e">
        <f>SMALL(SimData!$C$9:$C$508,310)</f>
        <v>#NUM!</v>
      </c>
      <c r="O818">
        <f>1/(COUNT(SimData!$C$9:$C$508)-1)+$O$817</f>
        <v>3.1212121212121082</v>
      </c>
      <c r="P818" t="e">
        <f>SMALL(SimData!$D$9:$D$508,310)</f>
        <v>#NUM!</v>
      </c>
      <c r="Q818">
        <f>1/(COUNT(SimData!$D$9:$D$508)-1)+$Q$817</f>
        <v>3.1212121212121082</v>
      </c>
    </row>
    <row r="819" spans="12:17">
      <c r="L819" t="e">
        <f>SMALL(SimData!$B$9:$B$508,311)</f>
        <v>#NUM!</v>
      </c>
      <c r="M819">
        <f>1/(COUNT(SimData!$B$9:$B$508)-1)+$M$818</f>
        <v>3.1313131313131182</v>
      </c>
      <c r="N819" t="e">
        <f>SMALL(SimData!$C$9:$C$508,311)</f>
        <v>#NUM!</v>
      </c>
      <c r="O819">
        <f>1/(COUNT(SimData!$C$9:$C$508)-1)+$O$818</f>
        <v>3.1313131313131182</v>
      </c>
      <c r="P819" t="e">
        <f>SMALL(SimData!$D$9:$D$508,311)</f>
        <v>#NUM!</v>
      </c>
      <c r="Q819">
        <f>1/(COUNT(SimData!$D$9:$D$508)-1)+$Q$818</f>
        <v>3.1313131313131182</v>
      </c>
    </row>
    <row r="820" spans="12:17">
      <c r="L820" t="e">
        <f>SMALL(SimData!$B$9:$B$508,312)</f>
        <v>#NUM!</v>
      </c>
      <c r="M820">
        <f>1/(COUNT(SimData!$B$9:$B$508)-1)+$M$819</f>
        <v>3.1414141414141281</v>
      </c>
      <c r="N820" t="e">
        <f>SMALL(SimData!$C$9:$C$508,312)</f>
        <v>#NUM!</v>
      </c>
      <c r="O820">
        <f>1/(COUNT(SimData!$C$9:$C$508)-1)+$O$819</f>
        <v>3.1414141414141281</v>
      </c>
      <c r="P820" t="e">
        <f>SMALL(SimData!$D$9:$D$508,312)</f>
        <v>#NUM!</v>
      </c>
      <c r="Q820">
        <f>1/(COUNT(SimData!$D$9:$D$508)-1)+$Q$819</f>
        <v>3.1414141414141281</v>
      </c>
    </row>
    <row r="821" spans="12:17">
      <c r="L821" t="e">
        <f>SMALL(SimData!$B$9:$B$508,313)</f>
        <v>#NUM!</v>
      </c>
      <c r="M821">
        <f>1/(COUNT(SimData!$B$9:$B$508)-1)+$M$820</f>
        <v>3.1515151515151381</v>
      </c>
      <c r="N821" t="e">
        <f>SMALL(SimData!$C$9:$C$508,313)</f>
        <v>#NUM!</v>
      </c>
      <c r="O821">
        <f>1/(COUNT(SimData!$C$9:$C$508)-1)+$O$820</f>
        <v>3.1515151515151381</v>
      </c>
      <c r="P821" t="e">
        <f>SMALL(SimData!$D$9:$D$508,313)</f>
        <v>#NUM!</v>
      </c>
      <c r="Q821">
        <f>1/(COUNT(SimData!$D$9:$D$508)-1)+$Q$820</f>
        <v>3.1515151515151381</v>
      </c>
    </row>
    <row r="822" spans="12:17">
      <c r="L822" t="e">
        <f>SMALL(SimData!$B$9:$B$508,314)</f>
        <v>#NUM!</v>
      </c>
      <c r="M822">
        <f>1/(COUNT(SimData!$B$9:$B$508)-1)+$M$821</f>
        <v>3.161616161616148</v>
      </c>
      <c r="N822" t="e">
        <f>SMALL(SimData!$C$9:$C$508,314)</f>
        <v>#NUM!</v>
      </c>
      <c r="O822">
        <f>1/(COUNT(SimData!$C$9:$C$508)-1)+$O$821</f>
        <v>3.161616161616148</v>
      </c>
      <c r="P822" t="e">
        <f>SMALL(SimData!$D$9:$D$508,314)</f>
        <v>#NUM!</v>
      </c>
      <c r="Q822">
        <f>1/(COUNT(SimData!$D$9:$D$508)-1)+$Q$821</f>
        <v>3.161616161616148</v>
      </c>
    </row>
    <row r="823" spans="12:17">
      <c r="L823" t="e">
        <f>SMALL(SimData!$B$9:$B$508,315)</f>
        <v>#NUM!</v>
      </c>
      <c r="M823">
        <f>1/(COUNT(SimData!$B$9:$B$508)-1)+$M$822</f>
        <v>3.1717171717171579</v>
      </c>
      <c r="N823" t="e">
        <f>SMALL(SimData!$C$9:$C$508,315)</f>
        <v>#NUM!</v>
      </c>
      <c r="O823">
        <f>1/(COUNT(SimData!$C$9:$C$508)-1)+$O$822</f>
        <v>3.1717171717171579</v>
      </c>
      <c r="P823" t="e">
        <f>SMALL(SimData!$D$9:$D$508,315)</f>
        <v>#NUM!</v>
      </c>
      <c r="Q823">
        <f>1/(COUNT(SimData!$D$9:$D$508)-1)+$Q$822</f>
        <v>3.1717171717171579</v>
      </c>
    </row>
    <row r="824" spans="12:17">
      <c r="L824" t="e">
        <f>SMALL(SimData!$B$9:$B$508,316)</f>
        <v>#NUM!</v>
      </c>
      <c r="M824">
        <f>1/(COUNT(SimData!$B$9:$B$508)-1)+$M$823</f>
        <v>3.1818181818181679</v>
      </c>
      <c r="N824" t="e">
        <f>SMALL(SimData!$C$9:$C$508,316)</f>
        <v>#NUM!</v>
      </c>
      <c r="O824">
        <f>1/(COUNT(SimData!$C$9:$C$508)-1)+$O$823</f>
        <v>3.1818181818181679</v>
      </c>
      <c r="P824" t="e">
        <f>SMALL(SimData!$D$9:$D$508,316)</f>
        <v>#NUM!</v>
      </c>
      <c r="Q824">
        <f>1/(COUNT(SimData!$D$9:$D$508)-1)+$Q$823</f>
        <v>3.1818181818181679</v>
      </c>
    </row>
    <row r="825" spans="12:17">
      <c r="L825" t="e">
        <f>SMALL(SimData!$B$9:$B$508,317)</f>
        <v>#NUM!</v>
      </c>
      <c r="M825">
        <f>1/(COUNT(SimData!$B$9:$B$508)-1)+$M$824</f>
        <v>3.1919191919191778</v>
      </c>
      <c r="N825" t="e">
        <f>SMALL(SimData!$C$9:$C$508,317)</f>
        <v>#NUM!</v>
      </c>
      <c r="O825">
        <f>1/(COUNT(SimData!$C$9:$C$508)-1)+$O$824</f>
        <v>3.1919191919191778</v>
      </c>
      <c r="P825" t="e">
        <f>SMALL(SimData!$D$9:$D$508,317)</f>
        <v>#NUM!</v>
      </c>
      <c r="Q825">
        <f>1/(COUNT(SimData!$D$9:$D$508)-1)+$Q$824</f>
        <v>3.1919191919191778</v>
      </c>
    </row>
    <row r="826" spans="12:17">
      <c r="L826" t="e">
        <f>SMALL(SimData!$B$9:$B$508,318)</f>
        <v>#NUM!</v>
      </c>
      <c r="M826">
        <f>1/(COUNT(SimData!$B$9:$B$508)-1)+$M$825</f>
        <v>3.2020202020201878</v>
      </c>
      <c r="N826" t="e">
        <f>SMALL(SimData!$C$9:$C$508,318)</f>
        <v>#NUM!</v>
      </c>
      <c r="O826">
        <f>1/(COUNT(SimData!$C$9:$C$508)-1)+$O$825</f>
        <v>3.2020202020201878</v>
      </c>
      <c r="P826" t="e">
        <f>SMALL(SimData!$D$9:$D$508,318)</f>
        <v>#NUM!</v>
      </c>
      <c r="Q826">
        <f>1/(COUNT(SimData!$D$9:$D$508)-1)+$Q$825</f>
        <v>3.2020202020201878</v>
      </c>
    </row>
    <row r="827" spans="12:17">
      <c r="L827" t="e">
        <f>SMALL(SimData!$B$9:$B$508,319)</f>
        <v>#NUM!</v>
      </c>
      <c r="M827">
        <f>1/(COUNT(SimData!$B$9:$B$508)-1)+$M$826</f>
        <v>3.2121212121211977</v>
      </c>
      <c r="N827" t="e">
        <f>SMALL(SimData!$C$9:$C$508,319)</f>
        <v>#NUM!</v>
      </c>
      <c r="O827">
        <f>1/(COUNT(SimData!$C$9:$C$508)-1)+$O$826</f>
        <v>3.2121212121211977</v>
      </c>
      <c r="P827" t="e">
        <f>SMALL(SimData!$D$9:$D$508,319)</f>
        <v>#NUM!</v>
      </c>
      <c r="Q827">
        <f>1/(COUNT(SimData!$D$9:$D$508)-1)+$Q$826</f>
        <v>3.2121212121211977</v>
      </c>
    </row>
    <row r="828" spans="12:17">
      <c r="L828" t="e">
        <f>SMALL(SimData!$B$9:$B$508,320)</f>
        <v>#NUM!</v>
      </c>
      <c r="M828">
        <f>1/(COUNT(SimData!$B$9:$B$508)-1)+$M$827</f>
        <v>3.2222222222222077</v>
      </c>
      <c r="N828" t="e">
        <f>SMALL(SimData!$C$9:$C$508,320)</f>
        <v>#NUM!</v>
      </c>
      <c r="O828">
        <f>1/(COUNT(SimData!$C$9:$C$508)-1)+$O$827</f>
        <v>3.2222222222222077</v>
      </c>
      <c r="P828" t="e">
        <f>SMALL(SimData!$D$9:$D$508,320)</f>
        <v>#NUM!</v>
      </c>
      <c r="Q828">
        <f>1/(COUNT(SimData!$D$9:$D$508)-1)+$Q$827</f>
        <v>3.2222222222222077</v>
      </c>
    </row>
    <row r="829" spans="12:17">
      <c r="L829" t="e">
        <f>SMALL(SimData!$B$9:$B$508,321)</f>
        <v>#NUM!</v>
      </c>
      <c r="M829">
        <f>1/(COUNT(SimData!$B$9:$B$508)-1)+$M$828</f>
        <v>3.2323232323232176</v>
      </c>
      <c r="N829" t="e">
        <f>SMALL(SimData!$C$9:$C$508,321)</f>
        <v>#NUM!</v>
      </c>
      <c r="O829">
        <f>1/(COUNT(SimData!$C$9:$C$508)-1)+$O$828</f>
        <v>3.2323232323232176</v>
      </c>
      <c r="P829" t="e">
        <f>SMALL(SimData!$D$9:$D$508,321)</f>
        <v>#NUM!</v>
      </c>
      <c r="Q829">
        <f>1/(COUNT(SimData!$D$9:$D$508)-1)+$Q$828</f>
        <v>3.2323232323232176</v>
      </c>
    </row>
    <row r="830" spans="12:17">
      <c r="L830" t="e">
        <f>SMALL(SimData!$B$9:$B$508,322)</f>
        <v>#NUM!</v>
      </c>
      <c r="M830">
        <f>1/(COUNT(SimData!$B$9:$B$508)-1)+$M$829</f>
        <v>3.2424242424242276</v>
      </c>
      <c r="N830" t="e">
        <f>SMALL(SimData!$C$9:$C$508,322)</f>
        <v>#NUM!</v>
      </c>
      <c r="O830">
        <f>1/(COUNT(SimData!$C$9:$C$508)-1)+$O$829</f>
        <v>3.2424242424242276</v>
      </c>
      <c r="P830" t="e">
        <f>SMALL(SimData!$D$9:$D$508,322)</f>
        <v>#NUM!</v>
      </c>
      <c r="Q830">
        <f>1/(COUNT(SimData!$D$9:$D$508)-1)+$Q$829</f>
        <v>3.2424242424242276</v>
      </c>
    </row>
    <row r="831" spans="12:17">
      <c r="L831" t="e">
        <f>SMALL(SimData!$B$9:$B$508,323)</f>
        <v>#NUM!</v>
      </c>
      <c r="M831">
        <f>1/(COUNT(SimData!$B$9:$B$508)-1)+$M$830</f>
        <v>3.2525252525252375</v>
      </c>
      <c r="N831" t="e">
        <f>SMALL(SimData!$C$9:$C$508,323)</f>
        <v>#NUM!</v>
      </c>
      <c r="O831">
        <f>1/(COUNT(SimData!$C$9:$C$508)-1)+$O$830</f>
        <v>3.2525252525252375</v>
      </c>
      <c r="P831" t="e">
        <f>SMALL(SimData!$D$9:$D$508,323)</f>
        <v>#NUM!</v>
      </c>
      <c r="Q831">
        <f>1/(COUNT(SimData!$D$9:$D$508)-1)+$Q$830</f>
        <v>3.2525252525252375</v>
      </c>
    </row>
    <row r="832" spans="12:17">
      <c r="L832" t="e">
        <f>SMALL(SimData!$B$9:$B$508,324)</f>
        <v>#NUM!</v>
      </c>
      <c r="M832">
        <f>1/(COUNT(SimData!$B$9:$B$508)-1)+$M$831</f>
        <v>3.2626262626262474</v>
      </c>
      <c r="N832" t="e">
        <f>SMALL(SimData!$C$9:$C$508,324)</f>
        <v>#NUM!</v>
      </c>
      <c r="O832">
        <f>1/(COUNT(SimData!$C$9:$C$508)-1)+$O$831</f>
        <v>3.2626262626262474</v>
      </c>
      <c r="P832" t="e">
        <f>SMALL(SimData!$D$9:$D$508,324)</f>
        <v>#NUM!</v>
      </c>
      <c r="Q832">
        <f>1/(COUNT(SimData!$D$9:$D$508)-1)+$Q$831</f>
        <v>3.2626262626262474</v>
      </c>
    </row>
    <row r="833" spans="12:17">
      <c r="L833" t="e">
        <f>SMALL(SimData!$B$9:$B$508,325)</f>
        <v>#NUM!</v>
      </c>
      <c r="M833">
        <f>1/(COUNT(SimData!$B$9:$B$508)-1)+$M$832</f>
        <v>3.2727272727272574</v>
      </c>
      <c r="N833" t="e">
        <f>SMALL(SimData!$C$9:$C$508,325)</f>
        <v>#NUM!</v>
      </c>
      <c r="O833">
        <f>1/(COUNT(SimData!$C$9:$C$508)-1)+$O$832</f>
        <v>3.2727272727272574</v>
      </c>
      <c r="P833" t="e">
        <f>SMALL(SimData!$D$9:$D$508,325)</f>
        <v>#NUM!</v>
      </c>
      <c r="Q833">
        <f>1/(COUNT(SimData!$D$9:$D$508)-1)+$Q$832</f>
        <v>3.2727272727272574</v>
      </c>
    </row>
    <row r="834" spans="12:17">
      <c r="L834" t="e">
        <f>SMALL(SimData!$B$9:$B$508,326)</f>
        <v>#NUM!</v>
      </c>
      <c r="M834">
        <f>1/(COUNT(SimData!$B$9:$B$508)-1)+$M$833</f>
        <v>3.2828282828282673</v>
      </c>
      <c r="N834" t="e">
        <f>SMALL(SimData!$C$9:$C$508,326)</f>
        <v>#NUM!</v>
      </c>
      <c r="O834">
        <f>1/(COUNT(SimData!$C$9:$C$508)-1)+$O$833</f>
        <v>3.2828282828282673</v>
      </c>
      <c r="P834" t="e">
        <f>SMALL(SimData!$D$9:$D$508,326)</f>
        <v>#NUM!</v>
      </c>
      <c r="Q834">
        <f>1/(COUNT(SimData!$D$9:$D$508)-1)+$Q$833</f>
        <v>3.2828282828282673</v>
      </c>
    </row>
    <row r="835" spans="12:17">
      <c r="L835" t="e">
        <f>SMALL(SimData!$B$9:$B$508,327)</f>
        <v>#NUM!</v>
      </c>
      <c r="M835">
        <f>1/(COUNT(SimData!$B$9:$B$508)-1)+$M$834</f>
        <v>3.2929292929292773</v>
      </c>
      <c r="N835" t="e">
        <f>SMALL(SimData!$C$9:$C$508,327)</f>
        <v>#NUM!</v>
      </c>
      <c r="O835">
        <f>1/(COUNT(SimData!$C$9:$C$508)-1)+$O$834</f>
        <v>3.2929292929292773</v>
      </c>
      <c r="P835" t="e">
        <f>SMALL(SimData!$D$9:$D$508,327)</f>
        <v>#NUM!</v>
      </c>
      <c r="Q835">
        <f>1/(COUNT(SimData!$D$9:$D$508)-1)+$Q$834</f>
        <v>3.2929292929292773</v>
      </c>
    </row>
    <row r="836" spans="12:17">
      <c r="L836" t="e">
        <f>SMALL(SimData!$B$9:$B$508,328)</f>
        <v>#NUM!</v>
      </c>
      <c r="M836">
        <f>1/(COUNT(SimData!$B$9:$B$508)-1)+$M$835</f>
        <v>3.3030303030302872</v>
      </c>
      <c r="N836" t="e">
        <f>SMALL(SimData!$C$9:$C$508,328)</f>
        <v>#NUM!</v>
      </c>
      <c r="O836">
        <f>1/(COUNT(SimData!$C$9:$C$508)-1)+$O$835</f>
        <v>3.3030303030302872</v>
      </c>
      <c r="P836" t="e">
        <f>SMALL(SimData!$D$9:$D$508,328)</f>
        <v>#NUM!</v>
      </c>
      <c r="Q836">
        <f>1/(COUNT(SimData!$D$9:$D$508)-1)+$Q$835</f>
        <v>3.3030303030302872</v>
      </c>
    </row>
    <row r="837" spans="12:17">
      <c r="L837" t="e">
        <f>SMALL(SimData!$B$9:$B$508,329)</f>
        <v>#NUM!</v>
      </c>
      <c r="M837">
        <f>1/(COUNT(SimData!$B$9:$B$508)-1)+$M$836</f>
        <v>3.3131313131312972</v>
      </c>
      <c r="N837" t="e">
        <f>SMALL(SimData!$C$9:$C$508,329)</f>
        <v>#NUM!</v>
      </c>
      <c r="O837">
        <f>1/(COUNT(SimData!$C$9:$C$508)-1)+$O$836</f>
        <v>3.3131313131312972</v>
      </c>
      <c r="P837" t="e">
        <f>SMALL(SimData!$D$9:$D$508,329)</f>
        <v>#NUM!</v>
      </c>
      <c r="Q837">
        <f>1/(COUNT(SimData!$D$9:$D$508)-1)+$Q$836</f>
        <v>3.3131313131312972</v>
      </c>
    </row>
    <row r="838" spans="12:17">
      <c r="L838" t="e">
        <f>SMALL(SimData!$B$9:$B$508,330)</f>
        <v>#NUM!</v>
      </c>
      <c r="M838">
        <f>1/(COUNT(SimData!$B$9:$B$508)-1)+$M$837</f>
        <v>3.3232323232323071</v>
      </c>
      <c r="N838" t="e">
        <f>SMALL(SimData!$C$9:$C$508,330)</f>
        <v>#NUM!</v>
      </c>
      <c r="O838">
        <f>1/(COUNT(SimData!$C$9:$C$508)-1)+$O$837</f>
        <v>3.3232323232323071</v>
      </c>
      <c r="P838" t="e">
        <f>SMALL(SimData!$D$9:$D$508,330)</f>
        <v>#NUM!</v>
      </c>
      <c r="Q838">
        <f>1/(COUNT(SimData!$D$9:$D$508)-1)+$Q$837</f>
        <v>3.3232323232323071</v>
      </c>
    </row>
    <row r="839" spans="12:17">
      <c r="L839" t="e">
        <f>SMALL(SimData!$B$9:$B$508,331)</f>
        <v>#NUM!</v>
      </c>
      <c r="M839">
        <f>1/(COUNT(SimData!$B$9:$B$508)-1)+$M$838</f>
        <v>3.3333333333333171</v>
      </c>
      <c r="N839" t="e">
        <f>SMALL(SimData!$C$9:$C$508,331)</f>
        <v>#NUM!</v>
      </c>
      <c r="O839">
        <f>1/(COUNT(SimData!$C$9:$C$508)-1)+$O$838</f>
        <v>3.3333333333333171</v>
      </c>
      <c r="P839" t="e">
        <f>SMALL(SimData!$D$9:$D$508,331)</f>
        <v>#NUM!</v>
      </c>
      <c r="Q839">
        <f>1/(COUNT(SimData!$D$9:$D$508)-1)+$Q$838</f>
        <v>3.3333333333333171</v>
      </c>
    </row>
    <row r="840" spans="12:17">
      <c r="L840" t="e">
        <f>SMALL(SimData!$B$9:$B$508,332)</f>
        <v>#NUM!</v>
      </c>
      <c r="M840">
        <f>1/(COUNT(SimData!$B$9:$B$508)-1)+$M$839</f>
        <v>3.343434343434327</v>
      </c>
      <c r="N840" t="e">
        <f>SMALL(SimData!$C$9:$C$508,332)</f>
        <v>#NUM!</v>
      </c>
      <c r="O840">
        <f>1/(COUNT(SimData!$C$9:$C$508)-1)+$O$839</f>
        <v>3.343434343434327</v>
      </c>
      <c r="P840" t="e">
        <f>SMALL(SimData!$D$9:$D$508,332)</f>
        <v>#NUM!</v>
      </c>
      <c r="Q840">
        <f>1/(COUNT(SimData!$D$9:$D$508)-1)+$Q$839</f>
        <v>3.343434343434327</v>
      </c>
    </row>
    <row r="841" spans="12:17">
      <c r="L841" t="e">
        <f>SMALL(SimData!$B$9:$B$508,333)</f>
        <v>#NUM!</v>
      </c>
      <c r="M841">
        <f>1/(COUNT(SimData!$B$9:$B$508)-1)+$M$840</f>
        <v>3.3535353535353369</v>
      </c>
      <c r="N841" t="e">
        <f>SMALL(SimData!$C$9:$C$508,333)</f>
        <v>#NUM!</v>
      </c>
      <c r="O841">
        <f>1/(COUNT(SimData!$C$9:$C$508)-1)+$O$840</f>
        <v>3.3535353535353369</v>
      </c>
      <c r="P841" t="e">
        <f>SMALL(SimData!$D$9:$D$508,333)</f>
        <v>#NUM!</v>
      </c>
      <c r="Q841">
        <f>1/(COUNT(SimData!$D$9:$D$508)-1)+$Q$840</f>
        <v>3.3535353535353369</v>
      </c>
    </row>
    <row r="842" spans="12:17">
      <c r="L842" t="e">
        <f>SMALL(SimData!$B$9:$B$508,334)</f>
        <v>#NUM!</v>
      </c>
      <c r="M842">
        <f>1/(COUNT(SimData!$B$9:$B$508)-1)+$M$841</f>
        <v>3.3636363636363469</v>
      </c>
      <c r="N842" t="e">
        <f>SMALL(SimData!$C$9:$C$508,334)</f>
        <v>#NUM!</v>
      </c>
      <c r="O842">
        <f>1/(COUNT(SimData!$C$9:$C$508)-1)+$O$841</f>
        <v>3.3636363636363469</v>
      </c>
      <c r="P842" t="e">
        <f>SMALL(SimData!$D$9:$D$508,334)</f>
        <v>#NUM!</v>
      </c>
      <c r="Q842">
        <f>1/(COUNT(SimData!$D$9:$D$508)-1)+$Q$841</f>
        <v>3.3636363636363469</v>
      </c>
    </row>
    <row r="843" spans="12:17">
      <c r="L843" t="e">
        <f>SMALL(SimData!$B$9:$B$508,335)</f>
        <v>#NUM!</v>
      </c>
      <c r="M843">
        <f>1/(COUNT(SimData!$B$9:$B$508)-1)+$M$842</f>
        <v>3.3737373737373568</v>
      </c>
      <c r="N843" t="e">
        <f>SMALL(SimData!$C$9:$C$508,335)</f>
        <v>#NUM!</v>
      </c>
      <c r="O843">
        <f>1/(COUNT(SimData!$C$9:$C$508)-1)+$O$842</f>
        <v>3.3737373737373568</v>
      </c>
      <c r="P843" t="e">
        <f>SMALL(SimData!$D$9:$D$508,335)</f>
        <v>#NUM!</v>
      </c>
      <c r="Q843">
        <f>1/(COUNT(SimData!$D$9:$D$508)-1)+$Q$842</f>
        <v>3.3737373737373568</v>
      </c>
    </row>
    <row r="844" spans="12:17">
      <c r="L844" t="e">
        <f>SMALL(SimData!$B$9:$B$508,336)</f>
        <v>#NUM!</v>
      </c>
      <c r="M844">
        <f>1/(COUNT(SimData!$B$9:$B$508)-1)+$M$843</f>
        <v>3.3838383838383668</v>
      </c>
      <c r="N844" t="e">
        <f>SMALL(SimData!$C$9:$C$508,336)</f>
        <v>#NUM!</v>
      </c>
      <c r="O844">
        <f>1/(COUNT(SimData!$C$9:$C$508)-1)+$O$843</f>
        <v>3.3838383838383668</v>
      </c>
      <c r="P844" t="e">
        <f>SMALL(SimData!$D$9:$D$508,336)</f>
        <v>#NUM!</v>
      </c>
      <c r="Q844">
        <f>1/(COUNT(SimData!$D$9:$D$508)-1)+$Q$843</f>
        <v>3.3838383838383668</v>
      </c>
    </row>
    <row r="845" spans="12:17">
      <c r="L845" t="e">
        <f>SMALL(SimData!$B$9:$B$508,337)</f>
        <v>#NUM!</v>
      </c>
      <c r="M845">
        <f>1/(COUNT(SimData!$B$9:$B$508)-1)+$M$844</f>
        <v>3.3939393939393767</v>
      </c>
      <c r="N845" t="e">
        <f>SMALL(SimData!$C$9:$C$508,337)</f>
        <v>#NUM!</v>
      </c>
      <c r="O845">
        <f>1/(COUNT(SimData!$C$9:$C$508)-1)+$O$844</f>
        <v>3.3939393939393767</v>
      </c>
      <c r="P845" t="e">
        <f>SMALL(SimData!$D$9:$D$508,337)</f>
        <v>#NUM!</v>
      </c>
      <c r="Q845">
        <f>1/(COUNT(SimData!$D$9:$D$508)-1)+$Q$844</f>
        <v>3.3939393939393767</v>
      </c>
    </row>
    <row r="846" spans="12:17">
      <c r="L846" t="e">
        <f>SMALL(SimData!$B$9:$B$508,338)</f>
        <v>#NUM!</v>
      </c>
      <c r="M846">
        <f>1/(COUNT(SimData!$B$9:$B$508)-1)+$M$845</f>
        <v>3.4040404040403867</v>
      </c>
      <c r="N846" t="e">
        <f>SMALL(SimData!$C$9:$C$508,338)</f>
        <v>#NUM!</v>
      </c>
      <c r="O846">
        <f>1/(COUNT(SimData!$C$9:$C$508)-1)+$O$845</f>
        <v>3.4040404040403867</v>
      </c>
      <c r="P846" t="e">
        <f>SMALL(SimData!$D$9:$D$508,338)</f>
        <v>#NUM!</v>
      </c>
      <c r="Q846">
        <f>1/(COUNT(SimData!$D$9:$D$508)-1)+$Q$845</f>
        <v>3.4040404040403867</v>
      </c>
    </row>
    <row r="847" spans="12:17">
      <c r="L847" t="e">
        <f>SMALL(SimData!$B$9:$B$508,339)</f>
        <v>#NUM!</v>
      </c>
      <c r="M847">
        <f>1/(COUNT(SimData!$B$9:$B$508)-1)+$M$846</f>
        <v>3.4141414141413966</v>
      </c>
      <c r="N847" t="e">
        <f>SMALL(SimData!$C$9:$C$508,339)</f>
        <v>#NUM!</v>
      </c>
      <c r="O847">
        <f>1/(COUNT(SimData!$C$9:$C$508)-1)+$O$846</f>
        <v>3.4141414141413966</v>
      </c>
      <c r="P847" t="e">
        <f>SMALL(SimData!$D$9:$D$508,339)</f>
        <v>#NUM!</v>
      </c>
      <c r="Q847">
        <f>1/(COUNT(SimData!$D$9:$D$508)-1)+$Q$846</f>
        <v>3.4141414141413966</v>
      </c>
    </row>
    <row r="848" spans="12:17">
      <c r="L848" t="e">
        <f>SMALL(SimData!$B$9:$B$508,340)</f>
        <v>#NUM!</v>
      </c>
      <c r="M848">
        <f>1/(COUNT(SimData!$B$9:$B$508)-1)+$M$847</f>
        <v>3.4242424242424065</v>
      </c>
      <c r="N848" t="e">
        <f>SMALL(SimData!$C$9:$C$508,340)</f>
        <v>#NUM!</v>
      </c>
      <c r="O848">
        <f>1/(COUNT(SimData!$C$9:$C$508)-1)+$O$847</f>
        <v>3.4242424242424065</v>
      </c>
      <c r="P848" t="e">
        <f>SMALL(SimData!$D$9:$D$508,340)</f>
        <v>#NUM!</v>
      </c>
      <c r="Q848">
        <f>1/(COUNT(SimData!$D$9:$D$508)-1)+$Q$847</f>
        <v>3.4242424242424065</v>
      </c>
    </row>
    <row r="849" spans="12:17">
      <c r="L849" t="e">
        <f>SMALL(SimData!$B$9:$B$508,341)</f>
        <v>#NUM!</v>
      </c>
      <c r="M849">
        <f>1/(COUNT(SimData!$B$9:$B$508)-1)+$M$848</f>
        <v>3.4343434343434165</v>
      </c>
      <c r="N849" t="e">
        <f>SMALL(SimData!$C$9:$C$508,341)</f>
        <v>#NUM!</v>
      </c>
      <c r="O849">
        <f>1/(COUNT(SimData!$C$9:$C$508)-1)+$O$848</f>
        <v>3.4343434343434165</v>
      </c>
      <c r="P849" t="e">
        <f>SMALL(SimData!$D$9:$D$508,341)</f>
        <v>#NUM!</v>
      </c>
      <c r="Q849">
        <f>1/(COUNT(SimData!$D$9:$D$508)-1)+$Q$848</f>
        <v>3.4343434343434165</v>
      </c>
    </row>
    <row r="850" spans="12:17">
      <c r="L850" t="e">
        <f>SMALL(SimData!$B$9:$B$508,342)</f>
        <v>#NUM!</v>
      </c>
      <c r="M850">
        <f>1/(COUNT(SimData!$B$9:$B$508)-1)+$M$849</f>
        <v>3.4444444444444264</v>
      </c>
      <c r="N850" t="e">
        <f>SMALL(SimData!$C$9:$C$508,342)</f>
        <v>#NUM!</v>
      </c>
      <c r="O850">
        <f>1/(COUNT(SimData!$C$9:$C$508)-1)+$O$849</f>
        <v>3.4444444444444264</v>
      </c>
      <c r="P850" t="e">
        <f>SMALL(SimData!$D$9:$D$508,342)</f>
        <v>#NUM!</v>
      </c>
      <c r="Q850">
        <f>1/(COUNT(SimData!$D$9:$D$508)-1)+$Q$849</f>
        <v>3.4444444444444264</v>
      </c>
    </row>
    <row r="851" spans="12:17">
      <c r="L851" t="e">
        <f>SMALL(SimData!$B$9:$B$508,343)</f>
        <v>#NUM!</v>
      </c>
      <c r="M851">
        <f>1/(COUNT(SimData!$B$9:$B$508)-1)+$M$850</f>
        <v>3.4545454545454364</v>
      </c>
      <c r="N851" t="e">
        <f>SMALL(SimData!$C$9:$C$508,343)</f>
        <v>#NUM!</v>
      </c>
      <c r="O851">
        <f>1/(COUNT(SimData!$C$9:$C$508)-1)+$O$850</f>
        <v>3.4545454545454364</v>
      </c>
      <c r="P851" t="e">
        <f>SMALL(SimData!$D$9:$D$508,343)</f>
        <v>#NUM!</v>
      </c>
      <c r="Q851">
        <f>1/(COUNT(SimData!$D$9:$D$508)-1)+$Q$850</f>
        <v>3.4545454545454364</v>
      </c>
    </row>
    <row r="852" spans="12:17">
      <c r="L852" t="e">
        <f>SMALL(SimData!$B$9:$B$508,344)</f>
        <v>#NUM!</v>
      </c>
      <c r="M852">
        <f>1/(COUNT(SimData!$B$9:$B$508)-1)+$M$851</f>
        <v>3.4646464646464463</v>
      </c>
      <c r="N852" t="e">
        <f>SMALL(SimData!$C$9:$C$508,344)</f>
        <v>#NUM!</v>
      </c>
      <c r="O852">
        <f>1/(COUNT(SimData!$C$9:$C$508)-1)+$O$851</f>
        <v>3.4646464646464463</v>
      </c>
      <c r="P852" t="e">
        <f>SMALL(SimData!$D$9:$D$508,344)</f>
        <v>#NUM!</v>
      </c>
      <c r="Q852">
        <f>1/(COUNT(SimData!$D$9:$D$508)-1)+$Q$851</f>
        <v>3.4646464646464463</v>
      </c>
    </row>
    <row r="853" spans="12:17">
      <c r="L853" t="e">
        <f>SMALL(SimData!$B$9:$B$508,345)</f>
        <v>#NUM!</v>
      </c>
      <c r="M853">
        <f>1/(COUNT(SimData!$B$9:$B$508)-1)+$M$852</f>
        <v>3.4747474747474563</v>
      </c>
      <c r="N853" t="e">
        <f>SMALL(SimData!$C$9:$C$508,345)</f>
        <v>#NUM!</v>
      </c>
      <c r="O853">
        <f>1/(COUNT(SimData!$C$9:$C$508)-1)+$O$852</f>
        <v>3.4747474747474563</v>
      </c>
      <c r="P853" t="e">
        <f>SMALL(SimData!$D$9:$D$508,345)</f>
        <v>#NUM!</v>
      </c>
      <c r="Q853">
        <f>1/(COUNT(SimData!$D$9:$D$508)-1)+$Q$852</f>
        <v>3.4747474747474563</v>
      </c>
    </row>
    <row r="854" spans="12:17">
      <c r="L854" t="e">
        <f>SMALL(SimData!$B$9:$B$508,346)</f>
        <v>#NUM!</v>
      </c>
      <c r="M854">
        <f>1/(COUNT(SimData!$B$9:$B$508)-1)+$M$853</f>
        <v>3.4848484848484662</v>
      </c>
      <c r="N854" t="e">
        <f>SMALL(SimData!$C$9:$C$508,346)</f>
        <v>#NUM!</v>
      </c>
      <c r="O854">
        <f>1/(COUNT(SimData!$C$9:$C$508)-1)+$O$853</f>
        <v>3.4848484848484662</v>
      </c>
      <c r="P854" t="e">
        <f>SMALL(SimData!$D$9:$D$508,346)</f>
        <v>#NUM!</v>
      </c>
      <c r="Q854">
        <f>1/(COUNT(SimData!$D$9:$D$508)-1)+$Q$853</f>
        <v>3.4848484848484662</v>
      </c>
    </row>
    <row r="855" spans="12:17">
      <c r="L855" t="e">
        <f>SMALL(SimData!$B$9:$B$508,347)</f>
        <v>#NUM!</v>
      </c>
      <c r="M855">
        <f>1/(COUNT(SimData!$B$9:$B$508)-1)+$M$854</f>
        <v>3.4949494949494762</v>
      </c>
      <c r="N855" t="e">
        <f>SMALL(SimData!$C$9:$C$508,347)</f>
        <v>#NUM!</v>
      </c>
      <c r="O855">
        <f>1/(COUNT(SimData!$C$9:$C$508)-1)+$O$854</f>
        <v>3.4949494949494762</v>
      </c>
      <c r="P855" t="e">
        <f>SMALL(SimData!$D$9:$D$508,347)</f>
        <v>#NUM!</v>
      </c>
      <c r="Q855">
        <f>1/(COUNT(SimData!$D$9:$D$508)-1)+$Q$854</f>
        <v>3.4949494949494762</v>
      </c>
    </row>
    <row r="856" spans="12:17">
      <c r="L856" t="e">
        <f>SMALL(SimData!$B$9:$B$508,348)</f>
        <v>#NUM!</v>
      </c>
      <c r="M856">
        <f>1/(COUNT(SimData!$B$9:$B$508)-1)+$M$855</f>
        <v>3.5050505050504861</v>
      </c>
      <c r="N856" t="e">
        <f>SMALL(SimData!$C$9:$C$508,348)</f>
        <v>#NUM!</v>
      </c>
      <c r="O856">
        <f>1/(COUNT(SimData!$C$9:$C$508)-1)+$O$855</f>
        <v>3.5050505050504861</v>
      </c>
      <c r="P856" t="e">
        <f>SMALL(SimData!$D$9:$D$508,348)</f>
        <v>#NUM!</v>
      </c>
      <c r="Q856">
        <f>1/(COUNT(SimData!$D$9:$D$508)-1)+$Q$855</f>
        <v>3.5050505050504861</v>
      </c>
    </row>
    <row r="857" spans="12:17">
      <c r="L857" t="e">
        <f>SMALL(SimData!$B$9:$B$508,349)</f>
        <v>#NUM!</v>
      </c>
      <c r="M857">
        <f>1/(COUNT(SimData!$B$9:$B$508)-1)+$M$856</f>
        <v>3.515151515151496</v>
      </c>
      <c r="N857" t="e">
        <f>SMALL(SimData!$C$9:$C$508,349)</f>
        <v>#NUM!</v>
      </c>
      <c r="O857">
        <f>1/(COUNT(SimData!$C$9:$C$508)-1)+$O$856</f>
        <v>3.515151515151496</v>
      </c>
      <c r="P857" t="e">
        <f>SMALL(SimData!$D$9:$D$508,349)</f>
        <v>#NUM!</v>
      </c>
      <c r="Q857">
        <f>1/(COUNT(SimData!$D$9:$D$508)-1)+$Q$856</f>
        <v>3.515151515151496</v>
      </c>
    </row>
    <row r="858" spans="12:17">
      <c r="L858" t="e">
        <f>SMALL(SimData!$B$9:$B$508,350)</f>
        <v>#NUM!</v>
      </c>
      <c r="M858">
        <f>1/(COUNT(SimData!$B$9:$B$508)-1)+$M$857</f>
        <v>3.525252525252506</v>
      </c>
      <c r="N858" t="e">
        <f>SMALL(SimData!$C$9:$C$508,350)</f>
        <v>#NUM!</v>
      </c>
      <c r="O858">
        <f>1/(COUNT(SimData!$C$9:$C$508)-1)+$O$857</f>
        <v>3.525252525252506</v>
      </c>
      <c r="P858" t="e">
        <f>SMALL(SimData!$D$9:$D$508,350)</f>
        <v>#NUM!</v>
      </c>
      <c r="Q858">
        <f>1/(COUNT(SimData!$D$9:$D$508)-1)+$Q$857</f>
        <v>3.525252525252506</v>
      </c>
    </row>
    <row r="859" spans="12:17">
      <c r="L859" t="e">
        <f>SMALL(SimData!$B$9:$B$508,351)</f>
        <v>#NUM!</v>
      </c>
      <c r="M859">
        <f>1/(COUNT(SimData!$B$9:$B$508)-1)+$M$858</f>
        <v>3.5353535353535159</v>
      </c>
      <c r="N859" t="e">
        <f>SMALL(SimData!$C$9:$C$508,351)</f>
        <v>#NUM!</v>
      </c>
      <c r="O859">
        <f>1/(COUNT(SimData!$C$9:$C$508)-1)+$O$858</f>
        <v>3.5353535353535159</v>
      </c>
      <c r="P859" t="e">
        <f>SMALL(SimData!$D$9:$D$508,351)</f>
        <v>#NUM!</v>
      </c>
      <c r="Q859">
        <f>1/(COUNT(SimData!$D$9:$D$508)-1)+$Q$858</f>
        <v>3.5353535353535159</v>
      </c>
    </row>
    <row r="860" spans="12:17">
      <c r="L860" t="e">
        <f>SMALL(SimData!$B$9:$B$508,352)</f>
        <v>#NUM!</v>
      </c>
      <c r="M860">
        <f>1/(COUNT(SimData!$B$9:$B$508)-1)+$M$859</f>
        <v>3.5454545454545259</v>
      </c>
      <c r="N860" t="e">
        <f>SMALL(SimData!$C$9:$C$508,352)</f>
        <v>#NUM!</v>
      </c>
      <c r="O860">
        <f>1/(COUNT(SimData!$C$9:$C$508)-1)+$O$859</f>
        <v>3.5454545454545259</v>
      </c>
      <c r="P860" t="e">
        <f>SMALL(SimData!$D$9:$D$508,352)</f>
        <v>#NUM!</v>
      </c>
      <c r="Q860">
        <f>1/(COUNT(SimData!$D$9:$D$508)-1)+$Q$859</f>
        <v>3.5454545454545259</v>
      </c>
    </row>
    <row r="861" spans="12:17">
      <c r="L861" t="e">
        <f>SMALL(SimData!$B$9:$B$508,353)</f>
        <v>#NUM!</v>
      </c>
      <c r="M861">
        <f>1/(COUNT(SimData!$B$9:$B$508)-1)+$M$860</f>
        <v>3.5555555555555358</v>
      </c>
      <c r="N861" t="e">
        <f>SMALL(SimData!$C$9:$C$508,353)</f>
        <v>#NUM!</v>
      </c>
      <c r="O861">
        <f>1/(COUNT(SimData!$C$9:$C$508)-1)+$O$860</f>
        <v>3.5555555555555358</v>
      </c>
      <c r="P861" t="e">
        <f>SMALL(SimData!$D$9:$D$508,353)</f>
        <v>#NUM!</v>
      </c>
      <c r="Q861">
        <f>1/(COUNT(SimData!$D$9:$D$508)-1)+$Q$860</f>
        <v>3.5555555555555358</v>
      </c>
    </row>
    <row r="862" spans="12:17">
      <c r="L862" t="e">
        <f>SMALL(SimData!$B$9:$B$508,354)</f>
        <v>#NUM!</v>
      </c>
      <c r="M862">
        <f>1/(COUNT(SimData!$B$9:$B$508)-1)+$M$861</f>
        <v>3.5656565656565458</v>
      </c>
      <c r="N862" t="e">
        <f>SMALL(SimData!$C$9:$C$508,354)</f>
        <v>#NUM!</v>
      </c>
      <c r="O862">
        <f>1/(COUNT(SimData!$C$9:$C$508)-1)+$O$861</f>
        <v>3.5656565656565458</v>
      </c>
      <c r="P862" t="e">
        <f>SMALL(SimData!$D$9:$D$508,354)</f>
        <v>#NUM!</v>
      </c>
      <c r="Q862">
        <f>1/(COUNT(SimData!$D$9:$D$508)-1)+$Q$861</f>
        <v>3.5656565656565458</v>
      </c>
    </row>
    <row r="863" spans="12:17">
      <c r="L863" t="e">
        <f>SMALL(SimData!$B$9:$B$508,355)</f>
        <v>#NUM!</v>
      </c>
      <c r="M863">
        <f>1/(COUNT(SimData!$B$9:$B$508)-1)+$M$862</f>
        <v>3.5757575757575557</v>
      </c>
      <c r="N863" t="e">
        <f>SMALL(SimData!$C$9:$C$508,355)</f>
        <v>#NUM!</v>
      </c>
      <c r="O863">
        <f>1/(COUNT(SimData!$C$9:$C$508)-1)+$O$862</f>
        <v>3.5757575757575557</v>
      </c>
      <c r="P863" t="e">
        <f>SMALL(SimData!$D$9:$D$508,355)</f>
        <v>#NUM!</v>
      </c>
      <c r="Q863">
        <f>1/(COUNT(SimData!$D$9:$D$508)-1)+$Q$862</f>
        <v>3.5757575757575557</v>
      </c>
    </row>
    <row r="864" spans="12:17">
      <c r="L864" t="e">
        <f>SMALL(SimData!$B$9:$B$508,356)</f>
        <v>#NUM!</v>
      </c>
      <c r="M864">
        <f>1/(COUNT(SimData!$B$9:$B$508)-1)+$M$863</f>
        <v>3.5858585858585657</v>
      </c>
      <c r="N864" t="e">
        <f>SMALL(SimData!$C$9:$C$508,356)</f>
        <v>#NUM!</v>
      </c>
      <c r="O864">
        <f>1/(COUNT(SimData!$C$9:$C$508)-1)+$O$863</f>
        <v>3.5858585858585657</v>
      </c>
      <c r="P864" t="e">
        <f>SMALL(SimData!$D$9:$D$508,356)</f>
        <v>#NUM!</v>
      </c>
      <c r="Q864">
        <f>1/(COUNT(SimData!$D$9:$D$508)-1)+$Q$863</f>
        <v>3.5858585858585657</v>
      </c>
    </row>
    <row r="865" spans="12:17">
      <c r="L865" t="e">
        <f>SMALL(SimData!$B$9:$B$508,357)</f>
        <v>#NUM!</v>
      </c>
      <c r="M865">
        <f>1/(COUNT(SimData!$B$9:$B$508)-1)+$M$864</f>
        <v>3.5959595959595756</v>
      </c>
      <c r="N865" t="e">
        <f>SMALL(SimData!$C$9:$C$508,357)</f>
        <v>#NUM!</v>
      </c>
      <c r="O865">
        <f>1/(COUNT(SimData!$C$9:$C$508)-1)+$O$864</f>
        <v>3.5959595959595756</v>
      </c>
      <c r="P865" t="e">
        <f>SMALL(SimData!$D$9:$D$508,357)</f>
        <v>#NUM!</v>
      </c>
      <c r="Q865">
        <f>1/(COUNT(SimData!$D$9:$D$508)-1)+$Q$864</f>
        <v>3.5959595959595756</v>
      </c>
    </row>
    <row r="866" spans="12:17">
      <c r="L866" t="e">
        <f>SMALL(SimData!$B$9:$B$508,358)</f>
        <v>#NUM!</v>
      </c>
      <c r="M866">
        <f>1/(COUNT(SimData!$B$9:$B$508)-1)+$M$865</f>
        <v>3.6060606060605855</v>
      </c>
      <c r="N866" t="e">
        <f>SMALL(SimData!$C$9:$C$508,358)</f>
        <v>#NUM!</v>
      </c>
      <c r="O866">
        <f>1/(COUNT(SimData!$C$9:$C$508)-1)+$O$865</f>
        <v>3.6060606060605855</v>
      </c>
      <c r="P866" t="e">
        <f>SMALL(SimData!$D$9:$D$508,358)</f>
        <v>#NUM!</v>
      </c>
      <c r="Q866">
        <f>1/(COUNT(SimData!$D$9:$D$508)-1)+$Q$865</f>
        <v>3.6060606060605855</v>
      </c>
    </row>
    <row r="867" spans="12:17">
      <c r="L867" t="e">
        <f>SMALL(SimData!$B$9:$B$508,359)</f>
        <v>#NUM!</v>
      </c>
      <c r="M867">
        <f>1/(COUNT(SimData!$B$9:$B$508)-1)+$M$866</f>
        <v>3.6161616161615955</v>
      </c>
      <c r="N867" t="e">
        <f>SMALL(SimData!$C$9:$C$508,359)</f>
        <v>#NUM!</v>
      </c>
      <c r="O867">
        <f>1/(COUNT(SimData!$C$9:$C$508)-1)+$O$866</f>
        <v>3.6161616161615955</v>
      </c>
      <c r="P867" t="e">
        <f>SMALL(SimData!$D$9:$D$508,359)</f>
        <v>#NUM!</v>
      </c>
      <c r="Q867">
        <f>1/(COUNT(SimData!$D$9:$D$508)-1)+$Q$866</f>
        <v>3.6161616161615955</v>
      </c>
    </row>
    <row r="868" spans="12:17">
      <c r="L868" t="e">
        <f>SMALL(SimData!$B$9:$B$508,360)</f>
        <v>#NUM!</v>
      </c>
      <c r="M868">
        <f>1/(COUNT(SimData!$B$9:$B$508)-1)+$M$867</f>
        <v>3.6262626262626054</v>
      </c>
      <c r="N868" t="e">
        <f>SMALL(SimData!$C$9:$C$508,360)</f>
        <v>#NUM!</v>
      </c>
      <c r="O868">
        <f>1/(COUNT(SimData!$C$9:$C$508)-1)+$O$867</f>
        <v>3.6262626262626054</v>
      </c>
      <c r="P868" t="e">
        <f>SMALL(SimData!$D$9:$D$508,360)</f>
        <v>#NUM!</v>
      </c>
      <c r="Q868">
        <f>1/(COUNT(SimData!$D$9:$D$508)-1)+$Q$867</f>
        <v>3.6262626262626054</v>
      </c>
    </row>
    <row r="869" spans="12:17">
      <c r="L869" t="e">
        <f>SMALL(SimData!$B$9:$B$508,361)</f>
        <v>#NUM!</v>
      </c>
      <c r="M869">
        <f>1/(COUNT(SimData!$B$9:$B$508)-1)+$M$868</f>
        <v>3.6363636363636154</v>
      </c>
      <c r="N869" t="e">
        <f>SMALL(SimData!$C$9:$C$508,361)</f>
        <v>#NUM!</v>
      </c>
      <c r="O869">
        <f>1/(COUNT(SimData!$C$9:$C$508)-1)+$O$868</f>
        <v>3.6363636363636154</v>
      </c>
      <c r="P869" t="e">
        <f>SMALL(SimData!$D$9:$D$508,361)</f>
        <v>#NUM!</v>
      </c>
      <c r="Q869">
        <f>1/(COUNT(SimData!$D$9:$D$508)-1)+$Q$868</f>
        <v>3.6363636363636154</v>
      </c>
    </row>
    <row r="870" spans="12:17">
      <c r="L870" t="e">
        <f>SMALL(SimData!$B$9:$B$508,362)</f>
        <v>#NUM!</v>
      </c>
      <c r="M870">
        <f>1/(COUNT(SimData!$B$9:$B$508)-1)+$M$869</f>
        <v>3.6464646464646253</v>
      </c>
      <c r="N870" t="e">
        <f>SMALL(SimData!$C$9:$C$508,362)</f>
        <v>#NUM!</v>
      </c>
      <c r="O870">
        <f>1/(COUNT(SimData!$C$9:$C$508)-1)+$O$869</f>
        <v>3.6464646464646253</v>
      </c>
      <c r="P870" t="e">
        <f>SMALL(SimData!$D$9:$D$508,362)</f>
        <v>#NUM!</v>
      </c>
      <c r="Q870">
        <f>1/(COUNT(SimData!$D$9:$D$508)-1)+$Q$869</f>
        <v>3.6464646464646253</v>
      </c>
    </row>
    <row r="871" spans="12:17">
      <c r="L871" t="e">
        <f>SMALL(SimData!$B$9:$B$508,363)</f>
        <v>#NUM!</v>
      </c>
      <c r="M871">
        <f>1/(COUNT(SimData!$B$9:$B$508)-1)+$M$870</f>
        <v>3.6565656565656353</v>
      </c>
      <c r="N871" t="e">
        <f>SMALL(SimData!$C$9:$C$508,363)</f>
        <v>#NUM!</v>
      </c>
      <c r="O871">
        <f>1/(COUNT(SimData!$C$9:$C$508)-1)+$O$870</f>
        <v>3.6565656565656353</v>
      </c>
      <c r="P871" t="e">
        <f>SMALL(SimData!$D$9:$D$508,363)</f>
        <v>#NUM!</v>
      </c>
      <c r="Q871">
        <f>1/(COUNT(SimData!$D$9:$D$508)-1)+$Q$870</f>
        <v>3.6565656565656353</v>
      </c>
    </row>
    <row r="872" spans="12:17">
      <c r="L872" t="e">
        <f>SMALL(SimData!$B$9:$B$508,364)</f>
        <v>#NUM!</v>
      </c>
      <c r="M872">
        <f>1/(COUNT(SimData!$B$9:$B$508)-1)+$M$871</f>
        <v>3.6666666666666452</v>
      </c>
      <c r="N872" t="e">
        <f>SMALL(SimData!$C$9:$C$508,364)</f>
        <v>#NUM!</v>
      </c>
      <c r="O872">
        <f>1/(COUNT(SimData!$C$9:$C$508)-1)+$O$871</f>
        <v>3.6666666666666452</v>
      </c>
      <c r="P872" t="e">
        <f>SMALL(SimData!$D$9:$D$508,364)</f>
        <v>#NUM!</v>
      </c>
      <c r="Q872">
        <f>1/(COUNT(SimData!$D$9:$D$508)-1)+$Q$871</f>
        <v>3.6666666666666452</v>
      </c>
    </row>
    <row r="873" spans="12:17">
      <c r="L873" t="e">
        <f>SMALL(SimData!$B$9:$B$508,365)</f>
        <v>#NUM!</v>
      </c>
      <c r="M873">
        <f>1/(COUNT(SimData!$B$9:$B$508)-1)+$M$872</f>
        <v>3.6767676767676551</v>
      </c>
      <c r="N873" t="e">
        <f>SMALL(SimData!$C$9:$C$508,365)</f>
        <v>#NUM!</v>
      </c>
      <c r="O873">
        <f>1/(COUNT(SimData!$C$9:$C$508)-1)+$O$872</f>
        <v>3.6767676767676551</v>
      </c>
      <c r="P873" t="e">
        <f>SMALL(SimData!$D$9:$D$508,365)</f>
        <v>#NUM!</v>
      </c>
      <c r="Q873">
        <f>1/(COUNT(SimData!$D$9:$D$508)-1)+$Q$872</f>
        <v>3.6767676767676551</v>
      </c>
    </row>
    <row r="874" spans="12:17">
      <c r="L874" t="e">
        <f>SMALL(SimData!$B$9:$B$508,366)</f>
        <v>#NUM!</v>
      </c>
      <c r="M874">
        <f>1/(COUNT(SimData!$B$9:$B$508)-1)+$M$873</f>
        <v>3.6868686868686651</v>
      </c>
      <c r="N874" t="e">
        <f>SMALL(SimData!$C$9:$C$508,366)</f>
        <v>#NUM!</v>
      </c>
      <c r="O874">
        <f>1/(COUNT(SimData!$C$9:$C$508)-1)+$O$873</f>
        <v>3.6868686868686651</v>
      </c>
      <c r="P874" t="e">
        <f>SMALL(SimData!$D$9:$D$508,366)</f>
        <v>#NUM!</v>
      </c>
      <c r="Q874">
        <f>1/(COUNT(SimData!$D$9:$D$508)-1)+$Q$873</f>
        <v>3.6868686868686651</v>
      </c>
    </row>
    <row r="875" spans="12:17">
      <c r="L875" t="e">
        <f>SMALL(SimData!$B$9:$B$508,367)</f>
        <v>#NUM!</v>
      </c>
      <c r="M875">
        <f>1/(COUNT(SimData!$B$9:$B$508)-1)+$M$874</f>
        <v>3.696969696969675</v>
      </c>
      <c r="N875" t="e">
        <f>SMALL(SimData!$C$9:$C$508,367)</f>
        <v>#NUM!</v>
      </c>
      <c r="O875">
        <f>1/(COUNT(SimData!$C$9:$C$508)-1)+$O$874</f>
        <v>3.696969696969675</v>
      </c>
      <c r="P875" t="e">
        <f>SMALL(SimData!$D$9:$D$508,367)</f>
        <v>#NUM!</v>
      </c>
      <c r="Q875">
        <f>1/(COUNT(SimData!$D$9:$D$508)-1)+$Q$874</f>
        <v>3.696969696969675</v>
      </c>
    </row>
    <row r="876" spans="12:17">
      <c r="L876" t="e">
        <f>SMALL(SimData!$B$9:$B$508,368)</f>
        <v>#NUM!</v>
      </c>
      <c r="M876">
        <f>1/(COUNT(SimData!$B$9:$B$508)-1)+$M$875</f>
        <v>3.707070707070685</v>
      </c>
      <c r="N876" t="e">
        <f>SMALL(SimData!$C$9:$C$508,368)</f>
        <v>#NUM!</v>
      </c>
      <c r="O876">
        <f>1/(COUNT(SimData!$C$9:$C$508)-1)+$O$875</f>
        <v>3.707070707070685</v>
      </c>
      <c r="P876" t="e">
        <f>SMALL(SimData!$D$9:$D$508,368)</f>
        <v>#NUM!</v>
      </c>
      <c r="Q876">
        <f>1/(COUNT(SimData!$D$9:$D$508)-1)+$Q$875</f>
        <v>3.707070707070685</v>
      </c>
    </row>
    <row r="877" spans="12:17">
      <c r="L877" t="e">
        <f>SMALL(SimData!$B$9:$B$508,369)</f>
        <v>#NUM!</v>
      </c>
      <c r="M877">
        <f>1/(COUNT(SimData!$B$9:$B$508)-1)+$M$876</f>
        <v>3.7171717171716949</v>
      </c>
      <c r="N877" t="e">
        <f>SMALL(SimData!$C$9:$C$508,369)</f>
        <v>#NUM!</v>
      </c>
      <c r="O877">
        <f>1/(COUNT(SimData!$C$9:$C$508)-1)+$O$876</f>
        <v>3.7171717171716949</v>
      </c>
      <c r="P877" t="e">
        <f>SMALL(SimData!$D$9:$D$508,369)</f>
        <v>#NUM!</v>
      </c>
      <c r="Q877">
        <f>1/(COUNT(SimData!$D$9:$D$508)-1)+$Q$876</f>
        <v>3.7171717171716949</v>
      </c>
    </row>
    <row r="878" spans="12:17">
      <c r="L878" t="e">
        <f>SMALL(SimData!$B$9:$B$508,370)</f>
        <v>#NUM!</v>
      </c>
      <c r="M878">
        <f>1/(COUNT(SimData!$B$9:$B$508)-1)+$M$877</f>
        <v>3.7272727272727049</v>
      </c>
      <c r="N878" t="e">
        <f>SMALL(SimData!$C$9:$C$508,370)</f>
        <v>#NUM!</v>
      </c>
      <c r="O878">
        <f>1/(COUNT(SimData!$C$9:$C$508)-1)+$O$877</f>
        <v>3.7272727272727049</v>
      </c>
      <c r="P878" t="e">
        <f>SMALL(SimData!$D$9:$D$508,370)</f>
        <v>#NUM!</v>
      </c>
      <c r="Q878">
        <f>1/(COUNT(SimData!$D$9:$D$508)-1)+$Q$877</f>
        <v>3.7272727272727049</v>
      </c>
    </row>
    <row r="879" spans="12:17">
      <c r="L879" t="e">
        <f>SMALL(SimData!$B$9:$B$508,371)</f>
        <v>#NUM!</v>
      </c>
      <c r="M879">
        <f>1/(COUNT(SimData!$B$9:$B$508)-1)+$M$878</f>
        <v>3.7373737373737148</v>
      </c>
      <c r="N879" t="e">
        <f>SMALL(SimData!$C$9:$C$508,371)</f>
        <v>#NUM!</v>
      </c>
      <c r="O879">
        <f>1/(COUNT(SimData!$C$9:$C$508)-1)+$O$878</f>
        <v>3.7373737373737148</v>
      </c>
      <c r="P879" t="e">
        <f>SMALL(SimData!$D$9:$D$508,371)</f>
        <v>#NUM!</v>
      </c>
      <c r="Q879">
        <f>1/(COUNT(SimData!$D$9:$D$508)-1)+$Q$878</f>
        <v>3.7373737373737148</v>
      </c>
    </row>
    <row r="880" spans="12:17">
      <c r="L880" t="e">
        <f>SMALL(SimData!$B$9:$B$508,372)</f>
        <v>#NUM!</v>
      </c>
      <c r="M880">
        <f>1/(COUNT(SimData!$B$9:$B$508)-1)+$M$879</f>
        <v>3.7474747474747248</v>
      </c>
      <c r="N880" t="e">
        <f>SMALL(SimData!$C$9:$C$508,372)</f>
        <v>#NUM!</v>
      </c>
      <c r="O880">
        <f>1/(COUNT(SimData!$C$9:$C$508)-1)+$O$879</f>
        <v>3.7474747474747248</v>
      </c>
      <c r="P880" t="e">
        <f>SMALL(SimData!$D$9:$D$508,372)</f>
        <v>#NUM!</v>
      </c>
      <c r="Q880">
        <f>1/(COUNT(SimData!$D$9:$D$508)-1)+$Q$879</f>
        <v>3.7474747474747248</v>
      </c>
    </row>
    <row r="881" spans="12:17">
      <c r="L881" t="e">
        <f>SMALL(SimData!$B$9:$B$508,373)</f>
        <v>#NUM!</v>
      </c>
      <c r="M881">
        <f>1/(COUNT(SimData!$B$9:$B$508)-1)+$M$880</f>
        <v>3.7575757575757347</v>
      </c>
      <c r="N881" t="e">
        <f>SMALL(SimData!$C$9:$C$508,373)</f>
        <v>#NUM!</v>
      </c>
      <c r="O881">
        <f>1/(COUNT(SimData!$C$9:$C$508)-1)+$O$880</f>
        <v>3.7575757575757347</v>
      </c>
      <c r="P881" t="e">
        <f>SMALL(SimData!$D$9:$D$508,373)</f>
        <v>#NUM!</v>
      </c>
      <c r="Q881">
        <f>1/(COUNT(SimData!$D$9:$D$508)-1)+$Q$880</f>
        <v>3.7575757575757347</v>
      </c>
    </row>
    <row r="882" spans="12:17">
      <c r="L882" t="e">
        <f>SMALL(SimData!$B$9:$B$508,374)</f>
        <v>#NUM!</v>
      </c>
      <c r="M882">
        <f>1/(COUNT(SimData!$B$9:$B$508)-1)+$M$881</f>
        <v>3.7676767676767446</v>
      </c>
      <c r="N882" t="e">
        <f>SMALL(SimData!$C$9:$C$508,374)</f>
        <v>#NUM!</v>
      </c>
      <c r="O882">
        <f>1/(COUNT(SimData!$C$9:$C$508)-1)+$O$881</f>
        <v>3.7676767676767446</v>
      </c>
      <c r="P882" t="e">
        <f>SMALL(SimData!$D$9:$D$508,374)</f>
        <v>#NUM!</v>
      </c>
      <c r="Q882">
        <f>1/(COUNT(SimData!$D$9:$D$508)-1)+$Q$881</f>
        <v>3.7676767676767446</v>
      </c>
    </row>
    <row r="883" spans="12:17">
      <c r="L883" t="e">
        <f>SMALL(SimData!$B$9:$B$508,375)</f>
        <v>#NUM!</v>
      </c>
      <c r="M883">
        <f>1/(COUNT(SimData!$B$9:$B$508)-1)+$M$882</f>
        <v>3.7777777777777546</v>
      </c>
      <c r="N883" t="e">
        <f>SMALL(SimData!$C$9:$C$508,375)</f>
        <v>#NUM!</v>
      </c>
      <c r="O883">
        <f>1/(COUNT(SimData!$C$9:$C$508)-1)+$O$882</f>
        <v>3.7777777777777546</v>
      </c>
      <c r="P883" t="e">
        <f>SMALL(SimData!$D$9:$D$508,375)</f>
        <v>#NUM!</v>
      </c>
      <c r="Q883">
        <f>1/(COUNT(SimData!$D$9:$D$508)-1)+$Q$882</f>
        <v>3.7777777777777546</v>
      </c>
    </row>
    <row r="884" spans="12:17">
      <c r="L884" t="e">
        <f>SMALL(SimData!$B$9:$B$508,376)</f>
        <v>#NUM!</v>
      </c>
      <c r="M884">
        <f>1/(COUNT(SimData!$B$9:$B$508)-1)+$M$883</f>
        <v>3.7878787878787645</v>
      </c>
      <c r="N884" t="e">
        <f>SMALL(SimData!$C$9:$C$508,376)</f>
        <v>#NUM!</v>
      </c>
      <c r="O884">
        <f>1/(COUNT(SimData!$C$9:$C$508)-1)+$O$883</f>
        <v>3.7878787878787645</v>
      </c>
      <c r="P884" t="e">
        <f>SMALL(SimData!$D$9:$D$508,376)</f>
        <v>#NUM!</v>
      </c>
      <c r="Q884">
        <f>1/(COUNT(SimData!$D$9:$D$508)-1)+$Q$883</f>
        <v>3.7878787878787645</v>
      </c>
    </row>
    <row r="885" spans="12:17">
      <c r="L885" t="e">
        <f>SMALL(SimData!$B$9:$B$508,377)</f>
        <v>#NUM!</v>
      </c>
      <c r="M885">
        <f>1/(COUNT(SimData!$B$9:$B$508)-1)+$M$884</f>
        <v>3.7979797979797745</v>
      </c>
      <c r="N885" t="e">
        <f>SMALL(SimData!$C$9:$C$508,377)</f>
        <v>#NUM!</v>
      </c>
      <c r="O885">
        <f>1/(COUNT(SimData!$C$9:$C$508)-1)+$O$884</f>
        <v>3.7979797979797745</v>
      </c>
      <c r="P885" t="e">
        <f>SMALL(SimData!$D$9:$D$508,377)</f>
        <v>#NUM!</v>
      </c>
      <c r="Q885">
        <f>1/(COUNT(SimData!$D$9:$D$508)-1)+$Q$884</f>
        <v>3.7979797979797745</v>
      </c>
    </row>
    <row r="886" spans="12:17">
      <c r="L886" t="e">
        <f>SMALL(SimData!$B$9:$B$508,378)</f>
        <v>#NUM!</v>
      </c>
      <c r="M886">
        <f>1/(COUNT(SimData!$B$9:$B$508)-1)+$M$885</f>
        <v>3.8080808080807844</v>
      </c>
      <c r="N886" t="e">
        <f>SMALL(SimData!$C$9:$C$508,378)</f>
        <v>#NUM!</v>
      </c>
      <c r="O886">
        <f>1/(COUNT(SimData!$C$9:$C$508)-1)+$O$885</f>
        <v>3.8080808080807844</v>
      </c>
      <c r="P886" t="e">
        <f>SMALL(SimData!$D$9:$D$508,378)</f>
        <v>#NUM!</v>
      </c>
      <c r="Q886">
        <f>1/(COUNT(SimData!$D$9:$D$508)-1)+$Q$885</f>
        <v>3.8080808080807844</v>
      </c>
    </row>
    <row r="887" spans="12:17">
      <c r="L887" t="e">
        <f>SMALL(SimData!$B$9:$B$508,379)</f>
        <v>#NUM!</v>
      </c>
      <c r="M887">
        <f>1/(COUNT(SimData!$B$9:$B$508)-1)+$M$886</f>
        <v>3.8181818181817944</v>
      </c>
      <c r="N887" t="e">
        <f>SMALL(SimData!$C$9:$C$508,379)</f>
        <v>#NUM!</v>
      </c>
      <c r="O887">
        <f>1/(COUNT(SimData!$C$9:$C$508)-1)+$O$886</f>
        <v>3.8181818181817944</v>
      </c>
      <c r="P887" t="e">
        <f>SMALL(SimData!$D$9:$D$508,379)</f>
        <v>#NUM!</v>
      </c>
      <c r="Q887">
        <f>1/(COUNT(SimData!$D$9:$D$508)-1)+$Q$886</f>
        <v>3.8181818181817944</v>
      </c>
    </row>
    <row r="888" spans="12:17">
      <c r="L888" t="e">
        <f>SMALL(SimData!$B$9:$B$508,380)</f>
        <v>#NUM!</v>
      </c>
      <c r="M888">
        <f>1/(COUNT(SimData!$B$9:$B$508)-1)+$M$887</f>
        <v>3.8282828282828043</v>
      </c>
      <c r="N888" t="e">
        <f>SMALL(SimData!$C$9:$C$508,380)</f>
        <v>#NUM!</v>
      </c>
      <c r="O888">
        <f>1/(COUNT(SimData!$C$9:$C$508)-1)+$O$887</f>
        <v>3.8282828282828043</v>
      </c>
      <c r="P888" t="e">
        <f>SMALL(SimData!$D$9:$D$508,380)</f>
        <v>#NUM!</v>
      </c>
      <c r="Q888">
        <f>1/(COUNT(SimData!$D$9:$D$508)-1)+$Q$887</f>
        <v>3.8282828282828043</v>
      </c>
    </row>
    <row r="889" spans="12:17">
      <c r="L889" t="e">
        <f>SMALL(SimData!$B$9:$B$508,381)</f>
        <v>#NUM!</v>
      </c>
      <c r="M889">
        <f>1/(COUNT(SimData!$B$9:$B$508)-1)+$M$888</f>
        <v>3.8383838383838143</v>
      </c>
      <c r="N889" t="e">
        <f>SMALL(SimData!$C$9:$C$508,381)</f>
        <v>#NUM!</v>
      </c>
      <c r="O889">
        <f>1/(COUNT(SimData!$C$9:$C$508)-1)+$O$888</f>
        <v>3.8383838383838143</v>
      </c>
      <c r="P889" t="e">
        <f>SMALL(SimData!$D$9:$D$508,381)</f>
        <v>#NUM!</v>
      </c>
      <c r="Q889">
        <f>1/(COUNT(SimData!$D$9:$D$508)-1)+$Q$888</f>
        <v>3.8383838383838143</v>
      </c>
    </row>
    <row r="890" spans="12:17">
      <c r="L890" t="e">
        <f>SMALL(SimData!$B$9:$B$508,382)</f>
        <v>#NUM!</v>
      </c>
      <c r="M890">
        <f>1/(COUNT(SimData!$B$9:$B$508)-1)+$M$889</f>
        <v>3.8484848484848242</v>
      </c>
      <c r="N890" t="e">
        <f>SMALL(SimData!$C$9:$C$508,382)</f>
        <v>#NUM!</v>
      </c>
      <c r="O890">
        <f>1/(COUNT(SimData!$C$9:$C$508)-1)+$O$889</f>
        <v>3.8484848484848242</v>
      </c>
      <c r="P890" t="e">
        <f>SMALL(SimData!$D$9:$D$508,382)</f>
        <v>#NUM!</v>
      </c>
      <c r="Q890">
        <f>1/(COUNT(SimData!$D$9:$D$508)-1)+$Q$889</f>
        <v>3.8484848484848242</v>
      </c>
    </row>
    <row r="891" spans="12:17">
      <c r="L891" t="e">
        <f>SMALL(SimData!$B$9:$B$508,383)</f>
        <v>#NUM!</v>
      </c>
      <c r="M891">
        <f>1/(COUNT(SimData!$B$9:$B$508)-1)+$M$890</f>
        <v>3.8585858585858341</v>
      </c>
      <c r="N891" t="e">
        <f>SMALL(SimData!$C$9:$C$508,383)</f>
        <v>#NUM!</v>
      </c>
      <c r="O891">
        <f>1/(COUNT(SimData!$C$9:$C$508)-1)+$O$890</f>
        <v>3.8585858585858341</v>
      </c>
      <c r="P891" t="e">
        <f>SMALL(SimData!$D$9:$D$508,383)</f>
        <v>#NUM!</v>
      </c>
      <c r="Q891">
        <f>1/(COUNT(SimData!$D$9:$D$508)-1)+$Q$890</f>
        <v>3.8585858585858341</v>
      </c>
    </row>
    <row r="892" spans="12:17">
      <c r="L892" t="e">
        <f>SMALL(SimData!$B$9:$B$508,384)</f>
        <v>#NUM!</v>
      </c>
      <c r="M892">
        <f>1/(COUNT(SimData!$B$9:$B$508)-1)+$M$891</f>
        <v>3.8686868686868441</v>
      </c>
      <c r="N892" t="e">
        <f>SMALL(SimData!$C$9:$C$508,384)</f>
        <v>#NUM!</v>
      </c>
      <c r="O892">
        <f>1/(COUNT(SimData!$C$9:$C$508)-1)+$O$891</f>
        <v>3.8686868686868441</v>
      </c>
      <c r="P892" t="e">
        <f>SMALL(SimData!$D$9:$D$508,384)</f>
        <v>#NUM!</v>
      </c>
      <c r="Q892">
        <f>1/(COUNT(SimData!$D$9:$D$508)-1)+$Q$891</f>
        <v>3.8686868686868441</v>
      </c>
    </row>
    <row r="893" spans="12:17">
      <c r="L893" t="e">
        <f>SMALL(SimData!$B$9:$B$508,385)</f>
        <v>#NUM!</v>
      </c>
      <c r="M893">
        <f>1/(COUNT(SimData!$B$9:$B$508)-1)+$M$892</f>
        <v>3.878787878787854</v>
      </c>
      <c r="N893" t="e">
        <f>SMALL(SimData!$C$9:$C$508,385)</f>
        <v>#NUM!</v>
      </c>
      <c r="O893">
        <f>1/(COUNT(SimData!$C$9:$C$508)-1)+$O$892</f>
        <v>3.878787878787854</v>
      </c>
      <c r="P893" t="e">
        <f>SMALL(SimData!$D$9:$D$508,385)</f>
        <v>#NUM!</v>
      </c>
      <c r="Q893">
        <f>1/(COUNT(SimData!$D$9:$D$508)-1)+$Q$892</f>
        <v>3.878787878787854</v>
      </c>
    </row>
    <row r="894" spans="12:17">
      <c r="L894" t="e">
        <f>SMALL(SimData!$B$9:$B$508,386)</f>
        <v>#NUM!</v>
      </c>
      <c r="M894">
        <f>1/(COUNT(SimData!$B$9:$B$508)-1)+$M$893</f>
        <v>3.888888888888864</v>
      </c>
      <c r="N894" t="e">
        <f>SMALL(SimData!$C$9:$C$508,386)</f>
        <v>#NUM!</v>
      </c>
      <c r="O894">
        <f>1/(COUNT(SimData!$C$9:$C$508)-1)+$O$893</f>
        <v>3.888888888888864</v>
      </c>
      <c r="P894" t="e">
        <f>SMALL(SimData!$D$9:$D$508,386)</f>
        <v>#NUM!</v>
      </c>
      <c r="Q894">
        <f>1/(COUNT(SimData!$D$9:$D$508)-1)+$Q$893</f>
        <v>3.888888888888864</v>
      </c>
    </row>
    <row r="895" spans="12:17">
      <c r="L895" t="e">
        <f>SMALL(SimData!$B$9:$B$508,387)</f>
        <v>#NUM!</v>
      </c>
      <c r="M895">
        <f>1/(COUNT(SimData!$B$9:$B$508)-1)+$M$894</f>
        <v>3.8989898989898739</v>
      </c>
      <c r="N895" t="e">
        <f>SMALL(SimData!$C$9:$C$508,387)</f>
        <v>#NUM!</v>
      </c>
      <c r="O895">
        <f>1/(COUNT(SimData!$C$9:$C$508)-1)+$O$894</f>
        <v>3.8989898989898739</v>
      </c>
      <c r="P895" t="e">
        <f>SMALL(SimData!$D$9:$D$508,387)</f>
        <v>#NUM!</v>
      </c>
      <c r="Q895">
        <f>1/(COUNT(SimData!$D$9:$D$508)-1)+$Q$894</f>
        <v>3.8989898989898739</v>
      </c>
    </row>
    <row r="896" spans="12:17">
      <c r="L896" t="e">
        <f>SMALL(SimData!$B$9:$B$508,388)</f>
        <v>#NUM!</v>
      </c>
      <c r="M896">
        <f>1/(COUNT(SimData!$B$9:$B$508)-1)+$M$895</f>
        <v>3.9090909090908839</v>
      </c>
      <c r="N896" t="e">
        <f>SMALL(SimData!$C$9:$C$508,388)</f>
        <v>#NUM!</v>
      </c>
      <c r="O896">
        <f>1/(COUNT(SimData!$C$9:$C$508)-1)+$O$895</f>
        <v>3.9090909090908839</v>
      </c>
      <c r="P896" t="e">
        <f>SMALL(SimData!$D$9:$D$508,388)</f>
        <v>#NUM!</v>
      </c>
      <c r="Q896">
        <f>1/(COUNT(SimData!$D$9:$D$508)-1)+$Q$895</f>
        <v>3.9090909090908839</v>
      </c>
    </row>
    <row r="897" spans="12:17">
      <c r="L897" t="e">
        <f>SMALL(SimData!$B$9:$B$508,389)</f>
        <v>#NUM!</v>
      </c>
      <c r="M897">
        <f>1/(COUNT(SimData!$B$9:$B$508)-1)+$M$896</f>
        <v>3.9191919191918938</v>
      </c>
      <c r="N897" t="e">
        <f>SMALL(SimData!$C$9:$C$508,389)</f>
        <v>#NUM!</v>
      </c>
      <c r="O897">
        <f>1/(COUNT(SimData!$C$9:$C$508)-1)+$O$896</f>
        <v>3.9191919191918938</v>
      </c>
      <c r="P897" t="e">
        <f>SMALL(SimData!$D$9:$D$508,389)</f>
        <v>#NUM!</v>
      </c>
      <c r="Q897">
        <f>1/(COUNT(SimData!$D$9:$D$508)-1)+$Q$896</f>
        <v>3.9191919191918938</v>
      </c>
    </row>
    <row r="898" spans="12:17">
      <c r="L898" t="e">
        <f>SMALL(SimData!$B$9:$B$508,390)</f>
        <v>#NUM!</v>
      </c>
      <c r="M898">
        <f>1/(COUNT(SimData!$B$9:$B$508)-1)+$M$897</f>
        <v>3.9292929292929037</v>
      </c>
      <c r="N898" t="e">
        <f>SMALL(SimData!$C$9:$C$508,390)</f>
        <v>#NUM!</v>
      </c>
      <c r="O898">
        <f>1/(COUNT(SimData!$C$9:$C$508)-1)+$O$897</f>
        <v>3.9292929292929037</v>
      </c>
      <c r="P898" t="e">
        <f>SMALL(SimData!$D$9:$D$508,390)</f>
        <v>#NUM!</v>
      </c>
      <c r="Q898">
        <f>1/(COUNT(SimData!$D$9:$D$508)-1)+$Q$897</f>
        <v>3.9292929292929037</v>
      </c>
    </row>
    <row r="899" spans="12:17">
      <c r="L899" t="e">
        <f>SMALL(SimData!$B$9:$B$508,391)</f>
        <v>#NUM!</v>
      </c>
      <c r="M899">
        <f>1/(COUNT(SimData!$B$9:$B$508)-1)+$M$898</f>
        <v>3.9393939393939137</v>
      </c>
      <c r="N899" t="e">
        <f>SMALL(SimData!$C$9:$C$508,391)</f>
        <v>#NUM!</v>
      </c>
      <c r="O899">
        <f>1/(COUNT(SimData!$C$9:$C$508)-1)+$O$898</f>
        <v>3.9393939393939137</v>
      </c>
      <c r="P899" t="e">
        <f>SMALL(SimData!$D$9:$D$508,391)</f>
        <v>#NUM!</v>
      </c>
      <c r="Q899">
        <f>1/(COUNT(SimData!$D$9:$D$508)-1)+$Q$898</f>
        <v>3.9393939393939137</v>
      </c>
    </row>
    <row r="900" spans="12:17">
      <c r="L900" t="e">
        <f>SMALL(SimData!$B$9:$B$508,392)</f>
        <v>#NUM!</v>
      </c>
      <c r="M900">
        <f>1/(COUNT(SimData!$B$9:$B$508)-1)+$M$899</f>
        <v>3.9494949494949236</v>
      </c>
      <c r="N900" t="e">
        <f>SMALL(SimData!$C$9:$C$508,392)</f>
        <v>#NUM!</v>
      </c>
      <c r="O900">
        <f>1/(COUNT(SimData!$C$9:$C$508)-1)+$O$899</f>
        <v>3.9494949494949236</v>
      </c>
      <c r="P900" t="e">
        <f>SMALL(SimData!$D$9:$D$508,392)</f>
        <v>#NUM!</v>
      </c>
      <c r="Q900">
        <f>1/(COUNT(SimData!$D$9:$D$508)-1)+$Q$899</f>
        <v>3.9494949494949236</v>
      </c>
    </row>
    <row r="901" spans="12:17">
      <c r="L901" t="e">
        <f>SMALL(SimData!$B$9:$B$508,393)</f>
        <v>#NUM!</v>
      </c>
      <c r="M901">
        <f>1/(COUNT(SimData!$B$9:$B$508)-1)+$M$900</f>
        <v>3.9595959595959336</v>
      </c>
      <c r="N901" t="e">
        <f>SMALL(SimData!$C$9:$C$508,393)</f>
        <v>#NUM!</v>
      </c>
      <c r="O901">
        <f>1/(COUNT(SimData!$C$9:$C$508)-1)+$O$900</f>
        <v>3.9595959595959336</v>
      </c>
      <c r="P901" t="e">
        <f>SMALL(SimData!$D$9:$D$508,393)</f>
        <v>#NUM!</v>
      </c>
      <c r="Q901">
        <f>1/(COUNT(SimData!$D$9:$D$508)-1)+$Q$900</f>
        <v>3.9595959595959336</v>
      </c>
    </row>
    <row r="902" spans="12:17">
      <c r="L902" t="e">
        <f>SMALL(SimData!$B$9:$B$508,394)</f>
        <v>#NUM!</v>
      </c>
      <c r="M902">
        <f>1/(COUNT(SimData!$B$9:$B$508)-1)+$M$901</f>
        <v>3.9696969696969435</v>
      </c>
      <c r="N902" t="e">
        <f>SMALL(SimData!$C$9:$C$508,394)</f>
        <v>#NUM!</v>
      </c>
      <c r="O902">
        <f>1/(COUNT(SimData!$C$9:$C$508)-1)+$O$901</f>
        <v>3.9696969696969435</v>
      </c>
      <c r="P902" t="e">
        <f>SMALL(SimData!$D$9:$D$508,394)</f>
        <v>#NUM!</v>
      </c>
      <c r="Q902">
        <f>1/(COUNT(SimData!$D$9:$D$508)-1)+$Q$901</f>
        <v>3.9696969696969435</v>
      </c>
    </row>
    <row r="903" spans="12:17">
      <c r="L903" t="e">
        <f>SMALL(SimData!$B$9:$B$508,395)</f>
        <v>#NUM!</v>
      </c>
      <c r="M903">
        <f>1/(COUNT(SimData!$B$9:$B$508)-1)+$M$902</f>
        <v>3.9797979797979535</v>
      </c>
      <c r="N903" t="e">
        <f>SMALL(SimData!$C$9:$C$508,395)</f>
        <v>#NUM!</v>
      </c>
      <c r="O903">
        <f>1/(COUNT(SimData!$C$9:$C$508)-1)+$O$902</f>
        <v>3.9797979797979535</v>
      </c>
      <c r="P903" t="e">
        <f>SMALL(SimData!$D$9:$D$508,395)</f>
        <v>#NUM!</v>
      </c>
      <c r="Q903">
        <f>1/(COUNT(SimData!$D$9:$D$508)-1)+$Q$902</f>
        <v>3.9797979797979535</v>
      </c>
    </row>
    <row r="904" spans="12:17">
      <c r="L904" t="e">
        <f>SMALL(SimData!$B$9:$B$508,396)</f>
        <v>#NUM!</v>
      </c>
      <c r="M904">
        <f>1/(COUNT(SimData!$B$9:$B$508)-1)+$M$903</f>
        <v>3.9898989898989634</v>
      </c>
      <c r="N904" t="e">
        <f>SMALL(SimData!$C$9:$C$508,396)</f>
        <v>#NUM!</v>
      </c>
      <c r="O904">
        <f>1/(COUNT(SimData!$C$9:$C$508)-1)+$O$903</f>
        <v>3.9898989898989634</v>
      </c>
      <c r="P904" t="e">
        <f>SMALL(SimData!$D$9:$D$508,396)</f>
        <v>#NUM!</v>
      </c>
      <c r="Q904">
        <f>1/(COUNT(SimData!$D$9:$D$508)-1)+$Q$903</f>
        <v>3.9898989898989634</v>
      </c>
    </row>
    <row r="905" spans="12:17">
      <c r="L905" t="e">
        <f>SMALL(SimData!$B$9:$B$508,397)</f>
        <v>#NUM!</v>
      </c>
      <c r="M905">
        <f>1/(COUNT(SimData!$B$9:$B$508)-1)+$M$904</f>
        <v>3.9999999999999734</v>
      </c>
      <c r="N905" t="e">
        <f>SMALL(SimData!$C$9:$C$508,397)</f>
        <v>#NUM!</v>
      </c>
      <c r="O905">
        <f>1/(COUNT(SimData!$C$9:$C$508)-1)+$O$904</f>
        <v>3.9999999999999734</v>
      </c>
      <c r="P905" t="e">
        <f>SMALL(SimData!$D$9:$D$508,397)</f>
        <v>#NUM!</v>
      </c>
      <c r="Q905">
        <f>1/(COUNT(SimData!$D$9:$D$508)-1)+$Q$904</f>
        <v>3.9999999999999734</v>
      </c>
    </row>
    <row r="906" spans="12:17">
      <c r="L906" t="e">
        <f>SMALL(SimData!$B$9:$B$508,398)</f>
        <v>#NUM!</v>
      </c>
      <c r="M906">
        <f>1/(COUNT(SimData!$B$9:$B$508)-1)+$M$905</f>
        <v>4.0101010101009837</v>
      </c>
      <c r="N906" t="e">
        <f>SMALL(SimData!$C$9:$C$508,398)</f>
        <v>#NUM!</v>
      </c>
      <c r="O906">
        <f>1/(COUNT(SimData!$C$9:$C$508)-1)+$O$905</f>
        <v>4.0101010101009837</v>
      </c>
      <c r="P906" t="e">
        <f>SMALL(SimData!$D$9:$D$508,398)</f>
        <v>#NUM!</v>
      </c>
      <c r="Q906">
        <f>1/(COUNT(SimData!$D$9:$D$508)-1)+$Q$905</f>
        <v>4.0101010101009837</v>
      </c>
    </row>
    <row r="907" spans="12:17">
      <c r="L907" t="e">
        <f>SMALL(SimData!$B$9:$B$508,399)</f>
        <v>#NUM!</v>
      </c>
      <c r="M907">
        <f>1/(COUNT(SimData!$B$9:$B$508)-1)+$M$906</f>
        <v>4.0202020202019941</v>
      </c>
      <c r="N907" t="e">
        <f>SMALL(SimData!$C$9:$C$508,399)</f>
        <v>#NUM!</v>
      </c>
      <c r="O907">
        <f>1/(COUNT(SimData!$C$9:$C$508)-1)+$O$906</f>
        <v>4.0202020202019941</v>
      </c>
      <c r="P907" t="e">
        <f>SMALL(SimData!$D$9:$D$508,399)</f>
        <v>#NUM!</v>
      </c>
      <c r="Q907">
        <f>1/(COUNT(SimData!$D$9:$D$508)-1)+$Q$906</f>
        <v>4.0202020202019941</v>
      </c>
    </row>
    <row r="908" spans="12:17">
      <c r="L908" t="e">
        <f>SMALL(SimData!$B$9:$B$508,400)</f>
        <v>#NUM!</v>
      </c>
      <c r="M908">
        <f>1/(COUNT(SimData!$B$9:$B$508)-1)+$M$907</f>
        <v>4.0303030303030045</v>
      </c>
      <c r="N908" t="e">
        <f>SMALL(SimData!$C$9:$C$508,400)</f>
        <v>#NUM!</v>
      </c>
      <c r="O908">
        <f>1/(COUNT(SimData!$C$9:$C$508)-1)+$O$907</f>
        <v>4.0303030303030045</v>
      </c>
      <c r="P908" t="e">
        <f>SMALL(SimData!$D$9:$D$508,400)</f>
        <v>#NUM!</v>
      </c>
      <c r="Q908">
        <f>1/(COUNT(SimData!$D$9:$D$508)-1)+$Q$907</f>
        <v>4.0303030303030045</v>
      </c>
    </row>
    <row r="909" spans="12:17">
      <c r="L909" t="e">
        <f>SMALL(SimData!$B$9:$B$508,401)</f>
        <v>#NUM!</v>
      </c>
      <c r="M909">
        <f>1/(COUNT(SimData!$B$9:$B$508)-1)+$M$908</f>
        <v>4.0404040404040149</v>
      </c>
      <c r="N909" t="e">
        <f>SMALL(SimData!$C$9:$C$508,401)</f>
        <v>#NUM!</v>
      </c>
      <c r="O909">
        <f>1/(COUNT(SimData!$C$9:$C$508)-1)+$O$908</f>
        <v>4.0404040404040149</v>
      </c>
      <c r="P909" t="e">
        <f>SMALL(SimData!$D$9:$D$508,401)</f>
        <v>#NUM!</v>
      </c>
      <c r="Q909">
        <f>1/(COUNT(SimData!$D$9:$D$508)-1)+$Q$908</f>
        <v>4.0404040404040149</v>
      </c>
    </row>
    <row r="910" spans="12:17">
      <c r="L910" t="e">
        <f>SMALL(SimData!$B$9:$B$508,402)</f>
        <v>#NUM!</v>
      </c>
      <c r="M910">
        <f>1/(COUNT(SimData!$B$9:$B$508)-1)+$M$909</f>
        <v>4.0505050505050253</v>
      </c>
      <c r="N910" t="e">
        <f>SMALL(SimData!$C$9:$C$508,402)</f>
        <v>#NUM!</v>
      </c>
      <c r="O910">
        <f>1/(COUNT(SimData!$C$9:$C$508)-1)+$O$909</f>
        <v>4.0505050505050253</v>
      </c>
      <c r="P910" t="e">
        <f>SMALL(SimData!$D$9:$D$508,402)</f>
        <v>#NUM!</v>
      </c>
      <c r="Q910">
        <f>1/(COUNT(SimData!$D$9:$D$508)-1)+$Q$909</f>
        <v>4.0505050505050253</v>
      </c>
    </row>
    <row r="911" spans="12:17">
      <c r="L911" t="e">
        <f>SMALL(SimData!$B$9:$B$508,403)</f>
        <v>#NUM!</v>
      </c>
      <c r="M911">
        <f>1/(COUNT(SimData!$B$9:$B$508)-1)+$M$910</f>
        <v>4.0606060606060357</v>
      </c>
      <c r="N911" t="e">
        <f>SMALL(SimData!$C$9:$C$508,403)</f>
        <v>#NUM!</v>
      </c>
      <c r="O911">
        <f>1/(COUNT(SimData!$C$9:$C$508)-1)+$O$910</f>
        <v>4.0606060606060357</v>
      </c>
      <c r="P911" t="e">
        <f>SMALL(SimData!$D$9:$D$508,403)</f>
        <v>#NUM!</v>
      </c>
      <c r="Q911">
        <f>1/(COUNT(SimData!$D$9:$D$508)-1)+$Q$910</f>
        <v>4.0606060606060357</v>
      </c>
    </row>
    <row r="912" spans="12:17">
      <c r="L912" t="e">
        <f>SMALL(SimData!$B$9:$B$508,404)</f>
        <v>#NUM!</v>
      </c>
      <c r="M912">
        <f>1/(COUNT(SimData!$B$9:$B$508)-1)+$M$911</f>
        <v>4.0707070707070461</v>
      </c>
      <c r="N912" t="e">
        <f>SMALL(SimData!$C$9:$C$508,404)</f>
        <v>#NUM!</v>
      </c>
      <c r="O912">
        <f>1/(COUNT(SimData!$C$9:$C$508)-1)+$O$911</f>
        <v>4.0707070707070461</v>
      </c>
      <c r="P912" t="e">
        <f>SMALL(SimData!$D$9:$D$508,404)</f>
        <v>#NUM!</v>
      </c>
      <c r="Q912">
        <f>1/(COUNT(SimData!$D$9:$D$508)-1)+$Q$911</f>
        <v>4.0707070707070461</v>
      </c>
    </row>
    <row r="913" spans="12:17">
      <c r="L913" t="e">
        <f>SMALL(SimData!$B$9:$B$508,405)</f>
        <v>#NUM!</v>
      </c>
      <c r="M913">
        <f>1/(COUNT(SimData!$B$9:$B$508)-1)+$M$912</f>
        <v>4.0808080808080565</v>
      </c>
      <c r="N913" t="e">
        <f>SMALL(SimData!$C$9:$C$508,405)</f>
        <v>#NUM!</v>
      </c>
      <c r="O913">
        <f>1/(COUNT(SimData!$C$9:$C$508)-1)+$O$912</f>
        <v>4.0808080808080565</v>
      </c>
      <c r="P913" t="e">
        <f>SMALL(SimData!$D$9:$D$508,405)</f>
        <v>#NUM!</v>
      </c>
      <c r="Q913">
        <f>1/(COUNT(SimData!$D$9:$D$508)-1)+$Q$912</f>
        <v>4.0808080808080565</v>
      </c>
    </row>
    <row r="914" spans="12:17">
      <c r="L914" t="e">
        <f>SMALL(SimData!$B$9:$B$508,406)</f>
        <v>#NUM!</v>
      </c>
      <c r="M914">
        <f>1/(COUNT(SimData!$B$9:$B$508)-1)+$M$913</f>
        <v>4.0909090909090668</v>
      </c>
      <c r="N914" t="e">
        <f>SMALL(SimData!$C$9:$C$508,406)</f>
        <v>#NUM!</v>
      </c>
      <c r="O914">
        <f>1/(COUNT(SimData!$C$9:$C$508)-1)+$O$913</f>
        <v>4.0909090909090668</v>
      </c>
      <c r="P914" t="e">
        <f>SMALL(SimData!$D$9:$D$508,406)</f>
        <v>#NUM!</v>
      </c>
      <c r="Q914">
        <f>1/(COUNT(SimData!$D$9:$D$508)-1)+$Q$913</f>
        <v>4.0909090909090668</v>
      </c>
    </row>
    <row r="915" spans="12:17">
      <c r="L915" t="e">
        <f>SMALL(SimData!$B$9:$B$508,407)</f>
        <v>#NUM!</v>
      </c>
      <c r="M915">
        <f>1/(COUNT(SimData!$B$9:$B$508)-1)+$M$914</f>
        <v>4.1010101010100772</v>
      </c>
      <c r="N915" t="e">
        <f>SMALL(SimData!$C$9:$C$508,407)</f>
        <v>#NUM!</v>
      </c>
      <c r="O915">
        <f>1/(COUNT(SimData!$C$9:$C$508)-1)+$O$914</f>
        <v>4.1010101010100772</v>
      </c>
      <c r="P915" t="e">
        <f>SMALL(SimData!$D$9:$D$508,407)</f>
        <v>#NUM!</v>
      </c>
      <c r="Q915">
        <f>1/(COUNT(SimData!$D$9:$D$508)-1)+$Q$914</f>
        <v>4.1010101010100772</v>
      </c>
    </row>
    <row r="916" spans="12:17">
      <c r="L916" t="e">
        <f>SMALL(SimData!$B$9:$B$508,408)</f>
        <v>#NUM!</v>
      </c>
      <c r="M916">
        <f>1/(COUNT(SimData!$B$9:$B$508)-1)+$M$915</f>
        <v>4.1111111111110876</v>
      </c>
      <c r="N916" t="e">
        <f>SMALL(SimData!$C$9:$C$508,408)</f>
        <v>#NUM!</v>
      </c>
      <c r="O916">
        <f>1/(COUNT(SimData!$C$9:$C$508)-1)+$O$915</f>
        <v>4.1111111111110876</v>
      </c>
      <c r="P916" t="e">
        <f>SMALL(SimData!$D$9:$D$508,408)</f>
        <v>#NUM!</v>
      </c>
      <c r="Q916">
        <f>1/(COUNT(SimData!$D$9:$D$508)-1)+$Q$915</f>
        <v>4.1111111111110876</v>
      </c>
    </row>
    <row r="917" spans="12:17">
      <c r="L917" t="e">
        <f>SMALL(SimData!$B$9:$B$508,409)</f>
        <v>#NUM!</v>
      </c>
      <c r="M917">
        <f>1/(COUNT(SimData!$B$9:$B$508)-1)+$M$916</f>
        <v>4.121212121212098</v>
      </c>
      <c r="N917" t="e">
        <f>SMALL(SimData!$C$9:$C$508,409)</f>
        <v>#NUM!</v>
      </c>
      <c r="O917">
        <f>1/(COUNT(SimData!$C$9:$C$508)-1)+$O$916</f>
        <v>4.121212121212098</v>
      </c>
      <c r="P917" t="e">
        <f>SMALL(SimData!$D$9:$D$508,409)</f>
        <v>#NUM!</v>
      </c>
      <c r="Q917">
        <f>1/(COUNT(SimData!$D$9:$D$508)-1)+$Q$916</f>
        <v>4.121212121212098</v>
      </c>
    </row>
    <row r="918" spans="12:17">
      <c r="L918" t="e">
        <f>SMALL(SimData!$B$9:$B$508,410)</f>
        <v>#NUM!</v>
      </c>
      <c r="M918">
        <f>1/(COUNT(SimData!$B$9:$B$508)-1)+$M$917</f>
        <v>4.1313131313131084</v>
      </c>
      <c r="N918" t="e">
        <f>SMALL(SimData!$C$9:$C$508,410)</f>
        <v>#NUM!</v>
      </c>
      <c r="O918">
        <f>1/(COUNT(SimData!$C$9:$C$508)-1)+$O$917</f>
        <v>4.1313131313131084</v>
      </c>
      <c r="P918" t="e">
        <f>SMALL(SimData!$D$9:$D$508,410)</f>
        <v>#NUM!</v>
      </c>
      <c r="Q918">
        <f>1/(COUNT(SimData!$D$9:$D$508)-1)+$Q$917</f>
        <v>4.1313131313131084</v>
      </c>
    </row>
    <row r="919" spans="12:17">
      <c r="L919" t="e">
        <f>SMALL(SimData!$B$9:$B$508,411)</f>
        <v>#NUM!</v>
      </c>
      <c r="M919">
        <f>1/(COUNT(SimData!$B$9:$B$508)-1)+$M$918</f>
        <v>4.1414141414141188</v>
      </c>
      <c r="N919" t="e">
        <f>SMALL(SimData!$C$9:$C$508,411)</f>
        <v>#NUM!</v>
      </c>
      <c r="O919">
        <f>1/(COUNT(SimData!$C$9:$C$508)-1)+$O$918</f>
        <v>4.1414141414141188</v>
      </c>
      <c r="P919" t="e">
        <f>SMALL(SimData!$D$9:$D$508,411)</f>
        <v>#NUM!</v>
      </c>
      <c r="Q919">
        <f>1/(COUNT(SimData!$D$9:$D$508)-1)+$Q$918</f>
        <v>4.1414141414141188</v>
      </c>
    </row>
    <row r="920" spans="12:17">
      <c r="L920" t="e">
        <f>SMALL(SimData!$B$9:$B$508,412)</f>
        <v>#NUM!</v>
      </c>
      <c r="M920">
        <f>1/(COUNT(SimData!$B$9:$B$508)-1)+$M$919</f>
        <v>4.1515151515151292</v>
      </c>
      <c r="N920" t="e">
        <f>SMALL(SimData!$C$9:$C$508,412)</f>
        <v>#NUM!</v>
      </c>
      <c r="O920">
        <f>1/(COUNT(SimData!$C$9:$C$508)-1)+$O$919</f>
        <v>4.1515151515151292</v>
      </c>
      <c r="P920" t="e">
        <f>SMALL(SimData!$D$9:$D$508,412)</f>
        <v>#NUM!</v>
      </c>
      <c r="Q920">
        <f>1/(COUNT(SimData!$D$9:$D$508)-1)+$Q$919</f>
        <v>4.1515151515151292</v>
      </c>
    </row>
    <row r="921" spans="12:17">
      <c r="L921" t="e">
        <f>SMALL(SimData!$B$9:$B$508,413)</f>
        <v>#NUM!</v>
      </c>
      <c r="M921">
        <f>1/(COUNT(SimData!$B$9:$B$508)-1)+$M$920</f>
        <v>4.1616161616161396</v>
      </c>
      <c r="N921" t="e">
        <f>SMALL(SimData!$C$9:$C$508,413)</f>
        <v>#NUM!</v>
      </c>
      <c r="O921">
        <f>1/(COUNT(SimData!$C$9:$C$508)-1)+$O$920</f>
        <v>4.1616161616161396</v>
      </c>
      <c r="P921" t="e">
        <f>SMALL(SimData!$D$9:$D$508,413)</f>
        <v>#NUM!</v>
      </c>
      <c r="Q921">
        <f>1/(COUNT(SimData!$D$9:$D$508)-1)+$Q$920</f>
        <v>4.1616161616161396</v>
      </c>
    </row>
    <row r="922" spans="12:17">
      <c r="L922" t="e">
        <f>SMALL(SimData!$B$9:$B$508,414)</f>
        <v>#NUM!</v>
      </c>
      <c r="M922">
        <f>1/(COUNT(SimData!$B$9:$B$508)-1)+$M$921</f>
        <v>4.17171717171715</v>
      </c>
      <c r="N922" t="e">
        <f>SMALL(SimData!$C$9:$C$508,414)</f>
        <v>#NUM!</v>
      </c>
      <c r="O922">
        <f>1/(COUNT(SimData!$C$9:$C$508)-1)+$O$921</f>
        <v>4.17171717171715</v>
      </c>
      <c r="P922" t="e">
        <f>SMALL(SimData!$D$9:$D$508,414)</f>
        <v>#NUM!</v>
      </c>
      <c r="Q922">
        <f>1/(COUNT(SimData!$D$9:$D$508)-1)+$Q$921</f>
        <v>4.17171717171715</v>
      </c>
    </row>
    <row r="923" spans="12:17">
      <c r="L923" t="e">
        <f>SMALL(SimData!$B$9:$B$508,415)</f>
        <v>#NUM!</v>
      </c>
      <c r="M923">
        <f>1/(COUNT(SimData!$B$9:$B$508)-1)+$M$922</f>
        <v>4.1818181818181603</v>
      </c>
      <c r="N923" t="e">
        <f>SMALL(SimData!$C$9:$C$508,415)</f>
        <v>#NUM!</v>
      </c>
      <c r="O923">
        <f>1/(COUNT(SimData!$C$9:$C$508)-1)+$O$922</f>
        <v>4.1818181818181603</v>
      </c>
      <c r="P923" t="e">
        <f>SMALL(SimData!$D$9:$D$508,415)</f>
        <v>#NUM!</v>
      </c>
      <c r="Q923">
        <f>1/(COUNT(SimData!$D$9:$D$508)-1)+$Q$922</f>
        <v>4.1818181818181603</v>
      </c>
    </row>
    <row r="924" spans="12:17">
      <c r="L924" t="e">
        <f>SMALL(SimData!$B$9:$B$508,416)</f>
        <v>#NUM!</v>
      </c>
      <c r="M924">
        <f>1/(COUNT(SimData!$B$9:$B$508)-1)+$M$923</f>
        <v>4.1919191919191707</v>
      </c>
      <c r="N924" t="e">
        <f>SMALL(SimData!$C$9:$C$508,416)</f>
        <v>#NUM!</v>
      </c>
      <c r="O924">
        <f>1/(COUNT(SimData!$C$9:$C$508)-1)+$O$923</f>
        <v>4.1919191919191707</v>
      </c>
      <c r="P924" t="e">
        <f>SMALL(SimData!$D$9:$D$508,416)</f>
        <v>#NUM!</v>
      </c>
      <c r="Q924">
        <f>1/(COUNT(SimData!$D$9:$D$508)-1)+$Q$923</f>
        <v>4.1919191919191707</v>
      </c>
    </row>
    <row r="925" spans="12:17">
      <c r="L925" t="e">
        <f>SMALL(SimData!$B$9:$B$508,417)</f>
        <v>#NUM!</v>
      </c>
      <c r="M925">
        <f>1/(COUNT(SimData!$B$9:$B$508)-1)+$M$924</f>
        <v>4.2020202020201811</v>
      </c>
      <c r="N925" t="e">
        <f>SMALL(SimData!$C$9:$C$508,417)</f>
        <v>#NUM!</v>
      </c>
      <c r="O925">
        <f>1/(COUNT(SimData!$C$9:$C$508)-1)+$O$924</f>
        <v>4.2020202020201811</v>
      </c>
      <c r="P925" t="e">
        <f>SMALL(SimData!$D$9:$D$508,417)</f>
        <v>#NUM!</v>
      </c>
      <c r="Q925">
        <f>1/(COUNT(SimData!$D$9:$D$508)-1)+$Q$924</f>
        <v>4.2020202020201811</v>
      </c>
    </row>
    <row r="926" spans="12:17">
      <c r="L926" t="e">
        <f>SMALL(SimData!$B$9:$B$508,418)</f>
        <v>#NUM!</v>
      </c>
      <c r="M926">
        <f>1/(COUNT(SimData!$B$9:$B$508)-1)+$M$925</f>
        <v>4.2121212121211915</v>
      </c>
      <c r="N926" t="e">
        <f>SMALL(SimData!$C$9:$C$508,418)</f>
        <v>#NUM!</v>
      </c>
      <c r="O926">
        <f>1/(COUNT(SimData!$C$9:$C$508)-1)+$O$925</f>
        <v>4.2121212121211915</v>
      </c>
      <c r="P926" t="e">
        <f>SMALL(SimData!$D$9:$D$508,418)</f>
        <v>#NUM!</v>
      </c>
      <c r="Q926">
        <f>1/(COUNT(SimData!$D$9:$D$508)-1)+$Q$925</f>
        <v>4.2121212121211915</v>
      </c>
    </row>
    <row r="927" spans="12:17">
      <c r="L927" t="e">
        <f>SMALL(SimData!$B$9:$B$508,419)</f>
        <v>#NUM!</v>
      </c>
      <c r="M927">
        <f>1/(COUNT(SimData!$B$9:$B$508)-1)+$M$926</f>
        <v>4.2222222222222019</v>
      </c>
      <c r="N927" t="e">
        <f>SMALL(SimData!$C$9:$C$508,419)</f>
        <v>#NUM!</v>
      </c>
      <c r="O927">
        <f>1/(COUNT(SimData!$C$9:$C$508)-1)+$O$926</f>
        <v>4.2222222222222019</v>
      </c>
      <c r="P927" t="e">
        <f>SMALL(SimData!$D$9:$D$508,419)</f>
        <v>#NUM!</v>
      </c>
      <c r="Q927">
        <f>1/(COUNT(SimData!$D$9:$D$508)-1)+$Q$926</f>
        <v>4.2222222222222019</v>
      </c>
    </row>
    <row r="928" spans="12:17">
      <c r="L928" t="e">
        <f>SMALL(SimData!$B$9:$B$508,420)</f>
        <v>#NUM!</v>
      </c>
      <c r="M928">
        <f>1/(COUNT(SimData!$B$9:$B$508)-1)+$M$927</f>
        <v>4.2323232323232123</v>
      </c>
      <c r="N928" t="e">
        <f>SMALL(SimData!$C$9:$C$508,420)</f>
        <v>#NUM!</v>
      </c>
      <c r="O928">
        <f>1/(COUNT(SimData!$C$9:$C$508)-1)+$O$927</f>
        <v>4.2323232323232123</v>
      </c>
      <c r="P928" t="e">
        <f>SMALL(SimData!$D$9:$D$508,420)</f>
        <v>#NUM!</v>
      </c>
      <c r="Q928">
        <f>1/(COUNT(SimData!$D$9:$D$508)-1)+$Q$927</f>
        <v>4.2323232323232123</v>
      </c>
    </row>
    <row r="929" spans="12:17">
      <c r="L929" t="e">
        <f>SMALL(SimData!$B$9:$B$508,421)</f>
        <v>#NUM!</v>
      </c>
      <c r="M929">
        <f>1/(COUNT(SimData!$B$9:$B$508)-1)+$M$928</f>
        <v>4.2424242424242227</v>
      </c>
      <c r="N929" t="e">
        <f>SMALL(SimData!$C$9:$C$508,421)</f>
        <v>#NUM!</v>
      </c>
      <c r="O929">
        <f>1/(COUNT(SimData!$C$9:$C$508)-1)+$O$928</f>
        <v>4.2424242424242227</v>
      </c>
      <c r="P929" t="e">
        <f>SMALL(SimData!$D$9:$D$508,421)</f>
        <v>#NUM!</v>
      </c>
      <c r="Q929">
        <f>1/(COUNT(SimData!$D$9:$D$508)-1)+$Q$928</f>
        <v>4.2424242424242227</v>
      </c>
    </row>
    <row r="930" spans="12:17">
      <c r="L930" t="e">
        <f>SMALL(SimData!$B$9:$B$508,422)</f>
        <v>#NUM!</v>
      </c>
      <c r="M930">
        <f>1/(COUNT(SimData!$B$9:$B$508)-1)+$M$929</f>
        <v>4.2525252525252331</v>
      </c>
      <c r="N930" t="e">
        <f>SMALL(SimData!$C$9:$C$508,422)</f>
        <v>#NUM!</v>
      </c>
      <c r="O930">
        <f>1/(COUNT(SimData!$C$9:$C$508)-1)+$O$929</f>
        <v>4.2525252525252331</v>
      </c>
      <c r="P930" t="e">
        <f>SMALL(SimData!$D$9:$D$508,422)</f>
        <v>#NUM!</v>
      </c>
      <c r="Q930">
        <f>1/(COUNT(SimData!$D$9:$D$508)-1)+$Q$929</f>
        <v>4.2525252525252331</v>
      </c>
    </row>
    <row r="931" spans="12:17">
      <c r="L931" t="e">
        <f>SMALL(SimData!$B$9:$B$508,423)</f>
        <v>#NUM!</v>
      </c>
      <c r="M931">
        <f>1/(COUNT(SimData!$B$9:$B$508)-1)+$M$930</f>
        <v>4.2626262626262434</v>
      </c>
      <c r="N931" t="e">
        <f>SMALL(SimData!$C$9:$C$508,423)</f>
        <v>#NUM!</v>
      </c>
      <c r="O931">
        <f>1/(COUNT(SimData!$C$9:$C$508)-1)+$O$930</f>
        <v>4.2626262626262434</v>
      </c>
      <c r="P931" t="e">
        <f>SMALL(SimData!$D$9:$D$508,423)</f>
        <v>#NUM!</v>
      </c>
      <c r="Q931">
        <f>1/(COUNT(SimData!$D$9:$D$508)-1)+$Q$930</f>
        <v>4.2626262626262434</v>
      </c>
    </row>
    <row r="932" spans="12:17">
      <c r="L932" t="e">
        <f>SMALL(SimData!$B$9:$B$508,424)</f>
        <v>#NUM!</v>
      </c>
      <c r="M932">
        <f>1/(COUNT(SimData!$B$9:$B$508)-1)+$M$931</f>
        <v>4.2727272727272538</v>
      </c>
      <c r="N932" t="e">
        <f>SMALL(SimData!$C$9:$C$508,424)</f>
        <v>#NUM!</v>
      </c>
      <c r="O932">
        <f>1/(COUNT(SimData!$C$9:$C$508)-1)+$O$931</f>
        <v>4.2727272727272538</v>
      </c>
      <c r="P932" t="e">
        <f>SMALL(SimData!$D$9:$D$508,424)</f>
        <v>#NUM!</v>
      </c>
      <c r="Q932">
        <f>1/(COUNT(SimData!$D$9:$D$508)-1)+$Q$931</f>
        <v>4.2727272727272538</v>
      </c>
    </row>
    <row r="933" spans="12:17">
      <c r="L933" t="e">
        <f>SMALL(SimData!$B$9:$B$508,425)</f>
        <v>#NUM!</v>
      </c>
      <c r="M933">
        <f>1/(COUNT(SimData!$B$9:$B$508)-1)+$M$932</f>
        <v>4.2828282828282642</v>
      </c>
      <c r="N933" t="e">
        <f>SMALL(SimData!$C$9:$C$508,425)</f>
        <v>#NUM!</v>
      </c>
      <c r="O933">
        <f>1/(COUNT(SimData!$C$9:$C$508)-1)+$O$932</f>
        <v>4.2828282828282642</v>
      </c>
      <c r="P933" t="e">
        <f>SMALL(SimData!$D$9:$D$508,425)</f>
        <v>#NUM!</v>
      </c>
      <c r="Q933">
        <f>1/(COUNT(SimData!$D$9:$D$508)-1)+$Q$932</f>
        <v>4.2828282828282642</v>
      </c>
    </row>
    <row r="934" spans="12:17">
      <c r="L934" t="e">
        <f>SMALL(SimData!$B$9:$B$508,426)</f>
        <v>#NUM!</v>
      </c>
      <c r="M934">
        <f>1/(COUNT(SimData!$B$9:$B$508)-1)+$M$933</f>
        <v>4.2929292929292746</v>
      </c>
      <c r="N934" t="e">
        <f>SMALL(SimData!$C$9:$C$508,426)</f>
        <v>#NUM!</v>
      </c>
      <c r="O934">
        <f>1/(COUNT(SimData!$C$9:$C$508)-1)+$O$933</f>
        <v>4.2929292929292746</v>
      </c>
      <c r="P934" t="e">
        <f>SMALL(SimData!$D$9:$D$508,426)</f>
        <v>#NUM!</v>
      </c>
      <c r="Q934">
        <f>1/(COUNT(SimData!$D$9:$D$508)-1)+$Q$933</f>
        <v>4.2929292929292746</v>
      </c>
    </row>
    <row r="935" spans="12:17">
      <c r="L935" t="e">
        <f>SMALL(SimData!$B$9:$B$508,427)</f>
        <v>#NUM!</v>
      </c>
      <c r="M935">
        <f>1/(COUNT(SimData!$B$9:$B$508)-1)+$M$934</f>
        <v>4.303030303030285</v>
      </c>
      <c r="N935" t="e">
        <f>SMALL(SimData!$C$9:$C$508,427)</f>
        <v>#NUM!</v>
      </c>
      <c r="O935">
        <f>1/(COUNT(SimData!$C$9:$C$508)-1)+$O$934</f>
        <v>4.303030303030285</v>
      </c>
      <c r="P935" t="e">
        <f>SMALL(SimData!$D$9:$D$508,427)</f>
        <v>#NUM!</v>
      </c>
      <c r="Q935">
        <f>1/(COUNT(SimData!$D$9:$D$508)-1)+$Q$934</f>
        <v>4.303030303030285</v>
      </c>
    </row>
    <row r="936" spans="12:17">
      <c r="L936" t="e">
        <f>SMALL(SimData!$B$9:$B$508,428)</f>
        <v>#NUM!</v>
      </c>
      <c r="M936">
        <f>1/(COUNT(SimData!$B$9:$B$508)-1)+$M$935</f>
        <v>4.3131313131312954</v>
      </c>
      <c r="N936" t="e">
        <f>SMALL(SimData!$C$9:$C$508,428)</f>
        <v>#NUM!</v>
      </c>
      <c r="O936">
        <f>1/(COUNT(SimData!$C$9:$C$508)-1)+$O$935</f>
        <v>4.3131313131312954</v>
      </c>
      <c r="P936" t="e">
        <f>SMALL(SimData!$D$9:$D$508,428)</f>
        <v>#NUM!</v>
      </c>
      <c r="Q936">
        <f>1/(COUNT(SimData!$D$9:$D$508)-1)+$Q$935</f>
        <v>4.3131313131312954</v>
      </c>
    </row>
    <row r="937" spans="12:17">
      <c r="L937" t="e">
        <f>SMALL(SimData!$B$9:$B$508,429)</f>
        <v>#NUM!</v>
      </c>
      <c r="M937">
        <f>1/(COUNT(SimData!$B$9:$B$508)-1)+$M$936</f>
        <v>4.3232323232323058</v>
      </c>
      <c r="N937" t="e">
        <f>SMALL(SimData!$C$9:$C$508,429)</f>
        <v>#NUM!</v>
      </c>
      <c r="O937">
        <f>1/(COUNT(SimData!$C$9:$C$508)-1)+$O$936</f>
        <v>4.3232323232323058</v>
      </c>
      <c r="P937" t="e">
        <f>SMALL(SimData!$D$9:$D$508,429)</f>
        <v>#NUM!</v>
      </c>
      <c r="Q937">
        <f>1/(COUNT(SimData!$D$9:$D$508)-1)+$Q$936</f>
        <v>4.3232323232323058</v>
      </c>
    </row>
    <row r="938" spans="12:17">
      <c r="L938" t="e">
        <f>SMALL(SimData!$B$9:$B$508,430)</f>
        <v>#NUM!</v>
      </c>
      <c r="M938">
        <f>1/(COUNT(SimData!$B$9:$B$508)-1)+$M$937</f>
        <v>4.3333333333333162</v>
      </c>
      <c r="N938" t="e">
        <f>SMALL(SimData!$C$9:$C$508,430)</f>
        <v>#NUM!</v>
      </c>
      <c r="O938">
        <f>1/(COUNT(SimData!$C$9:$C$508)-1)+$O$937</f>
        <v>4.3333333333333162</v>
      </c>
      <c r="P938" t="e">
        <f>SMALL(SimData!$D$9:$D$508,430)</f>
        <v>#NUM!</v>
      </c>
      <c r="Q938">
        <f>1/(COUNT(SimData!$D$9:$D$508)-1)+$Q$937</f>
        <v>4.3333333333333162</v>
      </c>
    </row>
    <row r="939" spans="12:17">
      <c r="L939" t="e">
        <f>SMALL(SimData!$B$9:$B$508,431)</f>
        <v>#NUM!</v>
      </c>
      <c r="M939">
        <f>1/(COUNT(SimData!$B$9:$B$508)-1)+$M$938</f>
        <v>4.3434343434343265</v>
      </c>
      <c r="N939" t="e">
        <f>SMALL(SimData!$C$9:$C$508,431)</f>
        <v>#NUM!</v>
      </c>
      <c r="O939">
        <f>1/(COUNT(SimData!$C$9:$C$508)-1)+$O$938</f>
        <v>4.3434343434343265</v>
      </c>
      <c r="P939" t="e">
        <f>SMALL(SimData!$D$9:$D$508,431)</f>
        <v>#NUM!</v>
      </c>
      <c r="Q939">
        <f>1/(COUNT(SimData!$D$9:$D$508)-1)+$Q$938</f>
        <v>4.3434343434343265</v>
      </c>
    </row>
    <row r="940" spans="12:17">
      <c r="L940" t="e">
        <f>SMALL(SimData!$B$9:$B$508,432)</f>
        <v>#NUM!</v>
      </c>
      <c r="M940">
        <f>1/(COUNT(SimData!$B$9:$B$508)-1)+$M$939</f>
        <v>4.3535353535353369</v>
      </c>
      <c r="N940" t="e">
        <f>SMALL(SimData!$C$9:$C$508,432)</f>
        <v>#NUM!</v>
      </c>
      <c r="O940">
        <f>1/(COUNT(SimData!$C$9:$C$508)-1)+$O$939</f>
        <v>4.3535353535353369</v>
      </c>
      <c r="P940" t="e">
        <f>SMALL(SimData!$D$9:$D$508,432)</f>
        <v>#NUM!</v>
      </c>
      <c r="Q940">
        <f>1/(COUNT(SimData!$D$9:$D$508)-1)+$Q$939</f>
        <v>4.3535353535353369</v>
      </c>
    </row>
    <row r="941" spans="12:17">
      <c r="L941" t="e">
        <f>SMALL(SimData!$B$9:$B$508,433)</f>
        <v>#NUM!</v>
      </c>
      <c r="M941">
        <f>1/(COUNT(SimData!$B$9:$B$508)-1)+$M$940</f>
        <v>4.3636363636363473</v>
      </c>
      <c r="N941" t="e">
        <f>SMALL(SimData!$C$9:$C$508,433)</f>
        <v>#NUM!</v>
      </c>
      <c r="O941">
        <f>1/(COUNT(SimData!$C$9:$C$508)-1)+$O$940</f>
        <v>4.3636363636363473</v>
      </c>
      <c r="P941" t="e">
        <f>SMALL(SimData!$D$9:$D$508,433)</f>
        <v>#NUM!</v>
      </c>
      <c r="Q941">
        <f>1/(COUNT(SimData!$D$9:$D$508)-1)+$Q$940</f>
        <v>4.3636363636363473</v>
      </c>
    </row>
    <row r="942" spans="12:17">
      <c r="L942" t="e">
        <f>SMALL(SimData!$B$9:$B$508,434)</f>
        <v>#NUM!</v>
      </c>
      <c r="M942">
        <f>1/(COUNT(SimData!$B$9:$B$508)-1)+$M$941</f>
        <v>4.3737373737373577</v>
      </c>
      <c r="N942" t="e">
        <f>SMALL(SimData!$C$9:$C$508,434)</f>
        <v>#NUM!</v>
      </c>
      <c r="O942">
        <f>1/(COUNT(SimData!$C$9:$C$508)-1)+$O$941</f>
        <v>4.3737373737373577</v>
      </c>
      <c r="P942" t="e">
        <f>SMALL(SimData!$D$9:$D$508,434)</f>
        <v>#NUM!</v>
      </c>
      <c r="Q942">
        <f>1/(COUNT(SimData!$D$9:$D$508)-1)+$Q$941</f>
        <v>4.3737373737373577</v>
      </c>
    </row>
    <row r="943" spans="12:17">
      <c r="L943" t="e">
        <f>SMALL(SimData!$B$9:$B$508,435)</f>
        <v>#NUM!</v>
      </c>
      <c r="M943">
        <f>1/(COUNT(SimData!$B$9:$B$508)-1)+$M$942</f>
        <v>4.3838383838383681</v>
      </c>
      <c r="N943" t="e">
        <f>SMALL(SimData!$C$9:$C$508,435)</f>
        <v>#NUM!</v>
      </c>
      <c r="O943">
        <f>1/(COUNT(SimData!$C$9:$C$508)-1)+$O$942</f>
        <v>4.3838383838383681</v>
      </c>
      <c r="P943" t="e">
        <f>SMALL(SimData!$D$9:$D$508,435)</f>
        <v>#NUM!</v>
      </c>
      <c r="Q943">
        <f>1/(COUNT(SimData!$D$9:$D$508)-1)+$Q$942</f>
        <v>4.3838383838383681</v>
      </c>
    </row>
    <row r="944" spans="12:17">
      <c r="L944" t="e">
        <f>SMALL(SimData!$B$9:$B$508,436)</f>
        <v>#NUM!</v>
      </c>
      <c r="M944">
        <f>1/(COUNT(SimData!$B$9:$B$508)-1)+$M$943</f>
        <v>4.3939393939393785</v>
      </c>
      <c r="N944" t="e">
        <f>SMALL(SimData!$C$9:$C$508,436)</f>
        <v>#NUM!</v>
      </c>
      <c r="O944">
        <f>1/(COUNT(SimData!$C$9:$C$508)-1)+$O$943</f>
        <v>4.3939393939393785</v>
      </c>
      <c r="P944" t="e">
        <f>SMALL(SimData!$D$9:$D$508,436)</f>
        <v>#NUM!</v>
      </c>
      <c r="Q944">
        <f>1/(COUNT(SimData!$D$9:$D$508)-1)+$Q$943</f>
        <v>4.3939393939393785</v>
      </c>
    </row>
    <row r="945" spans="12:17">
      <c r="L945" t="e">
        <f>SMALL(SimData!$B$9:$B$508,437)</f>
        <v>#NUM!</v>
      </c>
      <c r="M945">
        <f>1/(COUNT(SimData!$B$9:$B$508)-1)+$M$944</f>
        <v>4.4040404040403889</v>
      </c>
      <c r="N945" t="e">
        <f>SMALL(SimData!$C$9:$C$508,437)</f>
        <v>#NUM!</v>
      </c>
      <c r="O945">
        <f>1/(COUNT(SimData!$C$9:$C$508)-1)+$O$944</f>
        <v>4.4040404040403889</v>
      </c>
      <c r="P945" t="e">
        <f>SMALL(SimData!$D$9:$D$508,437)</f>
        <v>#NUM!</v>
      </c>
      <c r="Q945">
        <f>1/(COUNT(SimData!$D$9:$D$508)-1)+$Q$944</f>
        <v>4.4040404040403889</v>
      </c>
    </row>
    <row r="946" spans="12:17">
      <c r="L946" t="e">
        <f>SMALL(SimData!$B$9:$B$508,438)</f>
        <v>#NUM!</v>
      </c>
      <c r="M946">
        <f>1/(COUNT(SimData!$B$9:$B$508)-1)+$M$945</f>
        <v>4.4141414141413993</v>
      </c>
      <c r="N946" t="e">
        <f>SMALL(SimData!$C$9:$C$508,438)</f>
        <v>#NUM!</v>
      </c>
      <c r="O946">
        <f>1/(COUNT(SimData!$C$9:$C$508)-1)+$O$945</f>
        <v>4.4141414141413993</v>
      </c>
      <c r="P946" t="e">
        <f>SMALL(SimData!$D$9:$D$508,438)</f>
        <v>#NUM!</v>
      </c>
      <c r="Q946">
        <f>1/(COUNT(SimData!$D$9:$D$508)-1)+$Q$945</f>
        <v>4.4141414141413993</v>
      </c>
    </row>
    <row r="947" spans="12:17">
      <c r="L947" t="e">
        <f>SMALL(SimData!$B$9:$B$508,439)</f>
        <v>#NUM!</v>
      </c>
      <c r="M947">
        <f>1/(COUNT(SimData!$B$9:$B$508)-1)+$M$946</f>
        <v>4.4242424242424097</v>
      </c>
      <c r="N947" t="e">
        <f>SMALL(SimData!$C$9:$C$508,439)</f>
        <v>#NUM!</v>
      </c>
      <c r="O947">
        <f>1/(COUNT(SimData!$C$9:$C$508)-1)+$O$946</f>
        <v>4.4242424242424097</v>
      </c>
      <c r="P947" t="e">
        <f>SMALL(SimData!$D$9:$D$508,439)</f>
        <v>#NUM!</v>
      </c>
      <c r="Q947">
        <f>1/(COUNT(SimData!$D$9:$D$508)-1)+$Q$946</f>
        <v>4.4242424242424097</v>
      </c>
    </row>
    <row r="948" spans="12:17">
      <c r="L948" t="e">
        <f>SMALL(SimData!$B$9:$B$508,440)</f>
        <v>#NUM!</v>
      </c>
      <c r="M948">
        <f>1/(COUNT(SimData!$B$9:$B$508)-1)+$M$947</f>
        <v>4.43434343434342</v>
      </c>
      <c r="N948" t="e">
        <f>SMALL(SimData!$C$9:$C$508,440)</f>
        <v>#NUM!</v>
      </c>
      <c r="O948">
        <f>1/(COUNT(SimData!$C$9:$C$508)-1)+$O$947</f>
        <v>4.43434343434342</v>
      </c>
      <c r="P948" t="e">
        <f>SMALL(SimData!$D$9:$D$508,440)</f>
        <v>#NUM!</v>
      </c>
      <c r="Q948">
        <f>1/(COUNT(SimData!$D$9:$D$508)-1)+$Q$947</f>
        <v>4.43434343434342</v>
      </c>
    </row>
    <row r="949" spans="12:17">
      <c r="L949" t="e">
        <f>SMALL(SimData!$B$9:$B$508,441)</f>
        <v>#NUM!</v>
      </c>
      <c r="M949">
        <f>1/(COUNT(SimData!$B$9:$B$508)-1)+$M$948</f>
        <v>4.4444444444444304</v>
      </c>
      <c r="N949" t="e">
        <f>SMALL(SimData!$C$9:$C$508,441)</f>
        <v>#NUM!</v>
      </c>
      <c r="O949">
        <f>1/(COUNT(SimData!$C$9:$C$508)-1)+$O$948</f>
        <v>4.4444444444444304</v>
      </c>
      <c r="P949" t="e">
        <f>SMALL(SimData!$D$9:$D$508,441)</f>
        <v>#NUM!</v>
      </c>
      <c r="Q949">
        <f>1/(COUNT(SimData!$D$9:$D$508)-1)+$Q$948</f>
        <v>4.4444444444444304</v>
      </c>
    </row>
    <row r="950" spans="12:17">
      <c r="L950" t="e">
        <f>SMALL(SimData!$B$9:$B$508,442)</f>
        <v>#NUM!</v>
      </c>
      <c r="M950">
        <f>1/(COUNT(SimData!$B$9:$B$508)-1)+$M$949</f>
        <v>4.4545454545454408</v>
      </c>
      <c r="N950" t="e">
        <f>SMALL(SimData!$C$9:$C$508,442)</f>
        <v>#NUM!</v>
      </c>
      <c r="O950">
        <f>1/(COUNT(SimData!$C$9:$C$508)-1)+$O$949</f>
        <v>4.4545454545454408</v>
      </c>
      <c r="P950" t="e">
        <f>SMALL(SimData!$D$9:$D$508,442)</f>
        <v>#NUM!</v>
      </c>
      <c r="Q950">
        <f>1/(COUNT(SimData!$D$9:$D$508)-1)+$Q$949</f>
        <v>4.4545454545454408</v>
      </c>
    </row>
    <row r="951" spans="12:17">
      <c r="L951" t="e">
        <f>SMALL(SimData!$B$9:$B$508,443)</f>
        <v>#NUM!</v>
      </c>
      <c r="M951">
        <f>1/(COUNT(SimData!$B$9:$B$508)-1)+$M$950</f>
        <v>4.4646464646464512</v>
      </c>
      <c r="N951" t="e">
        <f>SMALL(SimData!$C$9:$C$508,443)</f>
        <v>#NUM!</v>
      </c>
      <c r="O951">
        <f>1/(COUNT(SimData!$C$9:$C$508)-1)+$O$950</f>
        <v>4.4646464646464512</v>
      </c>
      <c r="P951" t="e">
        <f>SMALL(SimData!$D$9:$D$508,443)</f>
        <v>#NUM!</v>
      </c>
      <c r="Q951">
        <f>1/(COUNT(SimData!$D$9:$D$508)-1)+$Q$950</f>
        <v>4.4646464646464512</v>
      </c>
    </row>
    <row r="952" spans="12:17">
      <c r="L952" t="e">
        <f>SMALL(SimData!$B$9:$B$508,444)</f>
        <v>#NUM!</v>
      </c>
      <c r="M952">
        <f>1/(COUNT(SimData!$B$9:$B$508)-1)+$M$951</f>
        <v>4.4747474747474616</v>
      </c>
      <c r="N952" t="e">
        <f>SMALL(SimData!$C$9:$C$508,444)</f>
        <v>#NUM!</v>
      </c>
      <c r="O952">
        <f>1/(COUNT(SimData!$C$9:$C$508)-1)+$O$951</f>
        <v>4.4747474747474616</v>
      </c>
      <c r="P952" t="e">
        <f>SMALL(SimData!$D$9:$D$508,444)</f>
        <v>#NUM!</v>
      </c>
      <c r="Q952">
        <f>1/(COUNT(SimData!$D$9:$D$508)-1)+$Q$951</f>
        <v>4.4747474747474616</v>
      </c>
    </row>
    <row r="953" spans="12:17">
      <c r="L953" t="e">
        <f>SMALL(SimData!$B$9:$B$508,445)</f>
        <v>#NUM!</v>
      </c>
      <c r="M953">
        <f>1/(COUNT(SimData!$B$9:$B$508)-1)+$M$952</f>
        <v>4.484848484848472</v>
      </c>
      <c r="N953" t="e">
        <f>SMALL(SimData!$C$9:$C$508,445)</f>
        <v>#NUM!</v>
      </c>
      <c r="O953">
        <f>1/(COUNT(SimData!$C$9:$C$508)-1)+$O$952</f>
        <v>4.484848484848472</v>
      </c>
      <c r="P953" t="e">
        <f>SMALL(SimData!$D$9:$D$508,445)</f>
        <v>#NUM!</v>
      </c>
      <c r="Q953">
        <f>1/(COUNT(SimData!$D$9:$D$508)-1)+$Q$952</f>
        <v>4.484848484848472</v>
      </c>
    </row>
    <row r="954" spans="12:17">
      <c r="L954" t="e">
        <f>SMALL(SimData!$B$9:$B$508,446)</f>
        <v>#NUM!</v>
      </c>
      <c r="M954">
        <f>1/(COUNT(SimData!$B$9:$B$508)-1)+$M$953</f>
        <v>4.4949494949494824</v>
      </c>
      <c r="N954" t="e">
        <f>SMALL(SimData!$C$9:$C$508,446)</f>
        <v>#NUM!</v>
      </c>
      <c r="O954">
        <f>1/(COUNT(SimData!$C$9:$C$508)-1)+$O$953</f>
        <v>4.4949494949494824</v>
      </c>
      <c r="P954" t="e">
        <f>SMALL(SimData!$D$9:$D$508,446)</f>
        <v>#NUM!</v>
      </c>
      <c r="Q954">
        <f>1/(COUNT(SimData!$D$9:$D$508)-1)+$Q$953</f>
        <v>4.4949494949494824</v>
      </c>
    </row>
    <row r="955" spans="12:17">
      <c r="L955" t="e">
        <f>SMALL(SimData!$B$9:$B$508,447)</f>
        <v>#NUM!</v>
      </c>
      <c r="M955">
        <f>1/(COUNT(SimData!$B$9:$B$508)-1)+$M$954</f>
        <v>4.5050505050504928</v>
      </c>
      <c r="N955" t="e">
        <f>SMALL(SimData!$C$9:$C$508,447)</f>
        <v>#NUM!</v>
      </c>
      <c r="O955">
        <f>1/(COUNT(SimData!$C$9:$C$508)-1)+$O$954</f>
        <v>4.5050505050504928</v>
      </c>
      <c r="P955" t="e">
        <f>SMALL(SimData!$D$9:$D$508,447)</f>
        <v>#NUM!</v>
      </c>
      <c r="Q955">
        <f>1/(COUNT(SimData!$D$9:$D$508)-1)+$Q$954</f>
        <v>4.5050505050504928</v>
      </c>
    </row>
    <row r="956" spans="12:17">
      <c r="L956" t="e">
        <f>SMALL(SimData!$B$9:$B$508,448)</f>
        <v>#NUM!</v>
      </c>
      <c r="M956">
        <f>1/(COUNT(SimData!$B$9:$B$508)-1)+$M$955</f>
        <v>4.5151515151515031</v>
      </c>
      <c r="N956" t="e">
        <f>SMALL(SimData!$C$9:$C$508,448)</f>
        <v>#NUM!</v>
      </c>
      <c r="O956">
        <f>1/(COUNT(SimData!$C$9:$C$508)-1)+$O$955</f>
        <v>4.5151515151515031</v>
      </c>
      <c r="P956" t="e">
        <f>SMALL(SimData!$D$9:$D$508,448)</f>
        <v>#NUM!</v>
      </c>
      <c r="Q956">
        <f>1/(COUNT(SimData!$D$9:$D$508)-1)+$Q$955</f>
        <v>4.5151515151515031</v>
      </c>
    </row>
    <row r="957" spans="12:17">
      <c r="L957" t="e">
        <f>SMALL(SimData!$B$9:$B$508,449)</f>
        <v>#NUM!</v>
      </c>
      <c r="M957">
        <f>1/(COUNT(SimData!$B$9:$B$508)-1)+$M$956</f>
        <v>4.5252525252525135</v>
      </c>
      <c r="N957" t="e">
        <f>SMALL(SimData!$C$9:$C$508,449)</f>
        <v>#NUM!</v>
      </c>
      <c r="O957">
        <f>1/(COUNT(SimData!$C$9:$C$508)-1)+$O$956</f>
        <v>4.5252525252525135</v>
      </c>
      <c r="P957" t="e">
        <f>SMALL(SimData!$D$9:$D$508,449)</f>
        <v>#NUM!</v>
      </c>
      <c r="Q957">
        <f>1/(COUNT(SimData!$D$9:$D$508)-1)+$Q$956</f>
        <v>4.5252525252525135</v>
      </c>
    </row>
    <row r="958" spans="12:17">
      <c r="L958" t="e">
        <f>SMALL(SimData!$B$9:$B$508,450)</f>
        <v>#NUM!</v>
      </c>
      <c r="M958">
        <f>1/(COUNT(SimData!$B$9:$B$508)-1)+$M$957</f>
        <v>4.5353535353535239</v>
      </c>
      <c r="N958" t="e">
        <f>SMALL(SimData!$C$9:$C$508,450)</f>
        <v>#NUM!</v>
      </c>
      <c r="O958">
        <f>1/(COUNT(SimData!$C$9:$C$508)-1)+$O$957</f>
        <v>4.5353535353535239</v>
      </c>
      <c r="P958" t="e">
        <f>SMALL(SimData!$D$9:$D$508,450)</f>
        <v>#NUM!</v>
      </c>
      <c r="Q958">
        <f>1/(COUNT(SimData!$D$9:$D$508)-1)+$Q$957</f>
        <v>4.5353535353535239</v>
      </c>
    </row>
    <row r="959" spans="12:17">
      <c r="L959" t="e">
        <f>SMALL(SimData!$B$9:$B$508,451)</f>
        <v>#NUM!</v>
      </c>
      <c r="M959">
        <f>1/(COUNT(SimData!$B$9:$B$508)-1)+$M$958</f>
        <v>4.5454545454545343</v>
      </c>
      <c r="N959" t="e">
        <f>SMALL(SimData!$C$9:$C$508,451)</f>
        <v>#NUM!</v>
      </c>
      <c r="O959">
        <f>1/(COUNT(SimData!$C$9:$C$508)-1)+$O$958</f>
        <v>4.5454545454545343</v>
      </c>
      <c r="P959" t="e">
        <f>SMALL(SimData!$D$9:$D$508,451)</f>
        <v>#NUM!</v>
      </c>
      <c r="Q959">
        <f>1/(COUNT(SimData!$D$9:$D$508)-1)+$Q$958</f>
        <v>4.5454545454545343</v>
      </c>
    </row>
    <row r="960" spans="12:17">
      <c r="L960" t="e">
        <f>SMALL(SimData!$B$9:$B$508,452)</f>
        <v>#NUM!</v>
      </c>
      <c r="M960">
        <f>1/(COUNT(SimData!$B$9:$B$508)-1)+$M$959</f>
        <v>4.5555555555555447</v>
      </c>
      <c r="N960" t="e">
        <f>SMALL(SimData!$C$9:$C$508,452)</f>
        <v>#NUM!</v>
      </c>
      <c r="O960">
        <f>1/(COUNT(SimData!$C$9:$C$508)-1)+$O$959</f>
        <v>4.5555555555555447</v>
      </c>
      <c r="P960" t="e">
        <f>SMALL(SimData!$D$9:$D$508,452)</f>
        <v>#NUM!</v>
      </c>
      <c r="Q960">
        <f>1/(COUNT(SimData!$D$9:$D$508)-1)+$Q$959</f>
        <v>4.5555555555555447</v>
      </c>
    </row>
    <row r="961" spans="12:17">
      <c r="L961" t="e">
        <f>SMALL(SimData!$B$9:$B$508,453)</f>
        <v>#NUM!</v>
      </c>
      <c r="M961">
        <f>1/(COUNT(SimData!$B$9:$B$508)-1)+$M$960</f>
        <v>4.5656565656565551</v>
      </c>
      <c r="N961" t="e">
        <f>SMALL(SimData!$C$9:$C$508,453)</f>
        <v>#NUM!</v>
      </c>
      <c r="O961">
        <f>1/(COUNT(SimData!$C$9:$C$508)-1)+$O$960</f>
        <v>4.5656565656565551</v>
      </c>
      <c r="P961" t="e">
        <f>SMALL(SimData!$D$9:$D$508,453)</f>
        <v>#NUM!</v>
      </c>
      <c r="Q961">
        <f>1/(COUNT(SimData!$D$9:$D$508)-1)+$Q$960</f>
        <v>4.5656565656565551</v>
      </c>
    </row>
    <row r="962" spans="12:17">
      <c r="L962" t="e">
        <f>SMALL(SimData!$B$9:$B$508,454)</f>
        <v>#NUM!</v>
      </c>
      <c r="M962">
        <f>1/(COUNT(SimData!$B$9:$B$508)-1)+$M$961</f>
        <v>4.5757575757575655</v>
      </c>
      <c r="N962" t="e">
        <f>SMALL(SimData!$C$9:$C$508,454)</f>
        <v>#NUM!</v>
      </c>
      <c r="O962">
        <f>1/(COUNT(SimData!$C$9:$C$508)-1)+$O$961</f>
        <v>4.5757575757575655</v>
      </c>
      <c r="P962" t="e">
        <f>SMALL(SimData!$D$9:$D$508,454)</f>
        <v>#NUM!</v>
      </c>
      <c r="Q962">
        <f>1/(COUNT(SimData!$D$9:$D$508)-1)+$Q$961</f>
        <v>4.5757575757575655</v>
      </c>
    </row>
    <row r="963" spans="12:17">
      <c r="L963" t="e">
        <f>SMALL(SimData!$B$9:$B$508,455)</f>
        <v>#NUM!</v>
      </c>
      <c r="M963">
        <f>1/(COUNT(SimData!$B$9:$B$508)-1)+$M$962</f>
        <v>4.5858585858585759</v>
      </c>
      <c r="N963" t="e">
        <f>SMALL(SimData!$C$9:$C$508,455)</f>
        <v>#NUM!</v>
      </c>
      <c r="O963">
        <f>1/(COUNT(SimData!$C$9:$C$508)-1)+$O$962</f>
        <v>4.5858585858585759</v>
      </c>
      <c r="P963" t="e">
        <f>SMALL(SimData!$D$9:$D$508,455)</f>
        <v>#NUM!</v>
      </c>
      <c r="Q963">
        <f>1/(COUNT(SimData!$D$9:$D$508)-1)+$Q$962</f>
        <v>4.5858585858585759</v>
      </c>
    </row>
    <row r="964" spans="12:17">
      <c r="L964" t="e">
        <f>SMALL(SimData!$B$9:$B$508,456)</f>
        <v>#NUM!</v>
      </c>
      <c r="M964">
        <f>1/(COUNT(SimData!$B$9:$B$508)-1)+$M$963</f>
        <v>4.5959595959595863</v>
      </c>
      <c r="N964" t="e">
        <f>SMALL(SimData!$C$9:$C$508,456)</f>
        <v>#NUM!</v>
      </c>
      <c r="O964">
        <f>1/(COUNT(SimData!$C$9:$C$508)-1)+$O$963</f>
        <v>4.5959595959595863</v>
      </c>
      <c r="P964" t="e">
        <f>SMALL(SimData!$D$9:$D$508,456)</f>
        <v>#NUM!</v>
      </c>
      <c r="Q964">
        <f>1/(COUNT(SimData!$D$9:$D$508)-1)+$Q$963</f>
        <v>4.5959595959595863</v>
      </c>
    </row>
    <row r="965" spans="12:17">
      <c r="L965" t="e">
        <f>SMALL(SimData!$B$9:$B$508,457)</f>
        <v>#NUM!</v>
      </c>
      <c r="M965">
        <f>1/(COUNT(SimData!$B$9:$B$508)-1)+$M$964</f>
        <v>4.6060606060605966</v>
      </c>
      <c r="N965" t="e">
        <f>SMALL(SimData!$C$9:$C$508,457)</f>
        <v>#NUM!</v>
      </c>
      <c r="O965">
        <f>1/(COUNT(SimData!$C$9:$C$508)-1)+$O$964</f>
        <v>4.6060606060605966</v>
      </c>
      <c r="P965" t="e">
        <f>SMALL(SimData!$D$9:$D$508,457)</f>
        <v>#NUM!</v>
      </c>
      <c r="Q965">
        <f>1/(COUNT(SimData!$D$9:$D$508)-1)+$Q$964</f>
        <v>4.6060606060605966</v>
      </c>
    </row>
    <row r="966" spans="12:17">
      <c r="L966" t="e">
        <f>SMALL(SimData!$B$9:$B$508,458)</f>
        <v>#NUM!</v>
      </c>
      <c r="M966">
        <f>1/(COUNT(SimData!$B$9:$B$508)-1)+$M$965</f>
        <v>4.616161616161607</v>
      </c>
      <c r="N966" t="e">
        <f>SMALL(SimData!$C$9:$C$508,458)</f>
        <v>#NUM!</v>
      </c>
      <c r="O966">
        <f>1/(COUNT(SimData!$C$9:$C$508)-1)+$O$965</f>
        <v>4.616161616161607</v>
      </c>
      <c r="P966" t="e">
        <f>SMALL(SimData!$D$9:$D$508,458)</f>
        <v>#NUM!</v>
      </c>
      <c r="Q966">
        <f>1/(COUNT(SimData!$D$9:$D$508)-1)+$Q$965</f>
        <v>4.616161616161607</v>
      </c>
    </row>
    <row r="967" spans="12:17">
      <c r="L967" t="e">
        <f>SMALL(SimData!$B$9:$B$508,459)</f>
        <v>#NUM!</v>
      </c>
      <c r="M967">
        <f>1/(COUNT(SimData!$B$9:$B$508)-1)+$M$966</f>
        <v>4.6262626262626174</v>
      </c>
      <c r="N967" t="e">
        <f>SMALL(SimData!$C$9:$C$508,459)</f>
        <v>#NUM!</v>
      </c>
      <c r="O967">
        <f>1/(COUNT(SimData!$C$9:$C$508)-1)+$O$966</f>
        <v>4.6262626262626174</v>
      </c>
      <c r="P967" t="e">
        <f>SMALL(SimData!$D$9:$D$508,459)</f>
        <v>#NUM!</v>
      </c>
      <c r="Q967">
        <f>1/(COUNT(SimData!$D$9:$D$508)-1)+$Q$966</f>
        <v>4.6262626262626174</v>
      </c>
    </row>
    <row r="968" spans="12:17">
      <c r="L968" t="e">
        <f>SMALL(SimData!$B$9:$B$508,460)</f>
        <v>#NUM!</v>
      </c>
      <c r="M968">
        <f>1/(COUNT(SimData!$B$9:$B$508)-1)+$M$967</f>
        <v>4.6363636363636278</v>
      </c>
      <c r="N968" t="e">
        <f>SMALL(SimData!$C$9:$C$508,460)</f>
        <v>#NUM!</v>
      </c>
      <c r="O968">
        <f>1/(COUNT(SimData!$C$9:$C$508)-1)+$O$967</f>
        <v>4.6363636363636278</v>
      </c>
      <c r="P968" t="e">
        <f>SMALL(SimData!$D$9:$D$508,460)</f>
        <v>#NUM!</v>
      </c>
      <c r="Q968">
        <f>1/(COUNT(SimData!$D$9:$D$508)-1)+$Q$967</f>
        <v>4.6363636363636278</v>
      </c>
    </row>
    <row r="969" spans="12:17">
      <c r="L969" t="e">
        <f>SMALL(SimData!$B$9:$B$508,461)</f>
        <v>#NUM!</v>
      </c>
      <c r="M969">
        <f>1/(COUNT(SimData!$B$9:$B$508)-1)+$M$968</f>
        <v>4.6464646464646382</v>
      </c>
      <c r="N969" t="e">
        <f>SMALL(SimData!$C$9:$C$508,461)</f>
        <v>#NUM!</v>
      </c>
      <c r="O969">
        <f>1/(COUNT(SimData!$C$9:$C$508)-1)+$O$968</f>
        <v>4.6464646464646382</v>
      </c>
      <c r="P969" t="e">
        <f>SMALL(SimData!$D$9:$D$508,461)</f>
        <v>#NUM!</v>
      </c>
      <c r="Q969">
        <f>1/(COUNT(SimData!$D$9:$D$508)-1)+$Q$968</f>
        <v>4.6464646464646382</v>
      </c>
    </row>
    <row r="970" spans="12:17">
      <c r="L970" t="e">
        <f>SMALL(SimData!$B$9:$B$508,462)</f>
        <v>#NUM!</v>
      </c>
      <c r="M970">
        <f>1/(COUNT(SimData!$B$9:$B$508)-1)+$M$969</f>
        <v>4.6565656565656486</v>
      </c>
      <c r="N970" t="e">
        <f>SMALL(SimData!$C$9:$C$508,462)</f>
        <v>#NUM!</v>
      </c>
      <c r="O970">
        <f>1/(COUNT(SimData!$C$9:$C$508)-1)+$O$969</f>
        <v>4.6565656565656486</v>
      </c>
      <c r="P970" t="e">
        <f>SMALL(SimData!$D$9:$D$508,462)</f>
        <v>#NUM!</v>
      </c>
      <c r="Q970">
        <f>1/(COUNT(SimData!$D$9:$D$508)-1)+$Q$969</f>
        <v>4.6565656565656486</v>
      </c>
    </row>
    <row r="971" spans="12:17">
      <c r="L971" t="e">
        <f>SMALL(SimData!$B$9:$B$508,463)</f>
        <v>#NUM!</v>
      </c>
      <c r="M971">
        <f>1/(COUNT(SimData!$B$9:$B$508)-1)+$M$970</f>
        <v>4.666666666666659</v>
      </c>
      <c r="N971" t="e">
        <f>SMALL(SimData!$C$9:$C$508,463)</f>
        <v>#NUM!</v>
      </c>
      <c r="O971">
        <f>1/(COUNT(SimData!$C$9:$C$508)-1)+$O$970</f>
        <v>4.666666666666659</v>
      </c>
      <c r="P971" t="e">
        <f>SMALL(SimData!$D$9:$D$508,463)</f>
        <v>#NUM!</v>
      </c>
      <c r="Q971">
        <f>1/(COUNT(SimData!$D$9:$D$508)-1)+$Q$970</f>
        <v>4.666666666666659</v>
      </c>
    </row>
    <row r="972" spans="12:17">
      <c r="L972" t="e">
        <f>SMALL(SimData!$B$9:$B$508,464)</f>
        <v>#NUM!</v>
      </c>
      <c r="M972">
        <f>1/(COUNT(SimData!$B$9:$B$508)-1)+$M$971</f>
        <v>4.6767676767676694</v>
      </c>
      <c r="N972" t="e">
        <f>SMALL(SimData!$C$9:$C$508,464)</f>
        <v>#NUM!</v>
      </c>
      <c r="O972">
        <f>1/(COUNT(SimData!$C$9:$C$508)-1)+$O$971</f>
        <v>4.6767676767676694</v>
      </c>
      <c r="P972" t="e">
        <f>SMALL(SimData!$D$9:$D$508,464)</f>
        <v>#NUM!</v>
      </c>
      <c r="Q972">
        <f>1/(COUNT(SimData!$D$9:$D$508)-1)+$Q$971</f>
        <v>4.6767676767676694</v>
      </c>
    </row>
    <row r="973" spans="12:17">
      <c r="L973" t="e">
        <f>SMALL(SimData!$B$9:$B$508,465)</f>
        <v>#NUM!</v>
      </c>
      <c r="M973">
        <f>1/(COUNT(SimData!$B$9:$B$508)-1)+$M$972</f>
        <v>4.6868686868686797</v>
      </c>
      <c r="N973" t="e">
        <f>SMALL(SimData!$C$9:$C$508,465)</f>
        <v>#NUM!</v>
      </c>
      <c r="O973">
        <f>1/(COUNT(SimData!$C$9:$C$508)-1)+$O$972</f>
        <v>4.6868686868686797</v>
      </c>
      <c r="P973" t="e">
        <f>SMALL(SimData!$D$9:$D$508,465)</f>
        <v>#NUM!</v>
      </c>
      <c r="Q973">
        <f>1/(COUNT(SimData!$D$9:$D$508)-1)+$Q$972</f>
        <v>4.6868686868686797</v>
      </c>
    </row>
    <row r="974" spans="12:17">
      <c r="L974" t="e">
        <f>SMALL(SimData!$B$9:$B$508,466)</f>
        <v>#NUM!</v>
      </c>
      <c r="M974">
        <f>1/(COUNT(SimData!$B$9:$B$508)-1)+$M$973</f>
        <v>4.6969696969696901</v>
      </c>
      <c r="N974" t="e">
        <f>SMALL(SimData!$C$9:$C$508,466)</f>
        <v>#NUM!</v>
      </c>
      <c r="O974">
        <f>1/(COUNT(SimData!$C$9:$C$508)-1)+$O$973</f>
        <v>4.6969696969696901</v>
      </c>
      <c r="P974" t="e">
        <f>SMALL(SimData!$D$9:$D$508,466)</f>
        <v>#NUM!</v>
      </c>
      <c r="Q974">
        <f>1/(COUNT(SimData!$D$9:$D$508)-1)+$Q$973</f>
        <v>4.6969696969696901</v>
      </c>
    </row>
    <row r="975" spans="12:17">
      <c r="L975" t="e">
        <f>SMALL(SimData!$B$9:$B$508,467)</f>
        <v>#NUM!</v>
      </c>
      <c r="M975">
        <f>1/(COUNT(SimData!$B$9:$B$508)-1)+$M$974</f>
        <v>4.7070707070707005</v>
      </c>
      <c r="N975" t="e">
        <f>SMALL(SimData!$C$9:$C$508,467)</f>
        <v>#NUM!</v>
      </c>
      <c r="O975">
        <f>1/(COUNT(SimData!$C$9:$C$508)-1)+$O$974</f>
        <v>4.7070707070707005</v>
      </c>
      <c r="P975" t="e">
        <f>SMALL(SimData!$D$9:$D$508,467)</f>
        <v>#NUM!</v>
      </c>
      <c r="Q975">
        <f>1/(COUNT(SimData!$D$9:$D$508)-1)+$Q$974</f>
        <v>4.7070707070707005</v>
      </c>
    </row>
    <row r="976" spans="12:17">
      <c r="L976" t="e">
        <f>SMALL(SimData!$B$9:$B$508,468)</f>
        <v>#NUM!</v>
      </c>
      <c r="M976">
        <f>1/(COUNT(SimData!$B$9:$B$508)-1)+$M$975</f>
        <v>4.7171717171717109</v>
      </c>
      <c r="N976" t="e">
        <f>SMALL(SimData!$C$9:$C$508,468)</f>
        <v>#NUM!</v>
      </c>
      <c r="O976">
        <f>1/(COUNT(SimData!$C$9:$C$508)-1)+$O$975</f>
        <v>4.7171717171717109</v>
      </c>
      <c r="P976" t="e">
        <f>SMALL(SimData!$D$9:$D$508,468)</f>
        <v>#NUM!</v>
      </c>
      <c r="Q976">
        <f>1/(COUNT(SimData!$D$9:$D$508)-1)+$Q$975</f>
        <v>4.7171717171717109</v>
      </c>
    </row>
    <row r="977" spans="12:17">
      <c r="L977" t="e">
        <f>SMALL(SimData!$B$9:$B$508,469)</f>
        <v>#NUM!</v>
      </c>
      <c r="M977">
        <f>1/(COUNT(SimData!$B$9:$B$508)-1)+$M$976</f>
        <v>4.7272727272727213</v>
      </c>
      <c r="N977" t="e">
        <f>SMALL(SimData!$C$9:$C$508,469)</f>
        <v>#NUM!</v>
      </c>
      <c r="O977">
        <f>1/(COUNT(SimData!$C$9:$C$508)-1)+$O$976</f>
        <v>4.7272727272727213</v>
      </c>
      <c r="P977" t="e">
        <f>SMALL(SimData!$D$9:$D$508,469)</f>
        <v>#NUM!</v>
      </c>
      <c r="Q977">
        <f>1/(COUNT(SimData!$D$9:$D$508)-1)+$Q$976</f>
        <v>4.7272727272727213</v>
      </c>
    </row>
    <row r="978" spans="12:17">
      <c r="L978" t="e">
        <f>SMALL(SimData!$B$9:$B$508,470)</f>
        <v>#NUM!</v>
      </c>
      <c r="M978">
        <f>1/(COUNT(SimData!$B$9:$B$508)-1)+$M$977</f>
        <v>4.7373737373737317</v>
      </c>
      <c r="N978" t="e">
        <f>SMALL(SimData!$C$9:$C$508,470)</f>
        <v>#NUM!</v>
      </c>
      <c r="O978">
        <f>1/(COUNT(SimData!$C$9:$C$508)-1)+$O$977</f>
        <v>4.7373737373737317</v>
      </c>
      <c r="P978" t="e">
        <f>SMALL(SimData!$D$9:$D$508,470)</f>
        <v>#NUM!</v>
      </c>
      <c r="Q978">
        <f>1/(COUNT(SimData!$D$9:$D$508)-1)+$Q$977</f>
        <v>4.7373737373737317</v>
      </c>
    </row>
    <row r="979" spans="12:17">
      <c r="L979" t="e">
        <f>SMALL(SimData!$B$9:$B$508,471)</f>
        <v>#NUM!</v>
      </c>
      <c r="M979">
        <f>1/(COUNT(SimData!$B$9:$B$508)-1)+$M$978</f>
        <v>4.7474747474747421</v>
      </c>
      <c r="N979" t="e">
        <f>SMALL(SimData!$C$9:$C$508,471)</f>
        <v>#NUM!</v>
      </c>
      <c r="O979">
        <f>1/(COUNT(SimData!$C$9:$C$508)-1)+$O$978</f>
        <v>4.7474747474747421</v>
      </c>
      <c r="P979" t="e">
        <f>SMALL(SimData!$D$9:$D$508,471)</f>
        <v>#NUM!</v>
      </c>
      <c r="Q979">
        <f>1/(COUNT(SimData!$D$9:$D$508)-1)+$Q$978</f>
        <v>4.7474747474747421</v>
      </c>
    </row>
    <row r="980" spans="12:17">
      <c r="L980" t="e">
        <f>SMALL(SimData!$B$9:$B$508,472)</f>
        <v>#NUM!</v>
      </c>
      <c r="M980">
        <f>1/(COUNT(SimData!$B$9:$B$508)-1)+$M$979</f>
        <v>4.7575757575757525</v>
      </c>
      <c r="N980" t="e">
        <f>SMALL(SimData!$C$9:$C$508,472)</f>
        <v>#NUM!</v>
      </c>
      <c r="O980">
        <f>1/(COUNT(SimData!$C$9:$C$508)-1)+$O$979</f>
        <v>4.7575757575757525</v>
      </c>
      <c r="P980" t="e">
        <f>SMALL(SimData!$D$9:$D$508,472)</f>
        <v>#NUM!</v>
      </c>
      <c r="Q980">
        <f>1/(COUNT(SimData!$D$9:$D$508)-1)+$Q$979</f>
        <v>4.7575757575757525</v>
      </c>
    </row>
    <row r="981" spans="12:17">
      <c r="L981" t="e">
        <f>SMALL(SimData!$B$9:$B$508,473)</f>
        <v>#NUM!</v>
      </c>
      <c r="M981">
        <f>1/(COUNT(SimData!$B$9:$B$508)-1)+$M$980</f>
        <v>4.7676767676767629</v>
      </c>
      <c r="N981" t="e">
        <f>SMALL(SimData!$C$9:$C$508,473)</f>
        <v>#NUM!</v>
      </c>
      <c r="O981">
        <f>1/(COUNT(SimData!$C$9:$C$508)-1)+$O$980</f>
        <v>4.7676767676767629</v>
      </c>
      <c r="P981" t="e">
        <f>SMALL(SimData!$D$9:$D$508,473)</f>
        <v>#NUM!</v>
      </c>
      <c r="Q981">
        <f>1/(COUNT(SimData!$D$9:$D$508)-1)+$Q$980</f>
        <v>4.7676767676767629</v>
      </c>
    </row>
    <row r="982" spans="12:17">
      <c r="L982" t="e">
        <f>SMALL(SimData!$B$9:$B$508,474)</f>
        <v>#NUM!</v>
      </c>
      <c r="M982">
        <f>1/(COUNT(SimData!$B$9:$B$508)-1)+$M$981</f>
        <v>4.7777777777777732</v>
      </c>
      <c r="N982" t="e">
        <f>SMALL(SimData!$C$9:$C$508,474)</f>
        <v>#NUM!</v>
      </c>
      <c r="O982">
        <f>1/(COUNT(SimData!$C$9:$C$508)-1)+$O$981</f>
        <v>4.7777777777777732</v>
      </c>
      <c r="P982" t="e">
        <f>SMALL(SimData!$D$9:$D$508,474)</f>
        <v>#NUM!</v>
      </c>
      <c r="Q982">
        <f>1/(COUNT(SimData!$D$9:$D$508)-1)+$Q$981</f>
        <v>4.7777777777777732</v>
      </c>
    </row>
    <row r="983" spans="12:17">
      <c r="L983" t="e">
        <f>SMALL(SimData!$B$9:$B$508,475)</f>
        <v>#NUM!</v>
      </c>
      <c r="M983">
        <f>1/(COUNT(SimData!$B$9:$B$508)-1)+$M$982</f>
        <v>4.7878787878787836</v>
      </c>
      <c r="N983" t="e">
        <f>SMALL(SimData!$C$9:$C$508,475)</f>
        <v>#NUM!</v>
      </c>
      <c r="O983">
        <f>1/(COUNT(SimData!$C$9:$C$508)-1)+$O$982</f>
        <v>4.7878787878787836</v>
      </c>
      <c r="P983" t="e">
        <f>SMALL(SimData!$D$9:$D$508,475)</f>
        <v>#NUM!</v>
      </c>
      <c r="Q983">
        <f>1/(COUNT(SimData!$D$9:$D$508)-1)+$Q$982</f>
        <v>4.7878787878787836</v>
      </c>
    </row>
    <row r="984" spans="12:17">
      <c r="L984" t="e">
        <f>SMALL(SimData!$B$9:$B$508,476)</f>
        <v>#NUM!</v>
      </c>
      <c r="M984">
        <f>1/(COUNT(SimData!$B$9:$B$508)-1)+$M$983</f>
        <v>4.797979797979794</v>
      </c>
      <c r="N984" t="e">
        <f>SMALL(SimData!$C$9:$C$508,476)</f>
        <v>#NUM!</v>
      </c>
      <c r="O984">
        <f>1/(COUNT(SimData!$C$9:$C$508)-1)+$O$983</f>
        <v>4.797979797979794</v>
      </c>
      <c r="P984" t="e">
        <f>SMALL(SimData!$D$9:$D$508,476)</f>
        <v>#NUM!</v>
      </c>
      <c r="Q984">
        <f>1/(COUNT(SimData!$D$9:$D$508)-1)+$Q$983</f>
        <v>4.797979797979794</v>
      </c>
    </row>
    <row r="985" spans="12:17">
      <c r="L985" t="e">
        <f>SMALL(SimData!$B$9:$B$508,477)</f>
        <v>#NUM!</v>
      </c>
      <c r="M985">
        <f>1/(COUNT(SimData!$B$9:$B$508)-1)+$M$984</f>
        <v>4.8080808080808044</v>
      </c>
      <c r="N985" t="e">
        <f>SMALL(SimData!$C$9:$C$508,477)</f>
        <v>#NUM!</v>
      </c>
      <c r="O985">
        <f>1/(COUNT(SimData!$C$9:$C$508)-1)+$O$984</f>
        <v>4.8080808080808044</v>
      </c>
      <c r="P985" t="e">
        <f>SMALL(SimData!$D$9:$D$508,477)</f>
        <v>#NUM!</v>
      </c>
      <c r="Q985">
        <f>1/(COUNT(SimData!$D$9:$D$508)-1)+$Q$984</f>
        <v>4.8080808080808044</v>
      </c>
    </row>
    <row r="986" spans="12:17">
      <c r="L986" t="e">
        <f>SMALL(SimData!$B$9:$B$508,478)</f>
        <v>#NUM!</v>
      </c>
      <c r="M986">
        <f>1/(COUNT(SimData!$B$9:$B$508)-1)+$M$985</f>
        <v>4.8181818181818148</v>
      </c>
      <c r="N986" t="e">
        <f>SMALL(SimData!$C$9:$C$508,478)</f>
        <v>#NUM!</v>
      </c>
      <c r="O986">
        <f>1/(COUNT(SimData!$C$9:$C$508)-1)+$O$985</f>
        <v>4.8181818181818148</v>
      </c>
      <c r="P986" t="e">
        <f>SMALL(SimData!$D$9:$D$508,478)</f>
        <v>#NUM!</v>
      </c>
      <c r="Q986">
        <f>1/(COUNT(SimData!$D$9:$D$508)-1)+$Q$985</f>
        <v>4.8181818181818148</v>
      </c>
    </row>
    <row r="987" spans="12:17">
      <c r="L987" t="e">
        <f>SMALL(SimData!$B$9:$B$508,479)</f>
        <v>#NUM!</v>
      </c>
      <c r="M987">
        <f>1/(COUNT(SimData!$B$9:$B$508)-1)+$M$986</f>
        <v>4.8282828282828252</v>
      </c>
      <c r="N987" t="e">
        <f>SMALL(SimData!$C$9:$C$508,479)</f>
        <v>#NUM!</v>
      </c>
      <c r="O987">
        <f>1/(COUNT(SimData!$C$9:$C$508)-1)+$O$986</f>
        <v>4.8282828282828252</v>
      </c>
      <c r="P987" t="e">
        <f>SMALL(SimData!$D$9:$D$508,479)</f>
        <v>#NUM!</v>
      </c>
      <c r="Q987">
        <f>1/(COUNT(SimData!$D$9:$D$508)-1)+$Q$986</f>
        <v>4.8282828282828252</v>
      </c>
    </row>
    <row r="988" spans="12:17">
      <c r="L988" t="e">
        <f>SMALL(SimData!$B$9:$B$508,480)</f>
        <v>#NUM!</v>
      </c>
      <c r="M988">
        <f>1/(COUNT(SimData!$B$9:$B$508)-1)+$M$987</f>
        <v>4.8383838383838356</v>
      </c>
      <c r="N988" t="e">
        <f>SMALL(SimData!$C$9:$C$508,480)</f>
        <v>#NUM!</v>
      </c>
      <c r="O988">
        <f>1/(COUNT(SimData!$C$9:$C$508)-1)+$O$987</f>
        <v>4.8383838383838356</v>
      </c>
      <c r="P988" t="e">
        <f>SMALL(SimData!$D$9:$D$508,480)</f>
        <v>#NUM!</v>
      </c>
      <c r="Q988">
        <f>1/(COUNT(SimData!$D$9:$D$508)-1)+$Q$987</f>
        <v>4.8383838383838356</v>
      </c>
    </row>
    <row r="989" spans="12:17">
      <c r="L989" t="e">
        <f>SMALL(SimData!$B$9:$B$508,481)</f>
        <v>#NUM!</v>
      </c>
      <c r="M989">
        <f>1/(COUNT(SimData!$B$9:$B$508)-1)+$M$988</f>
        <v>4.848484848484846</v>
      </c>
      <c r="N989" t="e">
        <f>SMALL(SimData!$C$9:$C$508,481)</f>
        <v>#NUM!</v>
      </c>
      <c r="O989">
        <f>1/(COUNT(SimData!$C$9:$C$508)-1)+$O$988</f>
        <v>4.848484848484846</v>
      </c>
      <c r="P989" t="e">
        <f>SMALL(SimData!$D$9:$D$508,481)</f>
        <v>#NUM!</v>
      </c>
      <c r="Q989">
        <f>1/(COUNT(SimData!$D$9:$D$508)-1)+$Q$988</f>
        <v>4.848484848484846</v>
      </c>
    </row>
    <row r="990" spans="12:17">
      <c r="L990" t="e">
        <f>SMALL(SimData!$B$9:$B$508,482)</f>
        <v>#NUM!</v>
      </c>
      <c r="M990">
        <f>1/(COUNT(SimData!$B$9:$B$508)-1)+$M$989</f>
        <v>4.8585858585858563</v>
      </c>
      <c r="N990" t="e">
        <f>SMALL(SimData!$C$9:$C$508,482)</f>
        <v>#NUM!</v>
      </c>
      <c r="O990">
        <f>1/(COUNT(SimData!$C$9:$C$508)-1)+$O$989</f>
        <v>4.8585858585858563</v>
      </c>
      <c r="P990" t="e">
        <f>SMALL(SimData!$D$9:$D$508,482)</f>
        <v>#NUM!</v>
      </c>
      <c r="Q990">
        <f>1/(COUNT(SimData!$D$9:$D$508)-1)+$Q$989</f>
        <v>4.8585858585858563</v>
      </c>
    </row>
    <row r="991" spans="12:17">
      <c r="L991" t="e">
        <f>SMALL(SimData!$B$9:$B$508,483)</f>
        <v>#NUM!</v>
      </c>
      <c r="M991">
        <f>1/(COUNT(SimData!$B$9:$B$508)-1)+$M$990</f>
        <v>4.8686868686868667</v>
      </c>
      <c r="N991" t="e">
        <f>SMALL(SimData!$C$9:$C$508,483)</f>
        <v>#NUM!</v>
      </c>
      <c r="O991">
        <f>1/(COUNT(SimData!$C$9:$C$508)-1)+$O$990</f>
        <v>4.8686868686868667</v>
      </c>
      <c r="P991" t="e">
        <f>SMALL(SimData!$D$9:$D$508,483)</f>
        <v>#NUM!</v>
      </c>
      <c r="Q991">
        <f>1/(COUNT(SimData!$D$9:$D$508)-1)+$Q$990</f>
        <v>4.8686868686868667</v>
      </c>
    </row>
    <row r="992" spans="12:17">
      <c r="L992" t="e">
        <f>SMALL(SimData!$B$9:$B$508,484)</f>
        <v>#NUM!</v>
      </c>
      <c r="M992">
        <f>1/(COUNT(SimData!$B$9:$B$508)-1)+$M$991</f>
        <v>4.8787878787878771</v>
      </c>
      <c r="N992" t="e">
        <f>SMALL(SimData!$C$9:$C$508,484)</f>
        <v>#NUM!</v>
      </c>
      <c r="O992">
        <f>1/(COUNT(SimData!$C$9:$C$508)-1)+$O$991</f>
        <v>4.8787878787878771</v>
      </c>
      <c r="P992" t="e">
        <f>SMALL(SimData!$D$9:$D$508,484)</f>
        <v>#NUM!</v>
      </c>
      <c r="Q992">
        <f>1/(COUNT(SimData!$D$9:$D$508)-1)+$Q$991</f>
        <v>4.8787878787878771</v>
      </c>
    </row>
    <row r="993" spans="12:17">
      <c r="L993" t="e">
        <f>SMALL(SimData!$B$9:$B$508,485)</f>
        <v>#NUM!</v>
      </c>
      <c r="M993">
        <f>1/(COUNT(SimData!$B$9:$B$508)-1)+$M$992</f>
        <v>4.8888888888888875</v>
      </c>
      <c r="N993" t="e">
        <f>SMALL(SimData!$C$9:$C$508,485)</f>
        <v>#NUM!</v>
      </c>
      <c r="O993">
        <f>1/(COUNT(SimData!$C$9:$C$508)-1)+$O$992</f>
        <v>4.8888888888888875</v>
      </c>
      <c r="P993" t="e">
        <f>SMALL(SimData!$D$9:$D$508,485)</f>
        <v>#NUM!</v>
      </c>
      <c r="Q993">
        <f>1/(COUNT(SimData!$D$9:$D$508)-1)+$Q$992</f>
        <v>4.8888888888888875</v>
      </c>
    </row>
    <row r="994" spans="12:17">
      <c r="L994" t="e">
        <f>SMALL(SimData!$B$9:$B$508,486)</f>
        <v>#NUM!</v>
      </c>
      <c r="M994">
        <f>1/(COUNT(SimData!$B$9:$B$508)-1)+$M$993</f>
        <v>4.8989898989898979</v>
      </c>
      <c r="N994" t="e">
        <f>SMALL(SimData!$C$9:$C$508,486)</f>
        <v>#NUM!</v>
      </c>
      <c r="O994">
        <f>1/(COUNT(SimData!$C$9:$C$508)-1)+$O$993</f>
        <v>4.8989898989898979</v>
      </c>
      <c r="P994" t="e">
        <f>SMALL(SimData!$D$9:$D$508,486)</f>
        <v>#NUM!</v>
      </c>
      <c r="Q994">
        <f>1/(COUNT(SimData!$D$9:$D$508)-1)+$Q$993</f>
        <v>4.8989898989898979</v>
      </c>
    </row>
    <row r="995" spans="12:17">
      <c r="L995" t="e">
        <f>SMALL(SimData!$B$9:$B$508,487)</f>
        <v>#NUM!</v>
      </c>
      <c r="M995">
        <f>1/(COUNT(SimData!$B$9:$B$508)-1)+$M$994</f>
        <v>4.9090909090909083</v>
      </c>
      <c r="N995" t="e">
        <f>SMALL(SimData!$C$9:$C$508,487)</f>
        <v>#NUM!</v>
      </c>
      <c r="O995">
        <f>1/(COUNT(SimData!$C$9:$C$508)-1)+$O$994</f>
        <v>4.9090909090909083</v>
      </c>
      <c r="P995" t="e">
        <f>SMALL(SimData!$D$9:$D$508,487)</f>
        <v>#NUM!</v>
      </c>
      <c r="Q995">
        <f>1/(COUNT(SimData!$D$9:$D$508)-1)+$Q$994</f>
        <v>4.9090909090909083</v>
      </c>
    </row>
    <row r="996" spans="12:17">
      <c r="L996" t="e">
        <f>SMALL(SimData!$B$9:$B$508,488)</f>
        <v>#NUM!</v>
      </c>
      <c r="M996">
        <f>1/(COUNT(SimData!$B$9:$B$508)-1)+$M$995</f>
        <v>4.9191919191919187</v>
      </c>
      <c r="N996" t="e">
        <f>SMALL(SimData!$C$9:$C$508,488)</f>
        <v>#NUM!</v>
      </c>
      <c r="O996">
        <f>1/(COUNT(SimData!$C$9:$C$508)-1)+$O$995</f>
        <v>4.9191919191919187</v>
      </c>
      <c r="P996" t="e">
        <f>SMALL(SimData!$D$9:$D$508,488)</f>
        <v>#NUM!</v>
      </c>
      <c r="Q996">
        <f>1/(COUNT(SimData!$D$9:$D$508)-1)+$Q$995</f>
        <v>4.9191919191919187</v>
      </c>
    </row>
    <row r="997" spans="12:17">
      <c r="L997" t="e">
        <f>SMALL(SimData!$B$9:$B$508,489)</f>
        <v>#NUM!</v>
      </c>
      <c r="M997">
        <f>1/(COUNT(SimData!$B$9:$B$508)-1)+$M$996</f>
        <v>4.9292929292929291</v>
      </c>
      <c r="N997" t="e">
        <f>SMALL(SimData!$C$9:$C$508,489)</f>
        <v>#NUM!</v>
      </c>
      <c r="O997">
        <f>1/(COUNT(SimData!$C$9:$C$508)-1)+$O$996</f>
        <v>4.9292929292929291</v>
      </c>
      <c r="P997" t="e">
        <f>SMALL(SimData!$D$9:$D$508,489)</f>
        <v>#NUM!</v>
      </c>
      <c r="Q997">
        <f>1/(COUNT(SimData!$D$9:$D$508)-1)+$Q$996</f>
        <v>4.9292929292929291</v>
      </c>
    </row>
    <row r="998" spans="12:17">
      <c r="L998" t="e">
        <f>SMALL(SimData!$B$9:$B$508,490)</f>
        <v>#NUM!</v>
      </c>
      <c r="M998">
        <f>1/(COUNT(SimData!$B$9:$B$508)-1)+$M$997</f>
        <v>4.9393939393939394</v>
      </c>
      <c r="N998" t="e">
        <f>SMALL(SimData!$C$9:$C$508,490)</f>
        <v>#NUM!</v>
      </c>
      <c r="O998">
        <f>1/(COUNT(SimData!$C$9:$C$508)-1)+$O$997</f>
        <v>4.9393939393939394</v>
      </c>
      <c r="P998" t="e">
        <f>SMALL(SimData!$D$9:$D$508,490)</f>
        <v>#NUM!</v>
      </c>
      <c r="Q998">
        <f>1/(COUNT(SimData!$D$9:$D$508)-1)+$Q$997</f>
        <v>4.9393939393939394</v>
      </c>
    </row>
    <row r="999" spans="12:17">
      <c r="L999" t="e">
        <f>SMALL(SimData!$B$9:$B$508,491)</f>
        <v>#NUM!</v>
      </c>
      <c r="M999">
        <f>1/(COUNT(SimData!$B$9:$B$508)-1)+$M$998</f>
        <v>4.9494949494949498</v>
      </c>
      <c r="N999" t="e">
        <f>SMALL(SimData!$C$9:$C$508,491)</f>
        <v>#NUM!</v>
      </c>
      <c r="O999">
        <f>1/(COUNT(SimData!$C$9:$C$508)-1)+$O$998</f>
        <v>4.9494949494949498</v>
      </c>
      <c r="P999" t="e">
        <f>SMALL(SimData!$D$9:$D$508,491)</f>
        <v>#NUM!</v>
      </c>
      <c r="Q999">
        <f>1/(COUNT(SimData!$D$9:$D$508)-1)+$Q$998</f>
        <v>4.9494949494949498</v>
      </c>
    </row>
    <row r="1000" spans="12:17">
      <c r="L1000" t="e">
        <f>SMALL(SimData!$B$9:$B$508,492)</f>
        <v>#NUM!</v>
      </c>
      <c r="M1000">
        <f>1/(COUNT(SimData!$B$9:$B$508)-1)+$M$999</f>
        <v>4.9595959595959602</v>
      </c>
      <c r="N1000" t="e">
        <f>SMALL(SimData!$C$9:$C$508,492)</f>
        <v>#NUM!</v>
      </c>
      <c r="O1000">
        <f>1/(COUNT(SimData!$C$9:$C$508)-1)+$O$999</f>
        <v>4.9595959595959602</v>
      </c>
      <c r="P1000" t="e">
        <f>SMALL(SimData!$D$9:$D$508,492)</f>
        <v>#NUM!</v>
      </c>
      <c r="Q1000">
        <f>1/(COUNT(SimData!$D$9:$D$508)-1)+$Q$999</f>
        <v>4.9595959595959602</v>
      </c>
    </row>
    <row r="1001" spans="12:17">
      <c r="L1001" t="e">
        <f>SMALL(SimData!$B$9:$B$508,493)</f>
        <v>#NUM!</v>
      </c>
      <c r="M1001">
        <f>1/(COUNT(SimData!$B$9:$B$508)-1)+$M$1000</f>
        <v>4.9696969696969706</v>
      </c>
      <c r="N1001" t="e">
        <f>SMALL(SimData!$C$9:$C$508,493)</f>
        <v>#NUM!</v>
      </c>
      <c r="O1001">
        <f>1/(COUNT(SimData!$C$9:$C$508)-1)+$O$1000</f>
        <v>4.9696969696969706</v>
      </c>
      <c r="P1001" t="e">
        <f>SMALL(SimData!$D$9:$D$508,493)</f>
        <v>#NUM!</v>
      </c>
      <c r="Q1001">
        <f>1/(COUNT(SimData!$D$9:$D$508)-1)+$Q$1000</f>
        <v>4.9696969696969706</v>
      </c>
    </row>
    <row r="1002" spans="12:17">
      <c r="L1002" t="e">
        <f>SMALL(SimData!$B$9:$B$508,494)</f>
        <v>#NUM!</v>
      </c>
      <c r="M1002">
        <f>1/(COUNT(SimData!$B$9:$B$508)-1)+$M$1001</f>
        <v>4.979797979797981</v>
      </c>
      <c r="N1002" t="e">
        <f>SMALL(SimData!$C$9:$C$508,494)</f>
        <v>#NUM!</v>
      </c>
      <c r="O1002">
        <f>1/(COUNT(SimData!$C$9:$C$508)-1)+$O$1001</f>
        <v>4.979797979797981</v>
      </c>
      <c r="P1002" t="e">
        <f>SMALL(SimData!$D$9:$D$508,494)</f>
        <v>#NUM!</v>
      </c>
      <c r="Q1002">
        <f>1/(COUNT(SimData!$D$9:$D$508)-1)+$Q$1001</f>
        <v>4.979797979797981</v>
      </c>
    </row>
    <row r="1003" spans="12:17">
      <c r="L1003" t="e">
        <f>SMALL(SimData!$B$9:$B$508,495)</f>
        <v>#NUM!</v>
      </c>
      <c r="M1003">
        <f>1/(COUNT(SimData!$B$9:$B$508)-1)+$M$1002</f>
        <v>4.9898989898989914</v>
      </c>
      <c r="N1003" t="e">
        <f>SMALL(SimData!$C$9:$C$508,495)</f>
        <v>#NUM!</v>
      </c>
      <c r="O1003">
        <f>1/(COUNT(SimData!$C$9:$C$508)-1)+$O$1002</f>
        <v>4.9898989898989914</v>
      </c>
      <c r="P1003" t="e">
        <f>SMALL(SimData!$D$9:$D$508,495)</f>
        <v>#NUM!</v>
      </c>
      <c r="Q1003">
        <f>1/(COUNT(SimData!$D$9:$D$508)-1)+$Q$1002</f>
        <v>4.9898989898989914</v>
      </c>
    </row>
    <row r="1004" spans="12:17">
      <c r="L1004" t="e">
        <f>SMALL(SimData!$B$9:$B$508,496)</f>
        <v>#NUM!</v>
      </c>
      <c r="M1004">
        <f>1/(COUNT(SimData!$B$9:$B$508)-1)+$M$1003</f>
        <v>5.0000000000000018</v>
      </c>
      <c r="N1004" t="e">
        <f>SMALL(SimData!$C$9:$C$508,496)</f>
        <v>#NUM!</v>
      </c>
      <c r="O1004">
        <f>1/(COUNT(SimData!$C$9:$C$508)-1)+$O$1003</f>
        <v>5.0000000000000018</v>
      </c>
      <c r="P1004" t="e">
        <f>SMALL(SimData!$D$9:$D$508,496)</f>
        <v>#NUM!</v>
      </c>
      <c r="Q1004">
        <f>1/(COUNT(SimData!$D$9:$D$508)-1)+$Q$1003</f>
        <v>5.0000000000000018</v>
      </c>
    </row>
    <row r="1005" spans="12:17">
      <c r="L1005" t="e">
        <f>SMALL(SimData!$B$9:$B$508,497)</f>
        <v>#NUM!</v>
      </c>
      <c r="M1005">
        <f>1/(COUNT(SimData!$B$9:$B$508)-1)+$M$1004</f>
        <v>5.0101010101010122</v>
      </c>
      <c r="N1005" t="e">
        <f>SMALL(SimData!$C$9:$C$508,497)</f>
        <v>#NUM!</v>
      </c>
      <c r="O1005">
        <f>1/(COUNT(SimData!$C$9:$C$508)-1)+$O$1004</f>
        <v>5.0101010101010122</v>
      </c>
      <c r="P1005" t="e">
        <f>SMALL(SimData!$D$9:$D$508,497)</f>
        <v>#NUM!</v>
      </c>
      <c r="Q1005">
        <f>1/(COUNT(SimData!$D$9:$D$508)-1)+$Q$1004</f>
        <v>5.0101010101010122</v>
      </c>
    </row>
    <row r="1006" spans="12:17">
      <c r="L1006" t="e">
        <f>SMALL(SimData!$B$9:$B$508,498)</f>
        <v>#NUM!</v>
      </c>
      <c r="M1006">
        <f>1/(COUNT(SimData!$B$9:$B$508)-1)+$M$1005</f>
        <v>5.0202020202020226</v>
      </c>
      <c r="N1006" t="e">
        <f>SMALL(SimData!$C$9:$C$508,498)</f>
        <v>#NUM!</v>
      </c>
      <c r="O1006">
        <f>1/(COUNT(SimData!$C$9:$C$508)-1)+$O$1005</f>
        <v>5.0202020202020226</v>
      </c>
      <c r="P1006" t="e">
        <f>SMALL(SimData!$D$9:$D$508,498)</f>
        <v>#NUM!</v>
      </c>
      <c r="Q1006">
        <f>1/(COUNT(SimData!$D$9:$D$508)-1)+$Q$1005</f>
        <v>5.0202020202020226</v>
      </c>
    </row>
    <row r="1007" spans="12:17">
      <c r="L1007" t="e">
        <f>SMALL(SimData!$B$9:$B$508,499)</f>
        <v>#NUM!</v>
      </c>
      <c r="M1007">
        <f>1/(COUNT(SimData!$B$9:$B$508)-1)+$M$1006</f>
        <v>5.0303030303030329</v>
      </c>
      <c r="N1007" t="e">
        <f>SMALL(SimData!$C$9:$C$508,499)</f>
        <v>#NUM!</v>
      </c>
      <c r="O1007">
        <f>1/(COUNT(SimData!$C$9:$C$508)-1)+$O$1006</f>
        <v>5.0303030303030329</v>
      </c>
      <c r="P1007" t="e">
        <f>SMALL(SimData!$D$9:$D$508,499)</f>
        <v>#NUM!</v>
      </c>
      <c r="Q1007">
        <f>1/(COUNT(SimData!$D$9:$D$508)-1)+$Q$1006</f>
        <v>5.0303030303030329</v>
      </c>
    </row>
    <row r="1008" spans="12:17">
      <c r="L1008" t="e">
        <f>SMALL(SimData!$B$9:$B$508,500)</f>
        <v>#NUM!</v>
      </c>
      <c r="M1008">
        <f>1/(COUNT(SimData!$B$9:$B$508)-1)+$M$1007</f>
        <v>5.0404040404040433</v>
      </c>
      <c r="N1008" t="e">
        <f>SMALL(SimData!$C$9:$C$508,500)</f>
        <v>#NUM!</v>
      </c>
      <c r="O1008">
        <f>1/(COUNT(SimData!$C$9:$C$508)-1)+$O$1007</f>
        <v>5.0404040404040433</v>
      </c>
      <c r="P1008" t="e">
        <f>SMALL(SimData!$D$9:$D$508,500)</f>
        <v>#NUM!</v>
      </c>
      <c r="Q1008">
        <f>1/(COUNT(SimData!$D$9:$D$508)-1)+$Q$1007</f>
        <v>5.0404040404040433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SimData</vt:lpstr>
      <vt:lpstr>Sheet1!Print_Area</vt:lpstr>
    </vt:vector>
  </TitlesOfParts>
  <Company>TAMU -- 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AFPC TAMU System</dc:creator>
  <cp:lastModifiedBy>James W. Richardson</cp:lastModifiedBy>
  <cp:lastPrinted>2002-11-23T02:51:21Z</cp:lastPrinted>
  <dcterms:created xsi:type="dcterms:W3CDTF">2000-07-04T01:13:13Z</dcterms:created>
  <dcterms:modified xsi:type="dcterms:W3CDTF">2011-02-07T04:29:12Z</dcterms:modified>
</cp:coreProperties>
</file>