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085" windowHeight="10590"/>
  </bookViews>
  <sheets>
    <sheet name="Formula" sheetId="5" r:id="rId1"/>
    <sheet name="WholeLife" sheetId="2" r:id="rId2"/>
    <sheet name="Sheet1" sheetId="1" r:id="rId3"/>
    <sheet name="Chart7" sheetId="12" r:id="rId4"/>
  </sheets>
  <definedNames>
    <definedName name="_xlnm.Print_Area" localSheetId="0">Formula!$A$4:$N$82</definedName>
    <definedName name="_xlnm.Print_Area" localSheetId="2">Sheet1!$A$1:$M$56</definedName>
    <definedName name="_xlnm.Print_Area" localSheetId="1">WholeLife!$A$1:$N$56</definedName>
    <definedName name="solver_adj" localSheetId="0" hidden="1">Formula!$D$48</definedName>
    <definedName name="solver_adj" localSheetId="2" hidden="1">Sheet1!$J$3</definedName>
    <definedName name="solver_adj" localSheetId="1" hidden="1">WholeLife!$G$5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itr" localSheetId="0" hidden="1">100</definedName>
    <definedName name="solver_itr" localSheetId="2" hidden="1">100</definedName>
    <definedName name="solver_itr" localSheetId="1" hidden="1">100</definedName>
    <definedName name="solver_lin" localSheetId="0" hidden="1">2</definedName>
    <definedName name="solver_lin" localSheetId="2" hidden="1">2</definedName>
    <definedName name="solver_lin" localSheetId="1" hidden="1">2</definedName>
    <definedName name="solver_neg" localSheetId="0" hidden="1">2</definedName>
    <definedName name="solver_neg" localSheetId="2" hidden="1">2</definedName>
    <definedName name="solver_neg" localSheetId="1" hidden="1">2</definedName>
    <definedName name="solver_num" localSheetId="0" hidden="1">0</definedName>
    <definedName name="solver_num" localSheetId="2" hidden="1">0</definedName>
    <definedName name="solver_num" localSheetId="1" hidden="1">0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opt" localSheetId="0" hidden="1">Formula!$E$72</definedName>
    <definedName name="solver_opt" localSheetId="2" hidden="1">Sheet1!$J$6</definedName>
    <definedName name="solver_opt" localSheetId="1" hidden="1">WholeLife!$N$5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scl" localSheetId="0" hidden="1">2</definedName>
    <definedName name="solver_scl" localSheetId="2" hidden="1">2</definedName>
    <definedName name="solver_scl" localSheetId="1" hidden="1">2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tim" localSheetId="0" hidden="1">100</definedName>
    <definedName name="solver_tim" localSheetId="2" hidden="1">100</definedName>
    <definedName name="solver_tim" localSheetId="1" hidden="1">100</definedName>
    <definedName name="solver_tol" localSheetId="0" hidden="1">0.05</definedName>
    <definedName name="solver_tol" localSheetId="2" hidden="1">0.05</definedName>
    <definedName name="solver_tol" localSheetId="1" hidden="1">0.05</definedName>
    <definedName name="solver_typ" localSheetId="0" hidden="1">3</definedName>
    <definedName name="solver_typ" localSheetId="2" hidden="1">3</definedName>
    <definedName name="solver_typ" localSheetId="1" hidden="1">3</definedName>
    <definedName name="solver_val" localSheetId="0" hidden="1">12166.1</definedName>
    <definedName name="solver_val" localSheetId="2" hidden="1">100000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D56" i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J14"/>
  <c r="D14"/>
  <c r="D13"/>
  <c r="D12"/>
  <c r="D11"/>
  <c r="D10"/>
  <c r="D9"/>
  <c r="D8"/>
  <c r="D7"/>
  <c r="I10" i="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N11"/>
  <c r="N12"/>
  <c r="N13"/>
  <c r="N14" s="1"/>
  <c r="N15" s="1"/>
  <c r="N16" s="1"/>
  <c r="T1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U9"/>
  <c r="S9"/>
  <c r="I82" i="5"/>
  <c r="E82"/>
  <c r="D82"/>
  <c r="I81"/>
  <c r="E81"/>
  <c r="D81"/>
  <c r="I80"/>
  <c r="E80"/>
  <c r="D80"/>
  <c r="I79"/>
  <c r="E79"/>
  <c r="D79"/>
  <c r="I78"/>
  <c r="E78"/>
  <c r="D78"/>
  <c r="I77"/>
  <c r="E77"/>
  <c r="D77"/>
  <c r="I76"/>
  <c r="E76"/>
  <c r="D76"/>
  <c r="I75"/>
  <c r="E75"/>
  <c r="D75"/>
  <c r="I74"/>
  <c r="E74"/>
  <c r="D74"/>
  <c r="I73"/>
  <c r="E73"/>
  <c r="D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J53"/>
  <c r="J54" s="1"/>
  <c r="M72"/>
  <c r="L72"/>
  <c r="G47"/>
  <c r="G49"/>
  <c r="F72" s="1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E54" s="1"/>
  <c r="D53"/>
  <c r="E53" s="1"/>
  <c r="E55"/>
  <c r="E56" s="1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H45"/>
  <c r="I45" s="1"/>
  <c r="E45"/>
  <c r="D45"/>
  <c r="H44"/>
  <c r="I44" s="1"/>
  <c r="E44"/>
  <c r="D44"/>
  <c r="H43"/>
  <c r="I43" s="1"/>
  <c r="E43"/>
  <c r="D43"/>
  <c r="H42"/>
  <c r="I42" s="1"/>
  <c r="E42"/>
  <c r="D42"/>
  <c r="H41"/>
  <c r="I41" s="1"/>
  <c r="E41"/>
  <c r="D41"/>
  <c r="H40"/>
  <c r="I40" s="1"/>
  <c r="E40"/>
  <c r="D40"/>
  <c r="H39"/>
  <c r="I39" s="1"/>
  <c r="E39"/>
  <c r="D39"/>
  <c r="H38"/>
  <c r="I38" s="1"/>
  <c r="E38"/>
  <c r="D38"/>
  <c r="H37"/>
  <c r="I37" s="1"/>
  <c r="E37"/>
  <c r="D37"/>
  <c r="H36"/>
  <c r="I36" s="1"/>
  <c r="E36"/>
  <c r="D36"/>
  <c r="W17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V35"/>
  <c r="U17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T35"/>
  <c r="H35"/>
  <c r="I35" s="1"/>
  <c r="H34"/>
  <c r="I34" s="1"/>
  <c r="H33"/>
  <c r="I33" s="1"/>
  <c r="H32"/>
  <c r="I32" s="1"/>
  <c r="H31"/>
  <c r="I31" s="1"/>
  <c r="H30"/>
  <c r="I30" s="1"/>
  <c r="H29"/>
  <c r="I29"/>
  <c r="H28"/>
  <c r="I28" s="1"/>
  <c r="H27"/>
  <c r="I27" s="1"/>
  <c r="H26"/>
  <c r="I26" s="1"/>
  <c r="H25"/>
  <c r="I25" s="1"/>
  <c r="H24"/>
  <c r="I24" s="1"/>
  <c r="H23"/>
  <c r="M23" s="1"/>
  <c r="H22"/>
  <c r="I22" s="1"/>
  <c r="H21"/>
  <c r="I21"/>
  <c r="H20"/>
  <c r="I20" s="1"/>
  <c r="H19"/>
  <c r="I19" s="1"/>
  <c r="H18"/>
  <c r="I18" s="1"/>
  <c r="H17"/>
  <c r="I17" s="1"/>
  <c r="J17" s="1"/>
  <c r="H16"/>
  <c r="I16" s="1"/>
  <c r="J16"/>
  <c r="M35"/>
  <c r="L35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E16" s="1"/>
  <c r="E17"/>
  <c r="E18" s="1"/>
  <c r="E19" s="1"/>
  <c r="V34"/>
  <c r="T34"/>
  <c r="M34"/>
  <c r="L34"/>
  <c r="V33"/>
  <c r="T33"/>
  <c r="M33"/>
  <c r="L33"/>
  <c r="V32"/>
  <c r="T32"/>
  <c r="M32"/>
  <c r="L32"/>
  <c r="V31"/>
  <c r="T31"/>
  <c r="M31"/>
  <c r="L31"/>
  <c r="V30"/>
  <c r="T30"/>
  <c r="M30"/>
  <c r="L30"/>
  <c r="V29"/>
  <c r="T29"/>
  <c r="M29"/>
  <c r="L29"/>
  <c r="V28"/>
  <c r="T28"/>
  <c r="M28"/>
  <c r="L28"/>
  <c r="V27"/>
  <c r="T27"/>
  <c r="M27"/>
  <c r="L27"/>
  <c r="V26"/>
  <c r="T26"/>
  <c r="M26"/>
  <c r="L26"/>
  <c r="V25"/>
  <c r="T25"/>
  <c r="M25"/>
  <c r="L25"/>
  <c r="G10"/>
  <c r="G12"/>
  <c r="F25"/>
  <c r="V24"/>
  <c r="T24"/>
  <c r="M24"/>
  <c r="L24"/>
  <c r="V23"/>
  <c r="T23"/>
  <c r="L23"/>
  <c r="V22"/>
  <c r="T22"/>
  <c r="M22"/>
  <c r="L22"/>
  <c r="V21"/>
  <c r="T21"/>
  <c r="M21"/>
  <c r="L21"/>
  <c r="V20"/>
  <c r="T20"/>
  <c r="M20"/>
  <c r="L20"/>
  <c r="V19"/>
  <c r="T19"/>
  <c r="L19"/>
  <c r="V18"/>
  <c r="T18"/>
  <c r="M18"/>
  <c r="L18"/>
  <c r="V17"/>
  <c r="T17"/>
  <c r="L17"/>
  <c r="V16"/>
  <c r="T16"/>
  <c r="M16"/>
  <c r="L16"/>
  <c r="V15"/>
  <c r="T15"/>
  <c r="F39" i="1"/>
  <c r="F37"/>
  <c r="F35"/>
  <c r="F33"/>
  <c r="F31"/>
  <c r="F29"/>
  <c r="F27"/>
  <c r="F25"/>
  <c r="F23"/>
  <c r="F21"/>
  <c r="F19"/>
  <c r="F17"/>
  <c r="F15"/>
  <c r="F12"/>
  <c r="F9"/>
  <c r="F13"/>
  <c r="F11"/>
  <c r="F10"/>
  <c r="F8"/>
  <c r="F14"/>
  <c r="K10"/>
  <c r="F7"/>
  <c r="F38"/>
  <c r="F30"/>
  <c r="F22"/>
  <c r="A1" i="2"/>
  <c r="F32" i="1"/>
  <c r="F24"/>
  <c r="F16"/>
  <c r="A1" i="5"/>
  <c r="F36" i="1"/>
  <c r="F28"/>
  <c r="F20"/>
  <c r="F34"/>
  <c r="F26"/>
  <c r="F18"/>
  <c r="N17" i="2" l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U43"/>
  <c r="U35"/>
  <c r="U19"/>
  <c r="U51"/>
  <c r="U27"/>
  <c r="U11"/>
  <c r="C32" i="1"/>
  <c r="C33" s="1"/>
  <c r="C34" s="1"/>
  <c r="C35" s="1"/>
  <c r="C36" s="1"/>
  <c r="C37" s="1"/>
  <c r="C38" s="1"/>
  <c r="C39" s="1"/>
  <c r="C40" s="1"/>
  <c r="E22" i="5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V11" i="2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U54"/>
  <c r="U52"/>
  <c r="U50"/>
  <c r="U48"/>
  <c r="U46"/>
  <c r="U44"/>
  <c r="U42"/>
  <c r="U40"/>
  <c r="U38"/>
  <c r="U36"/>
  <c r="U34"/>
  <c r="U32"/>
  <c r="U30"/>
  <c r="U28"/>
  <c r="U26"/>
  <c r="U24"/>
  <c r="U22"/>
  <c r="U20"/>
  <c r="U18"/>
  <c r="U16"/>
  <c r="U14"/>
  <c r="U12"/>
  <c r="U10"/>
  <c r="D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I23" i="5"/>
  <c r="U21" i="2"/>
  <c r="U37"/>
  <c r="U45"/>
  <c r="U53"/>
  <c r="M17" i="5"/>
  <c r="M19"/>
  <c r="E20"/>
  <c r="E21" s="1"/>
  <c r="E57"/>
  <c r="U17" i="2"/>
  <c r="U25"/>
  <c r="U33"/>
  <c r="U41"/>
  <c r="U49"/>
  <c r="U55"/>
  <c r="J18" i="5"/>
  <c r="J19" s="1"/>
  <c r="J20" s="1"/>
  <c r="J21" s="1"/>
  <c r="J22" s="1"/>
  <c r="U13" i="2"/>
  <c r="U29"/>
  <c r="E58" i="5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J55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N72" s="1"/>
  <c r="U15" i="2"/>
  <c r="U23"/>
  <c r="U31"/>
  <c r="U39"/>
  <c r="U47"/>
  <c r="I50" l="1"/>
  <c r="D50" s="1"/>
  <c r="M50"/>
  <c r="C50" s="1"/>
  <c r="I42"/>
  <c r="D42" s="1"/>
  <c r="M42"/>
  <c r="C42" s="1"/>
  <c r="M34"/>
  <c r="C34" s="1"/>
  <c r="I34"/>
  <c r="D34" s="1"/>
  <c r="I26"/>
  <c r="D26" s="1"/>
  <c r="M26"/>
  <c r="C26" s="1"/>
  <c r="M18"/>
  <c r="C18" s="1"/>
  <c r="I18"/>
  <c r="D18" s="1"/>
  <c r="F10"/>
  <c r="C41" i="1"/>
  <c r="C42" s="1"/>
  <c r="C43" s="1"/>
  <c r="C44" s="1"/>
  <c r="J6"/>
  <c r="I55" i="2"/>
  <c r="M55"/>
  <c r="C55" s="1"/>
  <c r="M53"/>
  <c r="C53" s="1"/>
  <c r="I53"/>
  <c r="D53" s="1"/>
  <c r="M49"/>
  <c r="C49" s="1"/>
  <c r="I49"/>
  <c r="D49" s="1"/>
  <c r="M45"/>
  <c r="C45" s="1"/>
  <c r="I45"/>
  <c r="D45" s="1"/>
  <c r="M41"/>
  <c r="C41" s="1"/>
  <c r="I41"/>
  <c r="D41" s="1"/>
  <c r="M37"/>
  <c r="C37" s="1"/>
  <c r="I37"/>
  <c r="D37" s="1"/>
  <c r="M33"/>
  <c r="C33" s="1"/>
  <c r="I33"/>
  <c r="D33" s="1"/>
  <c r="M29"/>
  <c r="C29" s="1"/>
  <c r="I29"/>
  <c r="D29" s="1"/>
  <c r="M25"/>
  <c r="C25" s="1"/>
  <c r="I25"/>
  <c r="D25" s="1"/>
  <c r="M21"/>
  <c r="C21" s="1"/>
  <c r="I21"/>
  <c r="D21" s="1"/>
  <c r="M17"/>
  <c r="C17" s="1"/>
  <c r="I17"/>
  <c r="D17" s="1"/>
  <c r="M13"/>
  <c r="C13" s="1"/>
  <c r="I13"/>
  <c r="D13" s="1"/>
  <c r="J23" i="5"/>
  <c r="J24" s="1"/>
  <c r="J25" s="1"/>
  <c r="J26" s="1"/>
  <c r="J27" s="1"/>
  <c r="J28" s="1"/>
  <c r="J29" s="1"/>
  <c r="J30" s="1"/>
  <c r="J31" s="1"/>
  <c r="J32" s="1"/>
  <c r="J33" s="1"/>
  <c r="J34" s="1"/>
  <c r="J35" s="1"/>
  <c r="N35" s="1"/>
  <c r="M54" i="2"/>
  <c r="C54" s="1"/>
  <c r="I54"/>
  <c r="D54" s="1"/>
  <c r="M46"/>
  <c r="C46" s="1"/>
  <c r="I46"/>
  <c r="D46" s="1"/>
  <c r="M38"/>
  <c r="C38" s="1"/>
  <c r="I38"/>
  <c r="D38" s="1"/>
  <c r="M30"/>
  <c r="C30" s="1"/>
  <c r="I30"/>
  <c r="D30" s="1"/>
  <c r="M22"/>
  <c r="C22" s="1"/>
  <c r="I22"/>
  <c r="D22" s="1"/>
  <c r="M14"/>
  <c r="C14" s="1"/>
  <c r="I14"/>
  <c r="D14" s="1"/>
  <c r="I51"/>
  <c r="D51" s="1"/>
  <c r="M51"/>
  <c r="C51" s="1"/>
  <c r="I47"/>
  <c r="D47" s="1"/>
  <c r="M47"/>
  <c r="C47" s="1"/>
  <c r="I43"/>
  <c r="D43" s="1"/>
  <c r="M43"/>
  <c r="C43" s="1"/>
  <c r="I39"/>
  <c r="D39" s="1"/>
  <c r="M39"/>
  <c r="C39" s="1"/>
  <c r="I35"/>
  <c r="D35" s="1"/>
  <c r="M35"/>
  <c r="C35" s="1"/>
  <c r="I31"/>
  <c r="D31" s="1"/>
  <c r="M31"/>
  <c r="C31" s="1"/>
  <c r="I27"/>
  <c r="D27" s="1"/>
  <c r="M27"/>
  <c r="C27" s="1"/>
  <c r="I23"/>
  <c r="D23" s="1"/>
  <c r="M23"/>
  <c r="C23" s="1"/>
  <c r="I19"/>
  <c r="D19" s="1"/>
  <c r="M19"/>
  <c r="C19" s="1"/>
  <c r="I15"/>
  <c r="D15" s="1"/>
  <c r="M15"/>
  <c r="C15" s="1"/>
  <c r="M11"/>
  <c r="C11" s="1"/>
  <c r="I11"/>
  <c r="D11" s="1"/>
  <c r="M52"/>
  <c r="C52" s="1"/>
  <c r="I52"/>
  <c r="D52" s="1"/>
  <c r="M48"/>
  <c r="C48" s="1"/>
  <c r="I48"/>
  <c r="D48" s="1"/>
  <c r="M44"/>
  <c r="C44" s="1"/>
  <c r="I44"/>
  <c r="D44" s="1"/>
  <c r="M40"/>
  <c r="C40" s="1"/>
  <c r="I40"/>
  <c r="D40" s="1"/>
  <c r="M36"/>
  <c r="C36" s="1"/>
  <c r="I36"/>
  <c r="D36" s="1"/>
  <c r="M32"/>
  <c r="C32" s="1"/>
  <c r="I32"/>
  <c r="D32" s="1"/>
  <c r="M28"/>
  <c r="C28" s="1"/>
  <c r="I28"/>
  <c r="D28" s="1"/>
  <c r="M24"/>
  <c r="C24" s="1"/>
  <c r="I24"/>
  <c r="D24" s="1"/>
  <c r="M20"/>
  <c r="C20" s="1"/>
  <c r="I20"/>
  <c r="D20" s="1"/>
  <c r="M16"/>
  <c r="C16" s="1"/>
  <c r="I16"/>
  <c r="D16" s="1"/>
  <c r="M12"/>
  <c r="C12" s="1"/>
  <c r="I12"/>
  <c r="D12" s="1"/>
  <c r="D56" l="1"/>
  <c r="C56"/>
  <c r="D55"/>
  <c r="C45" i="1"/>
  <c r="C46" s="1"/>
  <c r="C47" s="1"/>
  <c r="C48" s="1"/>
  <c r="C49" s="1"/>
  <c r="C50" s="1"/>
  <c r="C51" s="1"/>
  <c r="C52" s="1"/>
  <c r="C53" s="1"/>
  <c r="C54" s="1"/>
  <c r="C55" s="1"/>
  <c r="C56" s="1"/>
  <c r="J10"/>
  <c r="E23" i="2"/>
  <c r="E13"/>
  <c r="E21"/>
  <c r="E45"/>
  <c r="E28"/>
  <c r="E19"/>
  <c r="E16"/>
  <c r="E40"/>
  <c r="E11"/>
  <c r="E38"/>
  <c r="G10"/>
  <c r="F11" s="1"/>
  <c r="G11" s="1"/>
  <c r="F12" s="1"/>
  <c r="G12" s="1"/>
  <c r="F13" s="1"/>
  <c r="G13" s="1"/>
  <c r="F14" s="1"/>
  <c r="G14" s="1"/>
  <c r="F15" s="1"/>
  <c r="G15" s="1"/>
  <c r="F16" s="1"/>
  <c r="G16" s="1"/>
  <c r="F17" s="1"/>
  <c r="G17" s="1"/>
  <c r="F18" s="1"/>
  <c r="G18" s="1"/>
  <c r="F19" s="1"/>
  <c r="G19" s="1"/>
  <c r="F20" s="1"/>
  <c r="G20" s="1"/>
  <c r="F21" s="1"/>
  <c r="G21" s="1"/>
  <c r="F22" s="1"/>
  <c r="G22" s="1"/>
  <c r="F23" s="1"/>
  <c r="G23" s="1"/>
  <c r="F24" s="1"/>
  <c r="G24" s="1"/>
  <c r="F25" s="1"/>
  <c r="G25" s="1"/>
  <c r="F26" s="1"/>
  <c r="G26" s="1"/>
  <c r="F27" s="1"/>
  <c r="G27" s="1"/>
  <c r="F28" s="1"/>
  <c r="G28" s="1"/>
  <c r="F29" s="1"/>
  <c r="G29" s="1"/>
  <c r="F30" s="1"/>
  <c r="G30" s="1"/>
  <c r="F31" s="1"/>
  <c r="G31" s="1"/>
  <c r="F32" s="1"/>
  <c r="G32" s="1"/>
  <c r="F33" s="1"/>
  <c r="G33" s="1"/>
  <c r="F34" s="1"/>
  <c r="G34" s="1"/>
  <c r="F35" s="1"/>
  <c r="G35" s="1"/>
  <c r="F36" s="1"/>
  <c r="G36" s="1"/>
  <c r="F37" s="1"/>
  <c r="G37" s="1"/>
  <c r="F38" s="1"/>
  <c r="G38" s="1"/>
  <c r="F39" s="1"/>
  <c r="G39" s="1"/>
  <c r="F40" s="1"/>
  <c r="G40" s="1"/>
  <c r="F41" s="1"/>
  <c r="G41" s="1"/>
  <c r="F42" s="1"/>
  <c r="G42" s="1"/>
  <c r="F43" s="1"/>
  <c r="G43" s="1"/>
  <c r="F44" s="1"/>
  <c r="G44" s="1"/>
  <c r="F45" s="1"/>
  <c r="G45" s="1"/>
  <c r="F46" s="1"/>
  <c r="G46" s="1"/>
  <c r="F47" s="1"/>
  <c r="G47" s="1"/>
  <c r="F48" s="1"/>
  <c r="G48" s="1"/>
  <c r="F49" s="1"/>
  <c r="G49" s="1"/>
  <c r="F50" s="1"/>
  <c r="G50" s="1"/>
  <c r="F51" s="1"/>
  <c r="G51" s="1"/>
  <c r="F52" s="1"/>
  <c r="G52" s="1"/>
  <c r="F53" s="1"/>
  <c r="G53" s="1"/>
  <c r="F54" s="1"/>
  <c r="G54" s="1"/>
  <c r="F55" s="1"/>
  <c r="G55" s="1"/>
  <c r="F56" s="1"/>
  <c r="G56" s="1"/>
  <c r="I5" s="1"/>
  <c r="N5" s="1"/>
  <c r="E10"/>
  <c r="E15"/>
  <c r="E18"/>
  <c r="E20"/>
  <c r="E14"/>
  <c r="E30"/>
  <c r="C58"/>
  <c r="E27"/>
  <c r="E35"/>
  <c r="E51"/>
  <c r="E17"/>
  <c r="E25"/>
  <c r="E41"/>
  <c r="E49"/>
  <c r="E56" l="1"/>
  <c r="E46"/>
  <c r="E36"/>
  <c r="E54"/>
  <c r="E48"/>
  <c r="E44"/>
  <c r="E53"/>
  <c r="E33"/>
  <c r="E43"/>
  <c r="E26"/>
  <c r="E52"/>
  <c r="E39"/>
  <c r="E50"/>
  <c r="E24"/>
  <c r="D58"/>
  <c r="E34"/>
  <c r="E29"/>
  <c r="E31"/>
  <c r="E55"/>
  <c r="E22"/>
  <c r="E32"/>
  <c r="E42"/>
  <c r="E12"/>
  <c r="E58" s="1"/>
  <c r="E37"/>
  <c r="E47"/>
  <c r="E60" l="1"/>
</calcChain>
</file>

<file path=xl/sharedStrings.xml><?xml version="1.0" encoding="utf-8"?>
<sst xmlns="http://schemas.openxmlformats.org/spreadsheetml/2006/main" count="116" uniqueCount="74">
  <si>
    <t>Life Insurance Premiums</t>
  </si>
  <si>
    <t xml:space="preserve">Age </t>
  </si>
  <si>
    <t>E(life)</t>
  </si>
  <si>
    <t>Indemnity</t>
  </si>
  <si>
    <t>Interest Rate</t>
  </si>
  <si>
    <t>Premium</t>
  </si>
  <si>
    <t>Sum of Premiums &amp; Earnings at E(life)</t>
  </si>
  <si>
    <t>Age The Insurance Company Expects You to Live</t>
  </si>
  <si>
    <t>Return</t>
  </si>
  <si>
    <t>Age</t>
  </si>
  <si>
    <t>Years</t>
  </si>
  <si>
    <t>Historical Life Tables Expected Life Expectancy</t>
  </si>
  <si>
    <t>Change Variable</t>
  </si>
  <si>
    <t>Target Value equal to F3</t>
  </si>
  <si>
    <t>Living</t>
  </si>
  <si>
    <t>Insurance Face Value</t>
  </si>
  <si>
    <t>Pay Out</t>
  </si>
  <si>
    <t>Number of Policies</t>
  </si>
  <si>
    <t>Investment Rate</t>
  </si>
  <si>
    <t>Policies</t>
  </si>
  <si>
    <t>Fraction of</t>
  </si>
  <si>
    <t>Deaths</t>
  </si>
  <si>
    <t>Men Died</t>
  </si>
  <si>
    <t>Die  in t</t>
  </si>
  <si>
    <t>Prem + Interest</t>
  </si>
  <si>
    <t>Desired Return</t>
  </si>
  <si>
    <t>Ending Balance</t>
  </si>
  <si>
    <t>Face Value of Policy</t>
  </si>
  <si>
    <t xml:space="preserve">Term of Insurance </t>
  </si>
  <si>
    <t>P(death in term)</t>
  </si>
  <si>
    <t>Interest Rate for Reinvestment</t>
  </si>
  <si>
    <t xml:space="preserve">Annual </t>
  </si>
  <si>
    <t>Premiums</t>
  </si>
  <si>
    <t>PV of Sum</t>
  </si>
  <si>
    <t>E(PayOff)</t>
  </si>
  <si>
    <t>Risk Return</t>
  </si>
  <si>
    <t>Annual Premium</t>
  </si>
  <si>
    <t>CDFProb.</t>
  </si>
  <si>
    <t>Uniform Death</t>
  </si>
  <si>
    <t xml:space="preserve">Uniform </t>
  </si>
  <si>
    <t xml:space="preserve">PV of Sum </t>
  </si>
  <si>
    <t>Prob of</t>
  </si>
  <si>
    <t>Event</t>
  </si>
  <si>
    <t xml:space="preserve">Expected </t>
  </si>
  <si>
    <t>Pay Off</t>
  </si>
  <si>
    <t>Expected</t>
  </si>
  <si>
    <t xml:space="preserve">Use the Mid Point Method for a </t>
  </si>
  <si>
    <t>Assume a Uniform Distribution for the Event</t>
  </si>
  <si>
    <t>Assume a Non-Uniform Distribution of Event</t>
  </si>
  <si>
    <t xml:space="preserve">Treat Each Year Separately </t>
  </si>
  <si>
    <t>Target in on</t>
  </si>
  <si>
    <t xml:space="preserve">E(payoff) = </t>
  </si>
  <si>
    <t xml:space="preserve">Annual Premium </t>
  </si>
  <si>
    <t xml:space="preserve">Total Reserve </t>
  </si>
  <si>
    <t xml:space="preserve">Risk </t>
  </si>
  <si>
    <t>Reserve</t>
  </si>
  <si>
    <t>Risk Premium</t>
  </si>
  <si>
    <t>E(prem+RR)</t>
  </si>
  <si>
    <t>Population</t>
  </si>
  <si>
    <t>Cummul.</t>
  </si>
  <si>
    <t>Assume a Uniform Distribution of Event</t>
  </si>
  <si>
    <t xml:space="preserve">Cash Out and Pay Survivors </t>
  </si>
  <si>
    <t>Target</t>
  </si>
  <si>
    <t>No. ofActive</t>
  </si>
  <si>
    <t>No. of  Insured:</t>
  </si>
  <si>
    <t>Interest</t>
  </si>
  <si>
    <t>Sum</t>
  </si>
  <si>
    <t xml:space="preserve">Premiums </t>
  </si>
  <si>
    <t>Acct. Balance</t>
  </si>
  <si>
    <t>James W. Richardson</t>
  </si>
  <si>
    <t>Term Life Premium Calculator uses SOLVER to calculate the premiums</t>
  </si>
  <si>
    <t>Whole Life Insurance Policy fro a Company that Sells 1000 Policies</t>
  </si>
  <si>
    <t>Use Solver to set the Premiums.</t>
  </si>
  <si>
    <t>© 2011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</si>
</sst>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7" formatCode="0.0000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5" fontId="0" fillId="0" borderId="0" xfId="1" applyNumberFormat="1" applyFont="1"/>
    <xf numFmtId="167" fontId="0" fillId="0" borderId="0" xfId="0" applyNumberFormat="1"/>
    <xf numFmtId="0" fontId="2" fillId="0" borderId="0" xfId="0" applyFont="1"/>
    <xf numFmtId="0" fontId="0" fillId="0" borderId="1" xfId="0" applyBorder="1"/>
    <xf numFmtId="165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165" fontId="0" fillId="0" borderId="0" xfId="0" applyNumberFormat="1"/>
    <xf numFmtId="43" fontId="0" fillId="0" borderId="0" xfId="1" applyFont="1"/>
    <xf numFmtId="0" fontId="0" fillId="0" borderId="2" xfId="0" applyBorder="1"/>
    <xf numFmtId="0" fontId="0" fillId="0" borderId="3" xfId="0" applyBorder="1"/>
    <xf numFmtId="164" fontId="0" fillId="0" borderId="4" xfId="1" applyNumberFormat="1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5" fontId="0" fillId="0" borderId="0" xfId="1" applyNumberFormat="1" applyFont="1" applyBorder="1"/>
    <xf numFmtId="0" fontId="0" fillId="0" borderId="7" xfId="0" applyBorder="1"/>
    <xf numFmtId="0" fontId="0" fillId="0" borderId="8" xfId="0" applyBorder="1"/>
    <xf numFmtId="165" fontId="0" fillId="0" borderId="8" xfId="1" applyNumberFormat="1" applyFont="1" applyBorder="1"/>
    <xf numFmtId="0" fontId="0" fillId="0" borderId="9" xfId="0" applyBorder="1"/>
    <xf numFmtId="0" fontId="2" fillId="0" borderId="0" xfId="0" applyFont="1" applyBorder="1"/>
    <xf numFmtId="2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0" fontId="2" fillId="0" borderId="5" xfId="0" applyFont="1" applyBorder="1"/>
    <xf numFmtId="165" fontId="0" fillId="0" borderId="1" xfId="0" applyNumberFormat="1" applyBorder="1"/>
    <xf numFmtId="164" fontId="0" fillId="0" borderId="6" xfId="0" applyNumberFormat="1" applyBorder="1"/>
    <xf numFmtId="0" fontId="2" fillId="0" borderId="3" xfId="0" applyFont="1" applyBorder="1"/>
    <xf numFmtId="0" fontId="0" fillId="0" borderId="4" xfId="0" applyBorder="1"/>
    <xf numFmtId="165" fontId="0" fillId="0" borderId="6" xfId="0" applyNumberFormat="1" applyBorder="1"/>
    <xf numFmtId="2" fontId="0" fillId="0" borderId="8" xfId="0" applyNumberFormat="1" applyBorder="1"/>
    <xf numFmtId="0" fontId="2" fillId="0" borderId="0" xfId="0" applyFont="1" applyAlignment="1">
      <alignment horizontal="left" indent="1"/>
    </xf>
    <xf numFmtId="43" fontId="0" fillId="0" borderId="0" xfId="0" applyNumberFormat="1" applyBorder="1"/>
    <xf numFmtId="164" fontId="0" fillId="0" borderId="1" xfId="1" applyNumberFormat="1" applyFont="1" applyBorder="1" applyAlignment="1"/>
    <xf numFmtId="165" fontId="2" fillId="0" borderId="0" xfId="1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772475027746948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32186459489458E-2"/>
          <c:y val="0.12234910277324633"/>
          <c:w val="0.79245283018867929"/>
          <c:h val="0.81076672104404568"/>
        </c:manualLayout>
      </c:layout>
      <c:scatterChart>
        <c:scatterStyle val="smoothMarker"/>
        <c:ser>
          <c:idx val="0"/>
          <c:order val="0"/>
          <c:tx>
            <c:strRef>
              <c:f>WholeLife!$S$9</c:f>
              <c:strCache>
                <c:ptCount val="1"/>
                <c:pt idx="0">
                  <c:v>Population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WholeLife!$S$10:$S$55</c:f>
              <c:numCache>
                <c:formatCode>General</c:formatCode>
                <c:ptCount val="46"/>
                <c:pt idx="0">
                  <c:v>0</c:v>
                </c:pt>
                <c:pt idx="1">
                  <c:v>2.6452249490899167E-3</c:v>
                </c:pt>
                <c:pt idx="2">
                  <c:v>5.4584006885982405E-3</c:v>
                </c:pt>
                <c:pt idx="3">
                  <c:v>8.4395272185249729E-3</c:v>
                </c:pt>
                <c:pt idx="4">
                  <c:v>1.1588604538870111E-2</c:v>
                </c:pt>
                <c:pt idx="5">
                  <c:v>1.4916129574034808E-2</c:v>
                </c:pt>
                <c:pt idx="6">
                  <c:v>1.8443096172821364E-2</c:v>
                </c:pt>
                <c:pt idx="7">
                  <c:v>2.2200995108433229E-2</c:v>
                </c:pt>
                <c:pt idx="8">
                  <c:v>2.6231814078475007E-2</c:v>
                </c:pt>
                <c:pt idx="9">
                  <c:v>3.0588037704952449E-2</c:v>
                </c:pt>
                <c:pt idx="10">
                  <c:v>3.532215060987131E-2</c:v>
                </c:pt>
                <c:pt idx="11">
                  <c:v>4.0465643566435033E-2</c:v>
                </c:pt>
                <c:pt idx="12">
                  <c:v>4.6071001196649385E-2</c:v>
                </c:pt>
                <c:pt idx="13">
                  <c:v>5.2148720424915501E-2</c:v>
                </c:pt>
                <c:pt idx="14">
                  <c:v>5.8730292024436838E-2</c:v>
                </c:pt>
                <c:pt idx="15">
                  <c:v>6.5836709844015698E-2</c:v>
                </c:pt>
                <c:pt idx="16">
                  <c:v>7.3499464656855543E-2</c:v>
                </c:pt>
                <c:pt idx="17">
                  <c:v>8.1781538009363261E-2</c:v>
                </c:pt>
                <c:pt idx="18">
                  <c:v>8.8709508114122565E-2</c:v>
                </c:pt>
                <c:pt idx="19">
                  <c:v>0.10072848655343984</c:v>
                </c:pt>
                <c:pt idx="20">
                  <c:v>0.11166628177943863</c:v>
                </c:pt>
                <c:pt idx="21">
                  <c:v>0.12368526021875591</c:v>
                </c:pt>
                <c:pt idx="22">
                  <c:v>0.13680641572019397</c:v>
                </c:pt>
                <c:pt idx="23">
                  <c:v>0.15099825751054941</c:v>
                </c:pt>
                <c:pt idx="24">
                  <c:v>0.16621879789221758</c:v>
                </c:pt>
                <c:pt idx="25">
                  <c:v>0.18242604916759389</c:v>
                </c:pt>
                <c:pt idx="26">
                  <c:v>0.1996095144122772</c:v>
                </c:pt>
                <c:pt idx="27">
                  <c:v>0.21782167824827325</c:v>
                </c:pt>
                <c:pt idx="28">
                  <c:v>0.23716750991959357</c:v>
                </c:pt>
                <c:pt idx="29">
                  <c:v>0.2577729725190519</c:v>
                </c:pt>
                <c:pt idx="30">
                  <c:v>0.27973253836625867</c:v>
                </c:pt>
                <c:pt idx="31">
                  <c:v>0.30306720131001619</c:v>
                </c:pt>
                <c:pt idx="32">
                  <c:v>0.32771397980391748</c:v>
                </c:pt>
                <c:pt idx="33">
                  <c:v>0.35357840152835218</c:v>
                </c:pt>
                <c:pt idx="34">
                  <c:v>0.38051350954170426</c:v>
                </c:pt>
                <c:pt idx="35">
                  <c:v>0.40839334075115991</c:v>
                </c:pt>
                <c:pt idx="36">
                  <c:v>0.43714441668591103</c:v>
                </c:pt>
                <c:pt idx="37">
                  <c:v>0.46672474964835303</c:v>
                </c:pt>
                <c:pt idx="38">
                  <c:v>0.49712384271408477</c:v>
                </c:pt>
                <c:pt idx="39">
                  <c:v>0.52833119895870506</c:v>
                </c:pt>
                <c:pt idx="40">
                  <c:v>0.56030483068460946</c:v>
                </c:pt>
                <c:pt idx="41">
                  <c:v>0.59298175634539085</c:v>
                </c:pt>
                <c:pt idx="42">
                  <c:v>0.62625700669703777</c:v>
                </c:pt>
                <c:pt idx="43">
                  <c:v>0.6599941217223354</c:v>
                </c:pt>
                <c:pt idx="44">
                  <c:v>0.69403564755526626</c:v>
                </c:pt>
                <c:pt idx="45">
                  <c:v>0.72818214263220882</c:v>
                </c:pt>
              </c:numCache>
            </c:numRef>
          </c:xVal>
          <c:yVal>
            <c:numRef>
              <c:f>WholeLife!$T$10:$T$55</c:f>
              <c:numCache>
                <c:formatCode>General</c:formatCode>
                <c:ptCount val="46"/>
                <c:pt idx="0">
                  <c:v>0</c:v>
                </c:pt>
                <c:pt idx="1">
                  <c:v>2.2222222222222223E-2</c:v>
                </c:pt>
                <c:pt idx="2">
                  <c:v>4.4444444444444446E-2</c:v>
                </c:pt>
                <c:pt idx="3">
                  <c:v>6.6666666666666666E-2</c:v>
                </c:pt>
                <c:pt idx="4">
                  <c:v>8.8888888888888892E-2</c:v>
                </c:pt>
                <c:pt idx="5">
                  <c:v>0.11111111111111112</c:v>
                </c:pt>
                <c:pt idx="6">
                  <c:v>0.13333333333333333</c:v>
                </c:pt>
                <c:pt idx="7">
                  <c:v>0.15555555555555556</c:v>
                </c:pt>
                <c:pt idx="8">
                  <c:v>0.17777777777777778</c:v>
                </c:pt>
                <c:pt idx="9">
                  <c:v>0.2</c:v>
                </c:pt>
                <c:pt idx="10">
                  <c:v>0.22222222222222224</c:v>
                </c:pt>
                <c:pt idx="11">
                  <c:v>0.24444444444444446</c:v>
                </c:pt>
                <c:pt idx="12">
                  <c:v>0.26666666666666666</c:v>
                </c:pt>
                <c:pt idx="13">
                  <c:v>0.28888888888888886</c:v>
                </c:pt>
                <c:pt idx="14">
                  <c:v>0.31111111111111106</c:v>
                </c:pt>
                <c:pt idx="15">
                  <c:v>0.33333333333333326</c:v>
                </c:pt>
                <c:pt idx="16">
                  <c:v>0.35555555555555546</c:v>
                </c:pt>
                <c:pt idx="17">
                  <c:v>0.37777777777777766</c:v>
                </c:pt>
                <c:pt idx="18">
                  <c:v>0.39999999999999986</c:v>
                </c:pt>
                <c:pt idx="19">
                  <c:v>0.42222222222222205</c:v>
                </c:pt>
                <c:pt idx="20">
                  <c:v>0.44444444444444425</c:v>
                </c:pt>
                <c:pt idx="21">
                  <c:v>0.46666666666666645</c:v>
                </c:pt>
                <c:pt idx="22">
                  <c:v>0.48888888888888865</c:v>
                </c:pt>
                <c:pt idx="23">
                  <c:v>0.51111111111111085</c:v>
                </c:pt>
                <c:pt idx="24">
                  <c:v>0.5333333333333331</c:v>
                </c:pt>
                <c:pt idx="25">
                  <c:v>0.55555555555555536</c:v>
                </c:pt>
                <c:pt idx="26">
                  <c:v>0.57777777777777761</c:v>
                </c:pt>
                <c:pt idx="27">
                  <c:v>0.59999999999999987</c:v>
                </c:pt>
                <c:pt idx="28">
                  <c:v>0.62222222222222212</c:v>
                </c:pt>
                <c:pt idx="29">
                  <c:v>0.64444444444444438</c:v>
                </c:pt>
                <c:pt idx="30">
                  <c:v>0.66666666666666663</c:v>
                </c:pt>
                <c:pt idx="31">
                  <c:v>0.68888888888888888</c:v>
                </c:pt>
                <c:pt idx="32">
                  <c:v>0.71111111111111114</c:v>
                </c:pt>
                <c:pt idx="33">
                  <c:v>0.73333333333333339</c:v>
                </c:pt>
                <c:pt idx="34">
                  <c:v>0.75555555555555565</c:v>
                </c:pt>
                <c:pt idx="35">
                  <c:v>0.7777777777777779</c:v>
                </c:pt>
                <c:pt idx="36">
                  <c:v>0.80000000000000016</c:v>
                </c:pt>
                <c:pt idx="37">
                  <c:v>0.82222222222222241</c:v>
                </c:pt>
                <c:pt idx="38">
                  <c:v>0.84444444444444466</c:v>
                </c:pt>
                <c:pt idx="39">
                  <c:v>0.86666666666666692</c:v>
                </c:pt>
                <c:pt idx="40">
                  <c:v>0.88888888888888917</c:v>
                </c:pt>
                <c:pt idx="41">
                  <c:v>0.91111111111111143</c:v>
                </c:pt>
                <c:pt idx="42">
                  <c:v>0.93333333333333368</c:v>
                </c:pt>
                <c:pt idx="43">
                  <c:v>0.95555555555555594</c:v>
                </c:pt>
                <c:pt idx="44">
                  <c:v>0.97777777777777819</c:v>
                </c:pt>
                <c:pt idx="45">
                  <c:v>1.0000000000000004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WholeLife!$U$9</c:f>
              <c:strCache>
                <c:ptCount val="1"/>
                <c:pt idx="0">
                  <c:v>Uniform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WholeLife!$U$10:$U$55</c:f>
              <c:numCache>
                <c:formatCode>General</c:formatCode>
                <c:ptCount val="46"/>
                <c:pt idx="0">
                  <c:v>0</c:v>
                </c:pt>
                <c:pt idx="1">
                  <c:v>1.6181822222222222E-2</c:v>
                </c:pt>
                <c:pt idx="2">
                  <c:v>3.2363644444444443E-2</c:v>
                </c:pt>
                <c:pt idx="3">
                  <c:v>4.8545466666666662E-2</c:v>
                </c:pt>
                <c:pt idx="4">
                  <c:v>6.4727288888888887E-2</c:v>
                </c:pt>
                <c:pt idx="5">
                  <c:v>8.0909111111111112E-2</c:v>
                </c:pt>
                <c:pt idx="6">
                  <c:v>9.7090933333333337E-2</c:v>
                </c:pt>
                <c:pt idx="7">
                  <c:v>0.11327275555555556</c:v>
                </c:pt>
                <c:pt idx="8">
                  <c:v>0.12945457777777777</c:v>
                </c:pt>
                <c:pt idx="9">
                  <c:v>0.1456364</c:v>
                </c:pt>
                <c:pt idx="10">
                  <c:v>0.16181822222222222</c:v>
                </c:pt>
                <c:pt idx="11">
                  <c:v>0.17800004444444445</c:v>
                </c:pt>
                <c:pt idx="12">
                  <c:v>0.19418186666666667</c:v>
                </c:pt>
                <c:pt idx="13">
                  <c:v>0.2103636888888889</c:v>
                </c:pt>
                <c:pt idx="14">
                  <c:v>0.22654551111111113</c:v>
                </c:pt>
                <c:pt idx="15">
                  <c:v>0.24272733333333335</c:v>
                </c:pt>
                <c:pt idx="16">
                  <c:v>0.25890915555555555</c:v>
                </c:pt>
                <c:pt idx="17">
                  <c:v>0.27509097777777775</c:v>
                </c:pt>
                <c:pt idx="18">
                  <c:v>0.29127279999999994</c:v>
                </c:pt>
                <c:pt idx="19">
                  <c:v>0.30745462222222214</c:v>
                </c:pt>
                <c:pt idx="20">
                  <c:v>0.32363644444444434</c:v>
                </c:pt>
                <c:pt idx="21">
                  <c:v>0.33981826666666654</c:v>
                </c:pt>
                <c:pt idx="22">
                  <c:v>0.35600008888888873</c:v>
                </c:pt>
                <c:pt idx="23">
                  <c:v>0.37218191111111093</c:v>
                </c:pt>
                <c:pt idx="24">
                  <c:v>0.38836373333333313</c:v>
                </c:pt>
                <c:pt idx="25">
                  <c:v>0.40454555555555533</c:v>
                </c:pt>
                <c:pt idx="26">
                  <c:v>0.42072737777777752</c:v>
                </c:pt>
                <c:pt idx="27">
                  <c:v>0.43690919999999972</c:v>
                </c:pt>
                <c:pt idx="28">
                  <c:v>0.45309102222222192</c:v>
                </c:pt>
                <c:pt idx="29">
                  <c:v>0.46927284444444411</c:v>
                </c:pt>
                <c:pt idx="30">
                  <c:v>0.48545466666666631</c:v>
                </c:pt>
                <c:pt idx="31">
                  <c:v>0.50163648888888857</c:v>
                </c:pt>
                <c:pt idx="32">
                  <c:v>0.51781831111111076</c:v>
                </c:pt>
                <c:pt idx="33">
                  <c:v>0.53400013333333296</c:v>
                </c:pt>
                <c:pt idx="34">
                  <c:v>0.55018195555555516</c:v>
                </c:pt>
                <c:pt idx="35">
                  <c:v>0.56636377777777736</c:v>
                </c:pt>
                <c:pt idx="36">
                  <c:v>0.58254559999999955</c:v>
                </c:pt>
                <c:pt idx="37">
                  <c:v>0.59872742222222175</c:v>
                </c:pt>
                <c:pt idx="38">
                  <c:v>0.61490924444444395</c:v>
                </c:pt>
                <c:pt idx="39">
                  <c:v>0.63109106666666615</c:v>
                </c:pt>
                <c:pt idx="40">
                  <c:v>0.64727288888888834</c:v>
                </c:pt>
                <c:pt idx="41">
                  <c:v>0.66345471111111054</c:v>
                </c:pt>
                <c:pt idx="42">
                  <c:v>0.67963653333333274</c:v>
                </c:pt>
                <c:pt idx="43">
                  <c:v>0.69581835555555493</c:v>
                </c:pt>
                <c:pt idx="44">
                  <c:v>0.71200017777777713</c:v>
                </c:pt>
                <c:pt idx="45">
                  <c:v>0.728182</c:v>
                </c:pt>
              </c:numCache>
            </c:numRef>
          </c:xVal>
          <c:yVal>
            <c:numRef>
              <c:f>WholeLife!$V$10:$V$55</c:f>
              <c:numCache>
                <c:formatCode>General</c:formatCode>
                <c:ptCount val="46"/>
                <c:pt idx="0">
                  <c:v>0</c:v>
                </c:pt>
                <c:pt idx="1">
                  <c:v>2.2222222222222223E-2</c:v>
                </c:pt>
                <c:pt idx="2">
                  <c:v>4.4444444444444446E-2</c:v>
                </c:pt>
                <c:pt idx="3">
                  <c:v>6.6666666666666666E-2</c:v>
                </c:pt>
                <c:pt idx="4">
                  <c:v>8.8888888888888892E-2</c:v>
                </c:pt>
                <c:pt idx="5">
                  <c:v>0.11111111111111112</c:v>
                </c:pt>
                <c:pt idx="6">
                  <c:v>0.13333333333333333</c:v>
                </c:pt>
                <c:pt idx="7">
                  <c:v>0.15555555555555556</c:v>
                </c:pt>
                <c:pt idx="8">
                  <c:v>0.17777777777777778</c:v>
                </c:pt>
                <c:pt idx="9">
                  <c:v>0.2</c:v>
                </c:pt>
                <c:pt idx="10">
                  <c:v>0.22222222222222224</c:v>
                </c:pt>
                <c:pt idx="11">
                  <c:v>0.24444444444444446</c:v>
                </c:pt>
                <c:pt idx="12">
                  <c:v>0.26666666666666666</c:v>
                </c:pt>
                <c:pt idx="13">
                  <c:v>0.28888888888888886</c:v>
                </c:pt>
                <c:pt idx="14">
                  <c:v>0.31111111111111106</c:v>
                </c:pt>
                <c:pt idx="15">
                  <c:v>0.33333333333333326</c:v>
                </c:pt>
                <c:pt idx="16">
                  <c:v>0.35555555555555546</c:v>
                </c:pt>
                <c:pt idx="17">
                  <c:v>0.37777777777777766</c:v>
                </c:pt>
                <c:pt idx="18">
                  <c:v>0.39999999999999986</c:v>
                </c:pt>
                <c:pt idx="19">
                  <c:v>0.42222222222222205</c:v>
                </c:pt>
                <c:pt idx="20">
                  <c:v>0.44444444444444425</c:v>
                </c:pt>
                <c:pt idx="21">
                  <c:v>0.46666666666666645</c:v>
                </c:pt>
                <c:pt idx="22">
                  <c:v>0.48888888888888865</c:v>
                </c:pt>
                <c:pt idx="23">
                  <c:v>0.51111111111111085</c:v>
                </c:pt>
                <c:pt idx="24">
                  <c:v>0.5333333333333331</c:v>
                </c:pt>
                <c:pt idx="25">
                  <c:v>0.55555555555555536</c:v>
                </c:pt>
                <c:pt idx="26">
                  <c:v>0.57777777777777761</c:v>
                </c:pt>
                <c:pt idx="27">
                  <c:v>0.59999999999999987</c:v>
                </c:pt>
                <c:pt idx="28">
                  <c:v>0.62222222222222212</c:v>
                </c:pt>
                <c:pt idx="29">
                  <c:v>0.64444444444444438</c:v>
                </c:pt>
                <c:pt idx="30">
                  <c:v>0.66666666666666663</c:v>
                </c:pt>
                <c:pt idx="31">
                  <c:v>0.68888888888888888</c:v>
                </c:pt>
                <c:pt idx="32">
                  <c:v>0.71111111111111114</c:v>
                </c:pt>
                <c:pt idx="33">
                  <c:v>0.73333333333333339</c:v>
                </c:pt>
                <c:pt idx="34">
                  <c:v>0.75555555555555565</c:v>
                </c:pt>
                <c:pt idx="35">
                  <c:v>0.7777777777777779</c:v>
                </c:pt>
                <c:pt idx="36">
                  <c:v>0.80000000000000016</c:v>
                </c:pt>
                <c:pt idx="37">
                  <c:v>0.82222222222222241</c:v>
                </c:pt>
                <c:pt idx="38">
                  <c:v>0.84444444444444466</c:v>
                </c:pt>
                <c:pt idx="39">
                  <c:v>0.86666666666666692</c:v>
                </c:pt>
                <c:pt idx="40">
                  <c:v>0.88888888888888917</c:v>
                </c:pt>
                <c:pt idx="41">
                  <c:v>0.91111111111111143</c:v>
                </c:pt>
                <c:pt idx="42">
                  <c:v>0.93333333333333368</c:v>
                </c:pt>
                <c:pt idx="43">
                  <c:v>0.95555555555555594</c:v>
                </c:pt>
                <c:pt idx="44">
                  <c:v>0.97777777777777819</c:v>
                </c:pt>
                <c:pt idx="45">
                  <c:v>1.0000000000000004</c:v>
                </c:pt>
              </c:numCache>
            </c:numRef>
          </c:yVal>
          <c:smooth val="1"/>
        </c:ser>
        <c:axId val="161769728"/>
        <c:axId val="47902720"/>
      </c:scatterChart>
      <c:valAx>
        <c:axId val="161769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02720"/>
        <c:crosses val="autoZero"/>
        <c:crossBetween val="midCat"/>
      </c:valAx>
      <c:valAx>
        <c:axId val="4790272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9184339314845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697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90233074361824"/>
          <c:y val="0.4926590538336052"/>
          <c:w val="0.1076581576026637"/>
          <c:h val="7.014681892332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2"/>
  <sheetViews>
    <sheetView tabSelected="1" workbookViewId="0">
      <selection activeCell="A3" sqref="A3"/>
    </sheetView>
  </sheetViews>
  <sheetFormatPr defaultRowHeight="12.75"/>
  <cols>
    <col min="4" max="4" width="11.42578125" bestFit="1" customWidth="1"/>
    <col min="5" max="5" width="10.28515625" bestFit="1" customWidth="1"/>
    <col min="6" max="6" width="11.42578125" customWidth="1"/>
    <col min="7" max="7" width="10.28515625" bestFit="1" customWidth="1"/>
    <col min="10" max="10" width="10.28515625" bestFit="1" customWidth="1"/>
    <col min="12" max="12" width="10.28515625" bestFit="1" customWidth="1"/>
    <col min="13" max="13" width="9.28515625" bestFit="1" customWidth="1"/>
    <col min="14" max="14" width="11.5703125" customWidth="1"/>
  </cols>
  <sheetData>
    <row r="1" spans="1:23">
      <c r="A1" s="3" t="str">
        <f ca="1">_xll.WBNAME()</f>
        <v>Life Insurance Demo.xlsx</v>
      </c>
    </row>
    <row r="2" spans="1:23">
      <c r="A2" t="s">
        <v>69</v>
      </c>
    </row>
    <row r="3" spans="1:23">
      <c r="A3" t="s">
        <v>73</v>
      </c>
    </row>
    <row r="4" spans="1:23">
      <c r="A4" s="3" t="s">
        <v>70</v>
      </c>
    </row>
    <row r="6" spans="1:23">
      <c r="A6" t="s">
        <v>27</v>
      </c>
      <c r="D6" s="1">
        <v>100000</v>
      </c>
    </row>
    <row r="7" spans="1:23">
      <c r="A7" t="s">
        <v>28</v>
      </c>
      <c r="D7">
        <v>20</v>
      </c>
    </row>
    <row r="8" spans="1:23">
      <c r="A8" t="s">
        <v>29</v>
      </c>
      <c r="D8">
        <v>0.111661</v>
      </c>
    </row>
    <row r="9" spans="1:23" ht="13.5" thickBot="1">
      <c r="A9" t="s">
        <v>30</v>
      </c>
      <c r="D9">
        <v>0.1</v>
      </c>
    </row>
    <row r="10" spans="1:23">
      <c r="A10" s="13"/>
      <c r="B10" s="14"/>
      <c r="C10" s="14"/>
      <c r="D10" s="14"/>
      <c r="E10" s="14"/>
      <c r="F10" s="14" t="s">
        <v>34</v>
      </c>
      <c r="G10" s="15">
        <f>D6*D8/2</f>
        <v>5583.05</v>
      </c>
      <c r="H10" s="13"/>
      <c r="I10" s="31" t="s">
        <v>52</v>
      </c>
      <c r="J10" s="14"/>
      <c r="K10" s="31">
        <v>166.19946351470105</v>
      </c>
      <c r="L10" s="14"/>
      <c r="M10" s="14"/>
      <c r="N10" s="32"/>
    </row>
    <row r="11" spans="1:23">
      <c r="A11" s="28" t="s">
        <v>36</v>
      </c>
      <c r="B11" s="24"/>
      <c r="C11" s="24"/>
      <c r="D11" s="24">
        <v>375.50837192164312</v>
      </c>
      <c r="E11" s="17"/>
      <c r="F11" s="17" t="s">
        <v>35</v>
      </c>
      <c r="G11" s="30">
        <v>1000</v>
      </c>
      <c r="H11" s="16"/>
      <c r="I11" s="17" t="s">
        <v>56</v>
      </c>
      <c r="J11" s="17"/>
      <c r="K11" s="17">
        <v>1000</v>
      </c>
      <c r="L11" s="17"/>
      <c r="M11" s="17"/>
      <c r="N11" s="18"/>
    </row>
    <row r="12" spans="1:23">
      <c r="A12" s="28" t="s">
        <v>47</v>
      </c>
      <c r="B12" s="17"/>
      <c r="C12" s="17"/>
      <c r="D12" s="17"/>
      <c r="E12" s="17"/>
      <c r="F12" s="17" t="s">
        <v>53</v>
      </c>
      <c r="G12" s="30">
        <f>G10+G11</f>
        <v>6583.05</v>
      </c>
      <c r="H12" s="16"/>
      <c r="I12" s="24" t="s">
        <v>48</v>
      </c>
      <c r="J12" s="17"/>
      <c r="K12" s="17"/>
      <c r="L12" s="17"/>
      <c r="M12" s="17"/>
      <c r="N12" s="18"/>
    </row>
    <row r="13" spans="1:23">
      <c r="A13" s="28" t="s">
        <v>46</v>
      </c>
      <c r="B13" s="17"/>
      <c r="C13" s="17"/>
      <c r="D13" s="24"/>
      <c r="E13" s="17"/>
      <c r="F13" s="17"/>
      <c r="G13" s="18"/>
      <c r="H13" s="16"/>
      <c r="I13" s="24" t="s">
        <v>49</v>
      </c>
      <c r="J13" s="17"/>
      <c r="K13" s="17"/>
      <c r="L13" s="17"/>
      <c r="M13" s="17"/>
      <c r="N13" s="18" t="s">
        <v>50</v>
      </c>
    </row>
    <row r="14" spans="1:23">
      <c r="A14" s="16"/>
      <c r="B14" s="17"/>
      <c r="C14" s="17"/>
      <c r="D14" s="17" t="s">
        <v>31</v>
      </c>
      <c r="E14" s="17" t="s">
        <v>33</v>
      </c>
      <c r="F14" s="17" t="s">
        <v>45</v>
      </c>
      <c r="G14" s="18"/>
      <c r="H14" s="16"/>
      <c r="I14" s="17" t="s">
        <v>31</v>
      </c>
      <c r="J14" s="17" t="s">
        <v>40</v>
      </c>
      <c r="K14" s="17" t="s">
        <v>41</v>
      </c>
      <c r="L14" s="17" t="s">
        <v>43</v>
      </c>
      <c r="M14" s="17" t="s">
        <v>54</v>
      </c>
      <c r="N14" s="18" t="s">
        <v>51</v>
      </c>
    </row>
    <row r="15" spans="1:23">
      <c r="A15" s="16"/>
      <c r="B15" s="17" t="s">
        <v>10</v>
      </c>
      <c r="C15" s="17"/>
      <c r="D15" s="17" t="s">
        <v>32</v>
      </c>
      <c r="E15" s="17" t="s">
        <v>32</v>
      </c>
      <c r="F15" s="26" t="s">
        <v>44</v>
      </c>
      <c r="G15" s="18"/>
      <c r="H15" s="16" t="s">
        <v>10</v>
      </c>
      <c r="I15" s="17" t="s">
        <v>32</v>
      </c>
      <c r="J15" s="17" t="s">
        <v>32</v>
      </c>
      <c r="K15" s="17" t="s">
        <v>42</v>
      </c>
      <c r="L15" s="17" t="s">
        <v>44</v>
      </c>
      <c r="M15" s="17" t="s">
        <v>55</v>
      </c>
      <c r="N15" s="18" t="s">
        <v>57</v>
      </c>
      <c r="T15">
        <f>Formula!$Q$47</f>
        <v>0</v>
      </c>
      <c r="U15" t="s">
        <v>37</v>
      </c>
      <c r="V15">
        <f>Formula!$R$47</f>
        <v>0</v>
      </c>
      <c r="W15" t="s">
        <v>37</v>
      </c>
    </row>
    <row r="16" spans="1:23">
      <c r="A16" s="16"/>
      <c r="B16" s="17">
        <v>1</v>
      </c>
      <c r="C16" s="17"/>
      <c r="D16" s="25">
        <f t="shared" ref="D16:D45" si="0">IF(B16&lt;=$D$7,$D$11,0)</f>
        <v>375.50837192164312</v>
      </c>
      <c r="E16" s="19">
        <f>D16*(1+D9)</f>
        <v>413.05920911380747</v>
      </c>
      <c r="F16" s="17"/>
      <c r="G16" s="18"/>
      <c r="H16" s="16">
        <f t="shared" ref="H16:H45" si="1">B16</f>
        <v>1</v>
      </c>
      <c r="I16" s="25">
        <f t="shared" ref="I16:I45" si="2">IF(H16&lt;=$D$7,$K$10*(1-K16),0)</f>
        <v>165.75982854728662</v>
      </c>
      <c r="J16" s="19">
        <f>I16*(1+D9)</f>
        <v>182.33581140201528</v>
      </c>
      <c r="K16">
        <v>2.6452249490899167E-3</v>
      </c>
      <c r="L16" s="19">
        <f t="shared" ref="L16:L35" si="3">$D$6*K16</f>
        <v>264.52249490899169</v>
      </c>
      <c r="M16" s="17">
        <f t="shared" ref="M16:M35" si="4">IF(H16=$D$7,$K$11,0)</f>
        <v>0</v>
      </c>
      <c r="N16" s="18"/>
      <c r="T16" t="e">
        <f>SMALL(Formula!$Q$48:$Q$67,1)</f>
        <v>#NUM!</v>
      </c>
      <c r="U16">
        <v>0</v>
      </c>
      <c r="V16" t="e">
        <f>SMALL(Formula!$R$48:$R$67,1)</f>
        <v>#NUM!</v>
      </c>
      <c r="W16">
        <v>0</v>
      </c>
    </row>
    <row r="17" spans="1:23">
      <c r="A17" s="16"/>
      <c r="B17" s="17">
        <v>2</v>
      </c>
      <c r="C17" s="17"/>
      <c r="D17" s="25">
        <f t="shared" si="0"/>
        <v>375.50837192164312</v>
      </c>
      <c r="E17" s="19">
        <f t="shared" ref="E17:E45" si="5">IF(B17&lt;=$D$7,(D17+E16)*(1+$D$9),0)</f>
        <v>867.42433913899561</v>
      </c>
      <c r="F17" s="17"/>
      <c r="G17" s="18"/>
      <c r="H17" s="16">
        <f t="shared" si="1"/>
        <v>2</v>
      </c>
      <c r="I17" s="25">
        <f t="shared" si="2"/>
        <v>165.29228024860774</v>
      </c>
      <c r="J17" s="19">
        <f t="shared" ref="J17:J35" si="6">(I17+J16)*(1+$D$9)</f>
        <v>382.39090081568531</v>
      </c>
      <c r="K17">
        <v>5.4584006885982405E-3</v>
      </c>
      <c r="L17" s="19">
        <f t="shared" si="3"/>
        <v>545.8400688598241</v>
      </c>
      <c r="M17" s="17">
        <f t="shared" si="4"/>
        <v>0</v>
      </c>
      <c r="N17" s="18"/>
      <c r="T17" t="e">
        <f>SMALL(Formula!$Q$48:$Q$67,2)</f>
        <v>#NUM!</v>
      </c>
      <c r="U17">
        <f>1/(COUNT(Formula!$Q$48:$Q$67)-1)+$U$16</f>
        <v>-1</v>
      </c>
      <c r="V17" t="e">
        <f>SMALL(Formula!$R$48:$R$67,2)</f>
        <v>#NUM!</v>
      </c>
      <c r="W17">
        <f>1/(COUNT(Formula!$R$48:$R$67)-1)+$W$16</f>
        <v>-1</v>
      </c>
    </row>
    <row r="18" spans="1:23">
      <c r="A18" s="16"/>
      <c r="B18" s="17">
        <v>3</v>
      </c>
      <c r="C18" s="17"/>
      <c r="D18" s="25">
        <f t="shared" si="0"/>
        <v>375.50837192164312</v>
      </c>
      <c r="E18" s="19">
        <f t="shared" si="5"/>
        <v>1367.2259821667026</v>
      </c>
      <c r="F18" s="17"/>
      <c r="G18" s="18"/>
      <c r="H18" s="16">
        <f t="shared" si="1"/>
        <v>3</v>
      </c>
      <c r="I18" s="25">
        <f t="shared" si="2"/>
        <v>164.7968186186645</v>
      </c>
      <c r="J18" s="19">
        <f t="shared" si="6"/>
        <v>601.90649137778485</v>
      </c>
      <c r="K18">
        <v>8.4395272185249729E-3</v>
      </c>
      <c r="L18" s="19">
        <f t="shared" si="3"/>
        <v>843.95272185249735</v>
      </c>
      <c r="M18" s="17">
        <f t="shared" si="4"/>
        <v>0</v>
      </c>
      <c r="N18" s="18"/>
      <c r="T18" t="e">
        <f>SMALL(Formula!$Q$48:$Q$67,3)</f>
        <v>#NUM!</v>
      </c>
      <c r="U18">
        <f>1/(COUNT(Formula!$Q$48:$Q$67)-1)+$U$17</f>
        <v>-2</v>
      </c>
      <c r="V18" t="e">
        <f>SMALL(Formula!$R$48:$R$67,3)</f>
        <v>#NUM!</v>
      </c>
      <c r="W18">
        <f>1/(COUNT(Formula!$R$48:$R$67)-1)+$W$17</f>
        <v>-2</v>
      </c>
    </row>
    <row r="19" spans="1:23">
      <c r="A19" s="16"/>
      <c r="B19" s="17">
        <v>4</v>
      </c>
      <c r="C19" s="17"/>
      <c r="D19" s="25">
        <f t="shared" si="0"/>
        <v>375.50837192164312</v>
      </c>
      <c r="E19" s="19">
        <f t="shared" si="5"/>
        <v>1917.0077894971805</v>
      </c>
      <c r="F19" s="17"/>
      <c r="G19" s="18"/>
      <c r="H19" s="16">
        <f t="shared" si="1"/>
        <v>4</v>
      </c>
      <c r="I19" s="25">
        <f t="shared" si="2"/>
        <v>164.2734436574568</v>
      </c>
      <c r="J19" s="19">
        <f t="shared" si="6"/>
        <v>842.79792853876586</v>
      </c>
      <c r="K19">
        <v>1.1588604538870111E-2</v>
      </c>
      <c r="L19" s="19">
        <f t="shared" si="3"/>
        <v>1158.8604538870111</v>
      </c>
      <c r="M19" s="17">
        <f t="shared" si="4"/>
        <v>0</v>
      </c>
      <c r="N19" s="18"/>
      <c r="T19" t="e">
        <f>SMALL(Formula!$Q$48:$Q$67,4)</f>
        <v>#NUM!</v>
      </c>
      <c r="U19">
        <f>1/(COUNT(Formula!$Q$48:$Q$67)-1)+$U$18</f>
        <v>-3</v>
      </c>
      <c r="V19" t="e">
        <f>SMALL(Formula!$R$48:$R$67,4)</f>
        <v>#NUM!</v>
      </c>
      <c r="W19">
        <f>1/(COUNT(Formula!$R$48:$R$67)-1)+$W$18</f>
        <v>-3</v>
      </c>
    </row>
    <row r="20" spans="1:23">
      <c r="A20" s="16"/>
      <c r="B20" s="17">
        <v>5</v>
      </c>
      <c r="C20" s="17"/>
      <c r="D20" s="25">
        <f t="shared" si="0"/>
        <v>375.50837192164312</v>
      </c>
      <c r="E20" s="19">
        <f t="shared" si="5"/>
        <v>2521.7677775607062</v>
      </c>
      <c r="F20" s="17"/>
      <c r="G20" s="18"/>
      <c r="H20" s="16">
        <f t="shared" si="1"/>
        <v>5</v>
      </c>
      <c r="I20" s="25">
        <f t="shared" si="2"/>
        <v>163.72041078178071</v>
      </c>
      <c r="J20" s="19">
        <f t="shared" si="6"/>
        <v>1107.1701732526014</v>
      </c>
      <c r="K20">
        <v>1.4916129574034808E-2</v>
      </c>
      <c r="L20" s="19">
        <f t="shared" si="3"/>
        <v>1491.6129574034808</v>
      </c>
      <c r="M20" s="17">
        <f t="shared" si="4"/>
        <v>0</v>
      </c>
      <c r="N20" s="18"/>
      <c r="T20" t="e">
        <f>SMALL(Formula!$Q$48:$Q$67,5)</f>
        <v>#NUM!</v>
      </c>
      <c r="U20">
        <f>1/(COUNT(Formula!$Q$48:$Q$67)-1)+$U$19</f>
        <v>-4</v>
      </c>
      <c r="V20" t="e">
        <f>SMALL(Formula!$R$48:$R$67,5)</f>
        <v>#NUM!</v>
      </c>
      <c r="W20">
        <f>1/(COUNT(Formula!$R$48:$R$67)-1)+$W$19</f>
        <v>-4</v>
      </c>
    </row>
    <row r="21" spans="1:23">
      <c r="A21" s="16"/>
      <c r="B21" s="17">
        <v>6</v>
      </c>
      <c r="C21" s="17"/>
      <c r="D21" s="25">
        <f t="shared" si="0"/>
        <v>375.50837192164312</v>
      </c>
      <c r="E21" s="19">
        <f t="shared" si="5"/>
        <v>3187.0037644305844</v>
      </c>
      <c r="F21" s="17"/>
      <c r="G21" s="18"/>
      <c r="H21" s="16">
        <f t="shared" si="1"/>
        <v>6</v>
      </c>
      <c r="I21" s="25">
        <f t="shared" si="2"/>
        <v>163.13423082522812</v>
      </c>
      <c r="J21" s="19">
        <f t="shared" si="6"/>
        <v>1397.3348444856126</v>
      </c>
      <c r="K21">
        <v>1.8443096172821364E-2</v>
      </c>
      <c r="L21" s="19">
        <f t="shared" si="3"/>
        <v>1844.3096172821363</v>
      </c>
      <c r="M21" s="17">
        <f t="shared" si="4"/>
        <v>0</v>
      </c>
      <c r="N21" s="18"/>
      <c r="T21" t="e">
        <f>SMALL(Formula!$Q$48:$Q$67,6)</f>
        <v>#NUM!</v>
      </c>
      <c r="U21">
        <f>1/(COUNT(Formula!$Q$48:$Q$67)-1)+$U$20</f>
        <v>-5</v>
      </c>
      <c r="V21" t="e">
        <f>SMALL(Formula!$R$48:$R$67,6)</f>
        <v>#NUM!</v>
      </c>
      <c r="W21">
        <f>1/(COUNT(Formula!$R$48:$R$67)-1)+$W$20</f>
        <v>-5</v>
      </c>
    </row>
    <row r="22" spans="1:23">
      <c r="A22" s="16"/>
      <c r="B22" s="17">
        <v>7</v>
      </c>
      <c r="C22" s="17"/>
      <c r="D22" s="25">
        <f t="shared" si="0"/>
        <v>375.50837192164312</v>
      </c>
      <c r="E22" s="19">
        <f t="shared" si="5"/>
        <v>3918.7633499874505</v>
      </c>
      <c r="F22" s="17"/>
      <c r="G22" s="18"/>
      <c r="H22" s="16">
        <f t="shared" si="1"/>
        <v>7</v>
      </c>
      <c r="I22" s="25">
        <f t="shared" si="2"/>
        <v>162.50967003818695</v>
      </c>
      <c r="J22" s="19">
        <f t="shared" si="6"/>
        <v>1715.8289659761797</v>
      </c>
      <c r="K22">
        <v>2.2200995108433229E-2</v>
      </c>
      <c r="L22" s="19">
        <f t="shared" si="3"/>
        <v>2220.0995108433231</v>
      </c>
      <c r="M22" s="17">
        <f t="shared" si="4"/>
        <v>0</v>
      </c>
      <c r="N22" s="18"/>
      <c r="T22" t="e">
        <f>SMALL(Formula!$Q$48:$Q$67,7)</f>
        <v>#NUM!</v>
      </c>
      <c r="U22">
        <f>1/(COUNT(Formula!$Q$48:$Q$67)-1)+$U$21</f>
        <v>-6</v>
      </c>
      <c r="V22" t="e">
        <f>SMALL(Formula!$R$48:$R$67,7)</f>
        <v>#NUM!</v>
      </c>
      <c r="W22">
        <f>1/(COUNT(Formula!$R$48:$R$67)-1)+$W$21</f>
        <v>-6</v>
      </c>
    </row>
    <row r="23" spans="1:23">
      <c r="A23" s="16"/>
      <c r="B23" s="17">
        <v>8</v>
      </c>
      <c r="C23" s="17"/>
      <c r="D23" s="25">
        <f t="shared" si="0"/>
        <v>375.50837192164312</v>
      </c>
      <c r="E23" s="19">
        <f t="shared" si="5"/>
        <v>4723.6988941000036</v>
      </c>
      <c r="F23" s="17"/>
      <c r="G23" s="18"/>
      <c r="H23" s="16">
        <f t="shared" si="1"/>
        <v>8</v>
      </c>
      <c r="I23" s="25">
        <f t="shared" si="2"/>
        <v>161.83975008784114</v>
      </c>
      <c r="J23" s="19">
        <f t="shared" si="6"/>
        <v>2065.435587670423</v>
      </c>
      <c r="K23">
        <v>2.6231814078475007E-2</v>
      </c>
      <c r="L23" s="19">
        <f t="shared" si="3"/>
        <v>2623.1814078475009</v>
      </c>
      <c r="M23" s="17">
        <f t="shared" si="4"/>
        <v>0</v>
      </c>
      <c r="N23" s="18"/>
      <c r="T23" t="e">
        <f>SMALL(Formula!$Q$48:$Q$67,8)</f>
        <v>#NUM!</v>
      </c>
      <c r="U23">
        <f>1/(COUNT(Formula!$Q$48:$Q$67)-1)+$U$22</f>
        <v>-7</v>
      </c>
      <c r="V23" t="e">
        <f>SMALL(Formula!$R$48:$R$67,8)</f>
        <v>#NUM!</v>
      </c>
      <c r="W23">
        <f>1/(COUNT(Formula!$R$48:$R$67)-1)+$W$22</f>
        <v>-7</v>
      </c>
    </row>
    <row r="24" spans="1:23" ht="13.5" thickBot="1">
      <c r="A24" s="16"/>
      <c r="B24" s="17">
        <v>9</v>
      </c>
      <c r="C24" s="17"/>
      <c r="D24" s="25">
        <f t="shared" si="0"/>
        <v>375.50837192164312</v>
      </c>
      <c r="E24" s="19">
        <f t="shared" si="5"/>
        <v>5609.1279926238112</v>
      </c>
      <c r="F24" s="17"/>
      <c r="G24" s="18"/>
      <c r="H24" s="16">
        <f t="shared" si="1"/>
        <v>9</v>
      </c>
      <c r="I24" s="25">
        <f t="shared" si="2"/>
        <v>161.11574805817051</v>
      </c>
      <c r="J24" s="19">
        <f t="shared" si="6"/>
        <v>2449.2064693014531</v>
      </c>
      <c r="K24">
        <v>3.0588037704952449E-2</v>
      </c>
      <c r="L24" s="19">
        <f t="shared" si="3"/>
        <v>3058.8037704952449</v>
      </c>
      <c r="M24" s="17">
        <f t="shared" si="4"/>
        <v>0</v>
      </c>
      <c r="N24" s="18"/>
      <c r="T24" t="e">
        <f>SMALL(Formula!$Q$48:$Q$67,9)</f>
        <v>#NUM!</v>
      </c>
      <c r="U24">
        <f>1/(COUNT(Formula!$Q$48:$Q$67)-1)+$U$23</f>
        <v>-8</v>
      </c>
      <c r="V24" t="e">
        <f>SMALL(Formula!$R$48:$R$67,9)</f>
        <v>#NUM!</v>
      </c>
      <c r="W24">
        <f>1/(COUNT(Formula!$R$48:$R$67)-1)+$W$23</f>
        <v>-8</v>
      </c>
    </row>
    <row r="25" spans="1:23" ht="13.5" thickBot="1">
      <c r="A25" s="16"/>
      <c r="B25" s="17">
        <v>10</v>
      </c>
      <c r="C25" s="17"/>
      <c r="D25" s="25">
        <f t="shared" si="0"/>
        <v>375.50837192164312</v>
      </c>
      <c r="E25" s="5">
        <f t="shared" si="5"/>
        <v>6583.1000009999998</v>
      </c>
      <c r="F25" s="27">
        <f>G12</f>
        <v>6583.05</v>
      </c>
      <c r="G25" s="18"/>
      <c r="H25" s="16">
        <f t="shared" si="1"/>
        <v>10</v>
      </c>
      <c r="I25" s="25">
        <f t="shared" si="2"/>
        <v>160.32894103315496</v>
      </c>
      <c r="J25" s="19">
        <f t="shared" si="6"/>
        <v>2870.4889513680691</v>
      </c>
      <c r="K25">
        <v>3.532215060987131E-2</v>
      </c>
      <c r="L25" s="19">
        <f t="shared" si="3"/>
        <v>3532.215060987131</v>
      </c>
      <c r="M25" s="17">
        <f t="shared" si="4"/>
        <v>0</v>
      </c>
      <c r="N25" s="33"/>
      <c r="T25" t="e">
        <f>SMALL(Formula!$Q$48:$Q$67,10)</f>
        <v>#NUM!</v>
      </c>
      <c r="U25">
        <f>1/(COUNT(Formula!$Q$48:$Q$67)-1)+$U$24</f>
        <v>-9</v>
      </c>
      <c r="V25" t="e">
        <f>SMALL(Formula!$R$48:$R$67,10)</f>
        <v>#NUM!</v>
      </c>
      <c r="W25">
        <f>1/(COUNT(Formula!$R$48:$R$67)-1)+$W$24</f>
        <v>-9</v>
      </c>
    </row>
    <row r="26" spans="1:23">
      <c r="A26" s="16"/>
      <c r="B26" s="17">
        <v>11</v>
      </c>
      <c r="C26" s="17"/>
      <c r="D26" s="25">
        <f t="shared" si="0"/>
        <v>375.50837192164312</v>
      </c>
      <c r="E26" s="19">
        <f t="shared" si="5"/>
        <v>7654.4692102138069</v>
      </c>
      <c r="F26" s="17"/>
      <c r="G26" s="18"/>
      <c r="H26" s="16">
        <f t="shared" si="1"/>
        <v>11</v>
      </c>
      <c r="I26" s="25">
        <f t="shared" si="2"/>
        <v>159.47409526318245</v>
      </c>
      <c r="J26" s="19">
        <f t="shared" si="6"/>
        <v>3332.959351294377</v>
      </c>
      <c r="K26">
        <v>4.0465643566435033E-2</v>
      </c>
      <c r="L26" s="19">
        <f t="shared" si="3"/>
        <v>4046.5643566435033</v>
      </c>
      <c r="M26" s="17">
        <f t="shared" si="4"/>
        <v>0</v>
      </c>
      <c r="N26" s="33"/>
      <c r="T26" t="e">
        <f>SMALL(Formula!$Q$48:$Q$67,11)</f>
        <v>#NUM!</v>
      </c>
      <c r="U26">
        <f>1/(COUNT(Formula!$Q$48:$Q$67)-1)+$U$25</f>
        <v>-10</v>
      </c>
      <c r="V26" t="e">
        <f>SMALL(Formula!$R$48:$R$67,11)</f>
        <v>#NUM!</v>
      </c>
      <c r="W26">
        <f>1/(COUNT(Formula!$R$48:$R$67)-1)+$W$25</f>
        <v>-10</v>
      </c>
    </row>
    <row r="27" spans="1:23">
      <c r="A27" s="16"/>
      <c r="B27" s="17">
        <v>12</v>
      </c>
      <c r="C27" s="17"/>
      <c r="D27" s="25">
        <f t="shared" si="0"/>
        <v>375.50837192164312</v>
      </c>
      <c r="E27" s="19">
        <f t="shared" si="5"/>
        <v>8832.9753403489958</v>
      </c>
      <c r="F27" s="17"/>
      <c r="G27" s="18"/>
      <c r="H27" s="16">
        <f t="shared" si="1"/>
        <v>12</v>
      </c>
      <c r="I27" s="25">
        <f t="shared" si="2"/>
        <v>158.54248783223278</v>
      </c>
      <c r="J27" s="19">
        <f t="shared" si="6"/>
        <v>3840.6520230392712</v>
      </c>
      <c r="K27">
        <v>4.6071001196649385E-2</v>
      </c>
      <c r="L27" s="19">
        <f t="shared" si="3"/>
        <v>4607.1001196649386</v>
      </c>
      <c r="M27" s="17">
        <f t="shared" si="4"/>
        <v>0</v>
      </c>
      <c r="N27" s="33"/>
      <c r="T27" t="e">
        <f>SMALL(Formula!$Q$48:$Q$67,12)</f>
        <v>#NUM!</v>
      </c>
      <c r="U27">
        <f>1/(COUNT(Formula!$Q$48:$Q$67)-1)+$U$26</f>
        <v>-11</v>
      </c>
      <c r="V27" t="e">
        <f>SMALL(Formula!$R$48:$R$67,12)</f>
        <v>#NUM!</v>
      </c>
      <c r="W27">
        <f>1/(COUNT(Formula!$R$48:$R$67)-1)+$W$26</f>
        <v>-11</v>
      </c>
    </row>
    <row r="28" spans="1:23">
      <c r="A28" s="16"/>
      <c r="B28" s="17">
        <v>13</v>
      </c>
      <c r="C28" s="17"/>
      <c r="D28" s="25">
        <f t="shared" si="0"/>
        <v>375.50837192164312</v>
      </c>
      <c r="E28" s="19">
        <f t="shared" si="5"/>
        <v>10129.332083497704</v>
      </c>
      <c r="F28" s="17"/>
      <c r="G28" s="18"/>
      <c r="H28" s="16">
        <f t="shared" si="1"/>
        <v>13</v>
      </c>
      <c r="I28" s="25">
        <f t="shared" si="2"/>
        <v>157.53237415710197</v>
      </c>
      <c r="J28" s="19">
        <f t="shared" si="6"/>
        <v>4398.0028369160109</v>
      </c>
      <c r="K28">
        <v>5.2148720424915501E-2</v>
      </c>
      <c r="L28" s="19">
        <f t="shared" si="3"/>
        <v>5214.87204249155</v>
      </c>
      <c r="M28" s="17">
        <f t="shared" si="4"/>
        <v>0</v>
      </c>
      <c r="N28" s="33"/>
      <c r="T28" t="e">
        <f>SMALL(Formula!$Q$48:$Q$67,13)</f>
        <v>#NUM!</v>
      </c>
      <c r="U28">
        <f>1/(COUNT(Formula!$Q$48:$Q$67)-1)+$U$27</f>
        <v>-12</v>
      </c>
      <c r="V28" t="e">
        <f>SMALL(Formula!$R$48:$R$67,13)</f>
        <v>#NUM!</v>
      </c>
      <c r="W28">
        <f>1/(COUNT(Formula!$R$48:$R$67)-1)+$W$27</f>
        <v>-12</v>
      </c>
    </row>
    <row r="29" spans="1:23">
      <c r="A29" s="16"/>
      <c r="B29" s="17">
        <v>14</v>
      </c>
      <c r="C29" s="17"/>
      <c r="D29" s="25">
        <f t="shared" si="0"/>
        <v>375.50837192164312</v>
      </c>
      <c r="E29" s="19">
        <f t="shared" si="5"/>
        <v>11555.324500961284</v>
      </c>
      <c r="F29" s="17"/>
      <c r="G29" s="18"/>
      <c r="H29" s="16">
        <f t="shared" si="1"/>
        <v>14</v>
      </c>
      <c r="I29" s="25">
        <f t="shared" si="2"/>
        <v>156.43852048817791</v>
      </c>
      <c r="J29" s="19">
        <f t="shared" si="6"/>
        <v>5009.8854931446085</v>
      </c>
      <c r="K29">
        <v>5.8730292024436838E-2</v>
      </c>
      <c r="L29" s="19">
        <f t="shared" si="3"/>
        <v>5873.029202443684</v>
      </c>
      <c r="M29" s="17">
        <f t="shared" si="4"/>
        <v>0</v>
      </c>
      <c r="N29" s="33"/>
      <c r="T29" t="e">
        <f>SMALL(Formula!$Q$48:$Q$67,14)</f>
        <v>#NUM!</v>
      </c>
      <c r="U29">
        <f>1/(COUNT(Formula!$Q$48:$Q$67)-1)+$U$28</f>
        <v>-13</v>
      </c>
      <c r="V29" t="e">
        <f>SMALL(Formula!$R$48:$R$67,14)</f>
        <v>#NUM!</v>
      </c>
      <c r="W29">
        <f>1/(COUNT(Formula!$R$48:$R$67)-1)+$W$28</f>
        <v>-13</v>
      </c>
    </row>
    <row r="30" spans="1:23">
      <c r="A30" s="16"/>
      <c r="B30" s="17">
        <v>15</v>
      </c>
      <c r="C30" s="17"/>
      <c r="D30" s="25">
        <f t="shared" si="0"/>
        <v>375.50837192164312</v>
      </c>
      <c r="E30" s="19">
        <f t="shared" si="5"/>
        <v>13123.91616017122</v>
      </c>
      <c r="F30" s="17"/>
      <c r="G30" s="18"/>
      <c r="H30" s="16">
        <f t="shared" si="1"/>
        <v>15</v>
      </c>
      <c r="I30" s="25">
        <f t="shared" si="2"/>
        <v>155.25743765905261</v>
      </c>
      <c r="J30" s="19">
        <f t="shared" si="6"/>
        <v>5681.6572238840281</v>
      </c>
      <c r="K30">
        <v>6.5836709844015698E-2</v>
      </c>
      <c r="L30" s="19">
        <f t="shared" si="3"/>
        <v>6583.6709844015695</v>
      </c>
      <c r="M30" s="17">
        <f t="shared" si="4"/>
        <v>0</v>
      </c>
      <c r="N30" s="33"/>
      <c r="T30" t="e">
        <f>SMALL(Formula!$Q$48:$Q$67,15)</f>
        <v>#NUM!</v>
      </c>
      <c r="U30">
        <f>1/(COUNT(Formula!$Q$48:$Q$67)-1)+$U$29</f>
        <v>-14</v>
      </c>
      <c r="V30" t="e">
        <f>SMALL(Formula!$R$48:$R$67,15)</f>
        <v>#NUM!</v>
      </c>
      <c r="W30">
        <f>1/(COUNT(Formula!$R$48:$R$67)-1)+$W$29</f>
        <v>-14</v>
      </c>
    </row>
    <row r="31" spans="1:23">
      <c r="A31" s="16"/>
      <c r="B31" s="17">
        <v>16</v>
      </c>
      <c r="C31" s="17"/>
      <c r="D31" s="25">
        <f t="shared" si="0"/>
        <v>375.50837192164312</v>
      </c>
      <c r="E31" s="19">
        <f t="shared" si="5"/>
        <v>14849.366985302151</v>
      </c>
      <c r="F31" s="17"/>
      <c r="G31" s="18"/>
      <c r="H31" s="16">
        <f t="shared" si="1"/>
        <v>16</v>
      </c>
      <c r="I31" s="25">
        <f t="shared" si="2"/>
        <v>153.98389192011393</v>
      </c>
      <c r="J31" s="19">
        <f t="shared" si="6"/>
        <v>6419.2052273845566</v>
      </c>
      <c r="K31">
        <v>7.3499464656855543E-2</v>
      </c>
      <c r="L31" s="19">
        <f t="shared" si="3"/>
        <v>7349.9464656855544</v>
      </c>
      <c r="M31" s="17">
        <f t="shared" si="4"/>
        <v>0</v>
      </c>
      <c r="N31" s="33"/>
      <c r="T31" t="e">
        <f>SMALL(Formula!$Q$48:$Q$67,16)</f>
        <v>#NUM!</v>
      </c>
      <c r="U31">
        <f>1/(COUNT(Formula!$Q$48:$Q$67)-1)+$U$30</f>
        <v>-15</v>
      </c>
      <c r="V31" t="e">
        <f>SMALL(Formula!$R$48:$R$67,16)</f>
        <v>#NUM!</v>
      </c>
      <c r="W31">
        <f>1/(COUNT(Formula!$R$48:$R$67)-1)+$W$30</f>
        <v>-15</v>
      </c>
    </row>
    <row r="32" spans="1:23">
      <c r="A32" s="16"/>
      <c r="B32" s="17">
        <v>17</v>
      </c>
      <c r="C32" s="17"/>
      <c r="D32" s="25">
        <f t="shared" si="0"/>
        <v>375.50837192164312</v>
      </c>
      <c r="E32" s="19">
        <f t="shared" si="5"/>
        <v>16747.362892946174</v>
      </c>
      <c r="F32" s="17"/>
      <c r="G32" s="18"/>
      <c r="H32" s="16">
        <f t="shared" si="1"/>
        <v>17</v>
      </c>
      <c r="I32" s="25">
        <f t="shared" si="2"/>
        <v>152.60741577213776</v>
      </c>
      <c r="J32" s="19">
        <f t="shared" si="6"/>
        <v>7228.9939074723643</v>
      </c>
      <c r="K32">
        <v>8.1781538009363261E-2</v>
      </c>
      <c r="L32" s="19">
        <f t="shared" si="3"/>
        <v>8178.1538009363258</v>
      </c>
      <c r="M32" s="17">
        <f t="shared" si="4"/>
        <v>0</v>
      </c>
      <c r="N32" s="33"/>
      <c r="T32" t="e">
        <f>SMALL(Formula!$Q$48:$Q$67,17)</f>
        <v>#NUM!</v>
      </c>
      <c r="U32">
        <f>1/(COUNT(Formula!$Q$48:$Q$67)-1)+$U$31</f>
        <v>-16</v>
      </c>
      <c r="V32" t="e">
        <f>SMALL(Formula!$R$48:$R$67,17)</f>
        <v>#NUM!</v>
      </c>
      <c r="W32">
        <f>1/(COUNT(Formula!$R$48:$R$67)-1)+$W$31</f>
        <v>-16</v>
      </c>
    </row>
    <row r="33" spans="1:23">
      <c r="A33" s="16"/>
      <c r="B33" s="17">
        <v>18</v>
      </c>
      <c r="C33" s="17"/>
      <c r="D33" s="25">
        <f t="shared" si="0"/>
        <v>375.50837192164312</v>
      </c>
      <c r="E33" s="19">
        <f t="shared" si="5"/>
        <v>18835.158391354598</v>
      </c>
      <c r="F33" s="17"/>
      <c r="G33" s="18"/>
      <c r="H33" s="16">
        <f t="shared" si="1"/>
        <v>18</v>
      </c>
      <c r="I33" s="25">
        <f t="shared" si="2"/>
        <v>151.45599085748086</v>
      </c>
      <c r="J33" s="19">
        <f t="shared" si="6"/>
        <v>8118.4948881628306</v>
      </c>
      <c r="K33">
        <v>8.8709508114122565E-2</v>
      </c>
      <c r="L33" s="19">
        <f t="shared" si="3"/>
        <v>8870.9508114122564</v>
      </c>
      <c r="M33" s="17">
        <f t="shared" si="4"/>
        <v>0</v>
      </c>
      <c r="N33" s="33"/>
      <c r="T33" t="e">
        <f>SMALL(Formula!$Q$48:$Q$67,18)</f>
        <v>#NUM!</v>
      </c>
      <c r="U33">
        <f>1/(COUNT(Formula!$Q$48:$Q$67)-1)+$U$32</f>
        <v>-17</v>
      </c>
      <c r="V33" t="e">
        <f>SMALL(Formula!$R$48:$R$67,18)</f>
        <v>#NUM!</v>
      </c>
      <c r="W33">
        <f>1/(COUNT(Formula!$R$48:$R$67)-1)+$W$32</f>
        <v>-17</v>
      </c>
    </row>
    <row r="34" spans="1:23" ht="13.5" thickBot="1">
      <c r="A34" s="16"/>
      <c r="B34" s="17">
        <v>19</v>
      </c>
      <c r="C34" s="17"/>
      <c r="D34" s="25">
        <f t="shared" si="0"/>
        <v>375.50837192164312</v>
      </c>
      <c r="E34" s="19">
        <f t="shared" si="5"/>
        <v>21131.733439603864</v>
      </c>
      <c r="F34" s="17"/>
      <c r="G34" s="18"/>
      <c r="H34" s="16">
        <f t="shared" si="1"/>
        <v>19</v>
      </c>
      <c r="I34" s="25">
        <f t="shared" si="2"/>
        <v>149.45844308887158</v>
      </c>
      <c r="J34" s="19">
        <f t="shared" si="6"/>
        <v>9094.7486643768716</v>
      </c>
      <c r="K34">
        <v>0.10072848655343984</v>
      </c>
      <c r="L34" s="19">
        <f t="shared" si="3"/>
        <v>10072.848655343983</v>
      </c>
      <c r="M34" s="17">
        <f t="shared" si="4"/>
        <v>0</v>
      </c>
      <c r="N34" s="33"/>
      <c r="T34" t="e">
        <f>SMALL(Formula!$Q$48:$Q$67,19)</f>
        <v>#NUM!</v>
      </c>
      <c r="U34">
        <f>1/(COUNT(Formula!$Q$48:$Q$67)-1)+$U$33</f>
        <v>-18</v>
      </c>
      <c r="V34" t="e">
        <f>SMALL(Formula!$R$48:$R$67,19)</f>
        <v>#NUM!</v>
      </c>
      <c r="W34">
        <f>1/(COUNT(Formula!$R$48:$R$67)-1)+$W$33</f>
        <v>-18</v>
      </c>
    </row>
    <row r="35" spans="1:23" ht="13.5" thickBot="1">
      <c r="A35" s="16"/>
      <c r="B35" s="17">
        <v>20</v>
      </c>
      <c r="C35" s="17"/>
      <c r="D35" s="25">
        <f t="shared" si="0"/>
        <v>375.50837192164312</v>
      </c>
      <c r="E35" s="19">
        <f t="shared" si="5"/>
        <v>23657.965992678059</v>
      </c>
      <c r="F35" s="36"/>
      <c r="G35" s="18"/>
      <c r="H35" s="16">
        <f t="shared" si="1"/>
        <v>20</v>
      </c>
      <c r="I35" s="25">
        <f t="shared" si="2"/>
        <v>147.64058739027692</v>
      </c>
      <c r="J35" s="19">
        <f t="shared" si="6"/>
        <v>10166.628176943865</v>
      </c>
      <c r="K35">
        <v>0.11166628177943863</v>
      </c>
      <c r="L35" s="19">
        <f t="shared" si="3"/>
        <v>11166.628177943863</v>
      </c>
      <c r="M35" s="17">
        <f t="shared" si="4"/>
        <v>1000</v>
      </c>
      <c r="N35" s="29">
        <f>J35+M35-L35</f>
        <v>-9.9999851954635233E-7</v>
      </c>
      <c r="T35" t="e">
        <f>SMALL(Formula!$Q$48:$Q$67,20)</f>
        <v>#NUM!</v>
      </c>
      <c r="U35">
        <f>1/(COUNT(Formula!$Q$48:$Q$67)-1)+$U$34</f>
        <v>-19</v>
      </c>
      <c r="V35" t="e">
        <f>SMALL(Formula!$R$48:$R$67,20)</f>
        <v>#NUM!</v>
      </c>
      <c r="W35">
        <f>1/(COUNT(Formula!$R$48:$R$67)-1)+$W$34</f>
        <v>-19</v>
      </c>
    </row>
    <row r="36" spans="1:23">
      <c r="A36" s="16"/>
      <c r="B36" s="17">
        <v>21</v>
      </c>
      <c r="C36" s="17"/>
      <c r="D36" s="17">
        <f t="shared" si="0"/>
        <v>0</v>
      </c>
      <c r="E36" s="19">
        <f t="shared" si="5"/>
        <v>0</v>
      </c>
      <c r="F36" s="17"/>
      <c r="G36" s="18"/>
      <c r="H36" s="16">
        <f t="shared" si="1"/>
        <v>21</v>
      </c>
      <c r="I36" s="25">
        <f t="shared" si="2"/>
        <v>0</v>
      </c>
      <c r="J36" s="17"/>
      <c r="K36" s="17"/>
      <c r="L36" s="17"/>
      <c r="M36" s="17"/>
      <c r="N36" s="18"/>
    </row>
    <row r="37" spans="1:23">
      <c r="A37" s="16"/>
      <c r="B37" s="17">
        <v>22</v>
      </c>
      <c r="C37" s="17"/>
      <c r="D37" s="17">
        <f t="shared" si="0"/>
        <v>0</v>
      </c>
      <c r="E37" s="19">
        <f t="shared" si="5"/>
        <v>0</v>
      </c>
      <c r="F37" s="17"/>
      <c r="G37" s="18"/>
      <c r="H37" s="16">
        <f t="shared" si="1"/>
        <v>22</v>
      </c>
      <c r="I37" s="25">
        <f t="shared" si="2"/>
        <v>0</v>
      </c>
      <c r="J37" s="17"/>
      <c r="K37" s="17"/>
      <c r="L37" s="17"/>
      <c r="M37" s="17"/>
      <c r="N37" s="18"/>
    </row>
    <row r="38" spans="1:23">
      <c r="A38" s="16"/>
      <c r="B38" s="17">
        <v>23</v>
      </c>
      <c r="C38" s="17"/>
      <c r="D38" s="17">
        <f t="shared" si="0"/>
        <v>0</v>
      </c>
      <c r="E38" s="19">
        <f t="shared" si="5"/>
        <v>0</v>
      </c>
      <c r="F38" s="17"/>
      <c r="G38" s="18"/>
      <c r="H38" s="16">
        <f t="shared" si="1"/>
        <v>23</v>
      </c>
      <c r="I38" s="25">
        <f t="shared" si="2"/>
        <v>0</v>
      </c>
      <c r="J38" s="17"/>
      <c r="K38" s="17"/>
      <c r="L38" s="17"/>
      <c r="M38" s="17"/>
      <c r="N38" s="18"/>
    </row>
    <row r="39" spans="1:23">
      <c r="A39" s="16"/>
      <c r="B39" s="17">
        <v>24</v>
      </c>
      <c r="C39" s="17"/>
      <c r="D39" s="17">
        <f t="shared" si="0"/>
        <v>0</v>
      </c>
      <c r="E39" s="19">
        <f t="shared" si="5"/>
        <v>0</v>
      </c>
      <c r="F39" s="17"/>
      <c r="G39" s="18"/>
      <c r="H39" s="16">
        <f t="shared" si="1"/>
        <v>24</v>
      </c>
      <c r="I39" s="25">
        <f t="shared" si="2"/>
        <v>0</v>
      </c>
      <c r="J39" s="17"/>
      <c r="K39" s="17"/>
      <c r="L39" s="17"/>
      <c r="M39" s="17"/>
      <c r="N39" s="18"/>
    </row>
    <row r="40" spans="1:23">
      <c r="A40" s="16"/>
      <c r="B40" s="17">
        <v>25</v>
      </c>
      <c r="C40" s="17"/>
      <c r="D40" s="17">
        <f t="shared" si="0"/>
        <v>0</v>
      </c>
      <c r="E40" s="19">
        <f t="shared" si="5"/>
        <v>0</v>
      </c>
      <c r="F40" s="17"/>
      <c r="G40" s="18"/>
      <c r="H40" s="16">
        <f t="shared" si="1"/>
        <v>25</v>
      </c>
      <c r="I40" s="25">
        <f t="shared" si="2"/>
        <v>0</v>
      </c>
      <c r="J40" s="17"/>
      <c r="K40" s="17"/>
      <c r="L40" s="17"/>
      <c r="M40" s="17"/>
      <c r="N40" s="18"/>
    </row>
    <row r="41" spans="1:23">
      <c r="A41" s="16"/>
      <c r="B41" s="17">
        <v>26</v>
      </c>
      <c r="C41" s="17"/>
      <c r="D41" s="17">
        <f t="shared" si="0"/>
        <v>0</v>
      </c>
      <c r="E41" s="19">
        <f t="shared" si="5"/>
        <v>0</v>
      </c>
      <c r="F41" s="17"/>
      <c r="G41" s="18"/>
      <c r="H41" s="16">
        <f t="shared" si="1"/>
        <v>26</v>
      </c>
      <c r="I41" s="25">
        <f t="shared" si="2"/>
        <v>0</v>
      </c>
      <c r="J41" s="17"/>
      <c r="K41" s="17"/>
      <c r="L41" s="17"/>
      <c r="M41" s="17"/>
      <c r="N41" s="18"/>
    </row>
    <row r="42" spans="1:23">
      <c r="A42" s="16"/>
      <c r="B42" s="17">
        <v>27</v>
      </c>
      <c r="C42" s="17"/>
      <c r="D42" s="17">
        <f t="shared" si="0"/>
        <v>0</v>
      </c>
      <c r="E42" s="19">
        <f t="shared" si="5"/>
        <v>0</v>
      </c>
      <c r="F42" s="17"/>
      <c r="G42" s="18"/>
      <c r="H42" s="16">
        <f t="shared" si="1"/>
        <v>27</v>
      </c>
      <c r="I42" s="25">
        <f t="shared" si="2"/>
        <v>0</v>
      </c>
      <c r="J42" s="17"/>
      <c r="K42" s="17"/>
      <c r="L42" s="17"/>
      <c r="M42" s="17"/>
      <c r="N42" s="18"/>
    </row>
    <row r="43" spans="1:23">
      <c r="A43" s="16"/>
      <c r="B43" s="17">
        <v>28</v>
      </c>
      <c r="C43" s="17"/>
      <c r="D43" s="17">
        <f t="shared" si="0"/>
        <v>0</v>
      </c>
      <c r="E43" s="19">
        <f t="shared" si="5"/>
        <v>0</v>
      </c>
      <c r="F43" s="17"/>
      <c r="G43" s="18"/>
      <c r="H43" s="16">
        <f t="shared" si="1"/>
        <v>28</v>
      </c>
      <c r="I43" s="25">
        <f t="shared" si="2"/>
        <v>0</v>
      </c>
      <c r="J43" s="17"/>
      <c r="K43" s="17"/>
      <c r="L43" s="17"/>
      <c r="M43" s="17"/>
      <c r="N43" s="18"/>
    </row>
    <row r="44" spans="1:23">
      <c r="A44" s="16"/>
      <c r="B44" s="17">
        <v>29</v>
      </c>
      <c r="C44" s="17"/>
      <c r="D44" s="17">
        <f t="shared" si="0"/>
        <v>0</v>
      </c>
      <c r="E44" s="19">
        <f t="shared" si="5"/>
        <v>0</v>
      </c>
      <c r="F44" s="17"/>
      <c r="G44" s="18"/>
      <c r="H44" s="16">
        <f t="shared" si="1"/>
        <v>29</v>
      </c>
      <c r="I44" s="25">
        <f t="shared" si="2"/>
        <v>0</v>
      </c>
      <c r="J44" s="17"/>
      <c r="K44" s="17"/>
      <c r="L44" s="17"/>
      <c r="M44" s="17"/>
      <c r="N44" s="18"/>
    </row>
    <row r="45" spans="1:23" ht="13.5" thickBot="1">
      <c r="A45" s="20"/>
      <c r="B45" s="21">
        <v>30</v>
      </c>
      <c r="C45" s="21"/>
      <c r="D45" s="21">
        <f t="shared" si="0"/>
        <v>0</v>
      </c>
      <c r="E45" s="22">
        <f t="shared" si="5"/>
        <v>0</v>
      </c>
      <c r="F45" s="21"/>
      <c r="G45" s="23"/>
      <c r="H45" s="20">
        <f t="shared" si="1"/>
        <v>30</v>
      </c>
      <c r="I45" s="34">
        <f t="shared" si="2"/>
        <v>0</v>
      </c>
      <c r="J45" s="21"/>
      <c r="K45" s="21"/>
      <c r="L45" s="21"/>
      <c r="M45" s="21"/>
      <c r="N45" s="23"/>
    </row>
    <row r="46" spans="1:23" ht="13.5" thickBot="1"/>
    <row r="47" spans="1:23">
      <c r="A47" s="13"/>
      <c r="B47" s="14"/>
      <c r="C47" s="14"/>
      <c r="D47" s="14"/>
      <c r="E47" s="14"/>
      <c r="F47" s="14" t="s">
        <v>34</v>
      </c>
      <c r="G47" s="15">
        <f>D6*D8</f>
        <v>11166.1</v>
      </c>
      <c r="H47" s="13"/>
      <c r="I47" s="31" t="s">
        <v>52</v>
      </c>
      <c r="J47" s="14"/>
      <c r="K47" s="31">
        <v>170.13428900239481</v>
      </c>
      <c r="L47" s="14"/>
      <c r="M47" s="14"/>
      <c r="N47" s="32"/>
    </row>
    <row r="48" spans="1:23">
      <c r="A48" s="28" t="s">
        <v>36</v>
      </c>
      <c r="B48" s="24"/>
      <c r="C48" s="24"/>
      <c r="D48" s="24">
        <v>194.99796180353843</v>
      </c>
      <c r="E48" s="17"/>
      <c r="F48" s="17" t="s">
        <v>35</v>
      </c>
      <c r="G48" s="30">
        <v>1000</v>
      </c>
      <c r="H48" s="16"/>
      <c r="I48" s="17" t="s">
        <v>56</v>
      </c>
      <c r="J48" s="17"/>
      <c r="K48" s="17">
        <v>1000</v>
      </c>
      <c r="L48" s="17"/>
      <c r="M48" s="17"/>
      <c r="N48" s="18"/>
    </row>
    <row r="49" spans="1:14">
      <c r="A49" s="28" t="s">
        <v>47</v>
      </c>
      <c r="B49" s="17"/>
      <c r="C49" s="17"/>
      <c r="D49" s="17"/>
      <c r="E49" s="17"/>
      <c r="F49" s="17" t="s">
        <v>53</v>
      </c>
      <c r="G49" s="30">
        <f>G47+G48</f>
        <v>12166.1</v>
      </c>
      <c r="H49" s="16"/>
      <c r="I49" s="24" t="s">
        <v>60</v>
      </c>
      <c r="J49" s="17"/>
      <c r="K49" s="17"/>
      <c r="L49" s="17"/>
      <c r="M49" s="17"/>
      <c r="N49" s="18"/>
    </row>
    <row r="50" spans="1:14">
      <c r="A50" s="28" t="s">
        <v>46</v>
      </c>
      <c r="B50" s="17"/>
      <c r="C50" s="17"/>
      <c r="D50" s="24"/>
      <c r="E50" s="17"/>
      <c r="F50" s="17"/>
      <c r="G50" s="18"/>
      <c r="H50" s="16"/>
      <c r="I50" s="24" t="s">
        <v>49</v>
      </c>
      <c r="J50" s="17"/>
      <c r="K50" s="17"/>
      <c r="L50" s="17"/>
      <c r="M50" s="17"/>
      <c r="N50" s="18" t="s">
        <v>50</v>
      </c>
    </row>
    <row r="51" spans="1:14">
      <c r="A51" s="16"/>
      <c r="B51" s="17"/>
      <c r="C51" s="17"/>
      <c r="D51" s="17" t="s">
        <v>31</v>
      </c>
      <c r="E51" s="17" t="s">
        <v>33</v>
      </c>
      <c r="F51" s="17" t="s">
        <v>45</v>
      </c>
      <c r="G51" s="18"/>
      <c r="H51" s="16"/>
      <c r="I51" s="17" t="s">
        <v>31</v>
      </c>
      <c r="J51" s="17" t="s">
        <v>40</v>
      </c>
      <c r="K51" s="17" t="s">
        <v>41</v>
      </c>
      <c r="L51" s="17" t="s">
        <v>43</v>
      </c>
      <c r="M51" s="17" t="s">
        <v>54</v>
      </c>
      <c r="N51" s="18" t="s">
        <v>51</v>
      </c>
    </row>
    <row r="52" spans="1:14">
      <c r="A52" s="16"/>
      <c r="B52" s="17" t="s">
        <v>10</v>
      </c>
      <c r="C52" s="17"/>
      <c r="D52" s="17" t="s">
        <v>32</v>
      </c>
      <c r="E52" s="17" t="s">
        <v>32</v>
      </c>
      <c r="F52" s="26" t="s">
        <v>44</v>
      </c>
      <c r="G52" s="18"/>
      <c r="H52" s="16" t="s">
        <v>10</v>
      </c>
      <c r="I52" s="17" t="s">
        <v>32</v>
      </c>
      <c r="J52" s="17" t="s">
        <v>32</v>
      </c>
      <c r="K52" s="17" t="s">
        <v>42</v>
      </c>
      <c r="L52" s="17" t="s">
        <v>44</v>
      </c>
      <c r="M52" s="17" t="s">
        <v>55</v>
      </c>
      <c r="N52" s="18" t="s">
        <v>57</v>
      </c>
    </row>
    <row r="53" spans="1:14">
      <c r="A53" s="16"/>
      <c r="B53" s="17">
        <v>1</v>
      </c>
      <c r="C53" s="17"/>
      <c r="D53" s="25">
        <f t="shared" ref="D53:D82" si="7">IF(B53&lt;=$D$7,$D$48,0)</f>
        <v>194.99796180353843</v>
      </c>
      <c r="E53" s="19">
        <f>D53*(1+D46)</f>
        <v>194.99796180353843</v>
      </c>
      <c r="F53" s="17"/>
      <c r="G53" s="18"/>
      <c r="H53" s="16">
        <v>1</v>
      </c>
      <c r="I53" s="25">
        <f t="shared" ref="I53:I82" si="8">IF(H53&lt;=$D$7,$K$47*(1-K53),0)</f>
        <v>169.18442076017999</v>
      </c>
      <c r="J53" s="19">
        <f>I53*(1+D46)</f>
        <v>169.18442076017999</v>
      </c>
      <c r="K53" s="17">
        <v>5.58305E-3</v>
      </c>
      <c r="L53" s="19">
        <f t="shared" ref="L53:L72" si="9">$D$6*K53</f>
        <v>558.30499999999995</v>
      </c>
      <c r="M53" s="17">
        <f t="shared" ref="M53:M72" si="10">IF(H53=$D$7,$K$48,0)</f>
        <v>0</v>
      </c>
      <c r="N53" s="18"/>
    </row>
    <row r="54" spans="1:14">
      <c r="A54" s="16"/>
      <c r="B54" s="17">
        <v>2</v>
      </c>
      <c r="C54" s="17"/>
      <c r="D54" s="25">
        <f t="shared" si="7"/>
        <v>194.99796180353843</v>
      </c>
      <c r="E54" s="19">
        <f t="shared" ref="E54:E82" si="11">IF(B54&lt;=$D$7,(D54+E53)*(1+$D$9),0)</f>
        <v>428.99551596778457</v>
      </c>
      <c r="F54" s="17"/>
      <c r="G54" s="18"/>
      <c r="H54" s="16">
        <v>2</v>
      </c>
      <c r="I54" s="25">
        <f t="shared" si="8"/>
        <v>168.23455251796517</v>
      </c>
      <c r="J54" s="19">
        <f t="shared" ref="J54:J72" si="12">(I54+J53)*(1+$D$9)</f>
        <v>371.1608706059597</v>
      </c>
      <c r="K54" s="17">
        <v>1.11661E-2</v>
      </c>
      <c r="L54" s="19">
        <f t="shared" si="9"/>
        <v>1116.6099999999999</v>
      </c>
      <c r="M54" s="17">
        <f t="shared" si="10"/>
        <v>0</v>
      </c>
      <c r="N54" s="18"/>
    </row>
    <row r="55" spans="1:14">
      <c r="A55" s="16"/>
      <c r="B55" s="17">
        <v>3</v>
      </c>
      <c r="C55" s="17"/>
      <c r="D55" s="25">
        <f t="shared" si="7"/>
        <v>194.99796180353843</v>
      </c>
      <c r="E55" s="19">
        <f t="shared" si="11"/>
        <v>686.39282554845533</v>
      </c>
      <c r="F55" s="17"/>
      <c r="G55" s="18"/>
      <c r="H55" s="16">
        <v>3</v>
      </c>
      <c r="I55" s="25">
        <f t="shared" si="8"/>
        <v>167.28468427575035</v>
      </c>
      <c r="J55" s="19">
        <f t="shared" si="12"/>
        <v>592.29011036988106</v>
      </c>
      <c r="K55" s="17">
        <v>1.6749150000000001E-2</v>
      </c>
      <c r="L55" s="19">
        <f t="shared" si="9"/>
        <v>1674.9150000000002</v>
      </c>
      <c r="M55" s="17">
        <f t="shared" si="10"/>
        <v>0</v>
      </c>
      <c r="N55" s="18"/>
    </row>
    <row r="56" spans="1:14">
      <c r="A56" s="16"/>
      <c r="B56" s="17">
        <v>4</v>
      </c>
      <c r="C56" s="17"/>
      <c r="D56" s="25">
        <f t="shared" si="7"/>
        <v>194.99796180353843</v>
      </c>
      <c r="E56" s="19">
        <f t="shared" si="11"/>
        <v>969.52986608719323</v>
      </c>
      <c r="F56" s="17"/>
      <c r="G56" s="18"/>
      <c r="H56" s="16">
        <v>4</v>
      </c>
      <c r="I56" s="25">
        <f t="shared" si="8"/>
        <v>166.33481603353553</v>
      </c>
      <c r="J56" s="19">
        <f t="shared" si="12"/>
        <v>834.48741904375834</v>
      </c>
      <c r="K56" s="17">
        <v>2.23322E-2</v>
      </c>
      <c r="L56" s="19">
        <f t="shared" si="9"/>
        <v>2233.2199999999998</v>
      </c>
      <c r="M56" s="17">
        <f t="shared" si="10"/>
        <v>0</v>
      </c>
      <c r="N56" s="18"/>
    </row>
    <row r="57" spans="1:14">
      <c r="A57" s="16"/>
      <c r="B57" s="17">
        <v>5</v>
      </c>
      <c r="C57" s="17"/>
      <c r="D57" s="25">
        <f t="shared" si="7"/>
        <v>194.99796180353843</v>
      </c>
      <c r="E57" s="19">
        <f t="shared" si="11"/>
        <v>1280.9806106798051</v>
      </c>
      <c r="F57" s="17"/>
      <c r="G57" s="18"/>
      <c r="H57" s="16">
        <v>5</v>
      </c>
      <c r="I57" s="25">
        <f t="shared" si="8"/>
        <v>165.38494779132071</v>
      </c>
      <c r="J57" s="19">
        <f t="shared" si="12"/>
        <v>1099.8596035185869</v>
      </c>
      <c r="K57" s="17">
        <v>2.7915249999999999E-2</v>
      </c>
      <c r="L57" s="19">
        <f t="shared" si="9"/>
        <v>2791.5250000000001</v>
      </c>
      <c r="M57" s="17">
        <f t="shared" si="10"/>
        <v>0</v>
      </c>
      <c r="N57" s="18"/>
    </row>
    <row r="58" spans="1:14">
      <c r="A58" s="16"/>
      <c r="B58" s="17">
        <v>6</v>
      </c>
      <c r="C58" s="17"/>
      <c r="D58" s="25">
        <f t="shared" si="7"/>
        <v>194.99796180353843</v>
      </c>
      <c r="E58" s="19">
        <f t="shared" si="11"/>
        <v>1623.576429731678</v>
      </c>
      <c r="F58" s="17"/>
      <c r="G58" s="18"/>
      <c r="H58" s="16">
        <v>6</v>
      </c>
      <c r="I58" s="25">
        <f t="shared" si="8"/>
        <v>164.43507954910589</v>
      </c>
      <c r="J58" s="19">
        <f t="shared" si="12"/>
        <v>1390.7241513744623</v>
      </c>
      <c r="K58" s="17">
        <v>3.3498300000000002E-2</v>
      </c>
      <c r="L58" s="19">
        <f t="shared" si="9"/>
        <v>3349.8300000000004</v>
      </c>
      <c r="M58" s="17">
        <f t="shared" si="10"/>
        <v>0</v>
      </c>
      <c r="N58" s="18"/>
    </row>
    <row r="59" spans="1:14">
      <c r="A59" s="16"/>
      <c r="B59" s="17">
        <v>7</v>
      </c>
      <c r="C59" s="17"/>
      <c r="D59" s="25">
        <f t="shared" si="7"/>
        <v>194.99796180353843</v>
      </c>
      <c r="E59" s="19">
        <f t="shared" si="11"/>
        <v>2000.4318306887383</v>
      </c>
      <c r="F59" s="17"/>
      <c r="G59" s="18"/>
      <c r="H59" s="16">
        <v>7</v>
      </c>
      <c r="I59" s="25">
        <f t="shared" si="8"/>
        <v>163.48521130689107</v>
      </c>
      <c r="J59" s="19">
        <f t="shared" si="12"/>
        <v>1709.6302989494889</v>
      </c>
      <c r="K59" s="17">
        <v>3.9081350000000001E-2</v>
      </c>
      <c r="L59" s="19">
        <f t="shared" si="9"/>
        <v>3908.1350000000002</v>
      </c>
      <c r="M59" s="17">
        <f t="shared" si="10"/>
        <v>0</v>
      </c>
      <c r="N59" s="18"/>
    </row>
    <row r="60" spans="1:14">
      <c r="A60" s="16"/>
      <c r="B60" s="17">
        <v>8</v>
      </c>
      <c r="C60" s="17"/>
      <c r="D60" s="25">
        <f t="shared" si="7"/>
        <v>194.99796180353843</v>
      </c>
      <c r="E60" s="19">
        <f t="shared" si="11"/>
        <v>2414.9727717415044</v>
      </c>
      <c r="F60" s="17"/>
      <c r="G60" s="18"/>
      <c r="H60" s="16">
        <v>8</v>
      </c>
      <c r="I60" s="25">
        <f t="shared" si="8"/>
        <v>162.53534306467623</v>
      </c>
      <c r="J60" s="19">
        <f t="shared" si="12"/>
        <v>2059.3822062155818</v>
      </c>
      <c r="K60" s="17">
        <v>4.46644E-2</v>
      </c>
      <c r="L60" s="19">
        <f t="shared" si="9"/>
        <v>4466.4399999999996</v>
      </c>
      <c r="M60" s="17">
        <f t="shared" si="10"/>
        <v>0</v>
      </c>
      <c r="N60" s="18"/>
    </row>
    <row r="61" spans="1:14">
      <c r="A61" s="16"/>
      <c r="B61" s="17">
        <v>9</v>
      </c>
      <c r="C61" s="17"/>
      <c r="D61" s="25">
        <f t="shared" si="7"/>
        <v>194.99796180353843</v>
      </c>
      <c r="E61" s="19">
        <f t="shared" si="11"/>
        <v>2870.9678068995477</v>
      </c>
      <c r="F61" s="17"/>
      <c r="G61" s="18"/>
      <c r="H61" s="16">
        <v>9</v>
      </c>
      <c r="I61" s="25">
        <f t="shared" si="8"/>
        <v>161.58547482246144</v>
      </c>
      <c r="J61" s="19">
        <f t="shared" si="12"/>
        <v>2443.0644491418479</v>
      </c>
      <c r="K61" s="17">
        <v>5.0247449999999999E-2</v>
      </c>
      <c r="L61" s="19">
        <f t="shared" si="9"/>
        <v>5024.7449999999999</v>
      </c>
      <c r="M61" s="17">
        <f t="shared" si="10"/>
        <v>0</v>
      </c>
      <c r="N61" s="18"/>
    </row>
    <row r="62" spans="1:14">
      <c r="A62" s="16"/>
      <c r="B62" s="17">
        <v>10</v>
      </c>
      <c r="C62" s="17"/>
      <c r="D62" s="25">
        <f t="shared" si="7"/>
        <v>194.99796180353843</v>
      </c>
      <c r="E62" s="19">
        <f t="shared" si="11"/>
        <v>3372.5623455733953</v>
      </c>
      <c r="F62" s="27"/>
      <c r="G62" s="18"/>
      <c r="H62" s="16">
        <v>10</v>
      </c>
      <c r="I62" s="25">
        <f t="shared" si="8"/>
        <v>160.63560658024662</v>
      </c>
      <c r="J62" s="19">
        <f t="shared" si="12"/>
        <v>2864.0700612943042</v>
      </c>
      <c r="K62" s="17">
        <v>5.5830499999999998E-2</v>
      </c>
      <c r="L62" s="19">
        <f t="shared" si="9"/>
        <v>5583.05</v>
      </c>
      <c r="M62" s="17">
        <f t="shared" si="10"/>
        <v>0</v>
      </c>
      <c r="N62" s="33"/>
    </row>
    <row r="63" spans="1:14">
      <c r="A63" s="16"/>
      <c r="B63" s="17">
        <v>11</v>
      </c>
      <c r="C63" s="17"/>
      <c r="D63" s="25">
        <f t="shared" si="7"/>
        <v>194.99796180353843</v>
      </c>
      <c r="E63" s="19">
        <f t="shared" si="11"/>
        <v>3924.3163381146278</v>
      </c>
      <c r="F63" s="17"/>
      <c r="G63" s="18"/>
      <c r="H63" s="16">
        <v>11</v>
      </c>
      <c r="I63" s="25">
        <f t="shared" si="8"/>
        <v>159.68573833803177</v>
      </c>
      <c r="J63" s="19">
        <f t="shared" si="12"/>
        <v>3326.1313795955698</v>
      </c>
      <c r="K63" s="17">
        <v>6.1413549999999997E-2</v>
      </c>
      <c r="L63" s="19">
        <f t="shared" si="9"/>
        <v>6141.3549999999996</v>
      </c>
      <c r="M63" s="17">
        <f t="shared" si="10"/>
        <v>0</v>
      </c>
      <c r="N63" s="33"/>
    </row>
    <row r="64" spans="1:14">
      <c r="A64" s="16"/>
      <c r="B64" s="17">
        <v>12</v>
      </c>
      <c r="C64" s="17"/>
      <c r="D64" s="25">
        <f t="shared" si="7"/>
        <v>194.99796180353843</v>
      </c>
      <c r="E64" s="19">
        <f t="shared" si="11"/>
        <v>4531.2457299099833</v>
      </c>
      <c r="F64" s="17"/>
      <c r="G64" s="18"/>
      <c r="H64" s="16">
        <v>12</v>
      </c>
      <c r="I64" s="25">
        <f t="shared" si="8"/>
        <v>158.73587009581698</v>
      </c>
      <c r="J64" s="19">
        <f t="shared" si="12"/>
        <v>3833.3539746605256</v>
      </c>
      <c r="K64" s="17">
        <v>6.6996600000000003E-2</v>
      </c>
      <c r="L64" s="19">
        <f t="shared" si="9"/>
        <v>6699.6600000000008</v>
      </c>
      <c r="M64" s="17">
        <f t="shared" si="10"/>
        <v>0</v>
      </c>
      <c r="N64" s="33"/>
    </row>
    <row r="65" spans="1:14">
      <c r="A65" s="16"/>
      <c r="B65" s="17">
        <v>13</v>
      </c>
      <c r="C65" s="17"/>
      <c r="D65" s="25">
        <f t="shared" si="7"/>
        <v>194.99796180353843</v>
      </c>
      <c r="E65" s="19">
        <f t="shared" si="11"/>
        <v>5198.8680608848745</v>
      </c>
      <c r="F65" s="17"/>
      <c r="G65" s="18"/>
      <c r="H65" s="16">
        <v>13</v>
      </c>
      <c r="I65" s="25">
        <f t="shared" si="8"/>
        <v>157.78600185360216</v>
      </c>
      <c r="J65" s="19">
        <f t="shared" si="12"/>
        <v>4390.253974165541</v>
      </c>
      <c r="K65" s="17">
        <v>7.2579650000000009E-2</v>
      </c>
      <c r="L65" s="19">
        <f t="shared" si="9"/>
        <v>7257.9650000000011</v>
      </c>
      <c r="M65" s="17">
        <f t="shared" si="10"/>
        <v>0</v>
      </c>
      <c r="N65" s="33"/>
    </row>
    <row r="66" spans="1:14">
      <c r="A66" s="16"/>
      <c r="B66" s="17">
        <v>14</v>
      </c>
      <c r="C66" s="17"/>
      <c r="D66" s="25">
        <f t="shared" si="7"/>
        <v>194.99796180353843</v>
      </c>
      <c r="E66" s="19">
        <f t="shared" si="11"/>
        <v>5933.2526249572547</v>
      </c>
      <c r="F66" s="17"/>
      <c r="G66" s="18"/>
      <c r="H66" s="16">
        <v>14</v>
      </c>
      <c r="I66" s="25">
        <f t="shared" si="8"/>
        <v>156.83613361138731</v>
      </c>
      <c r="J66" s="19">
        <f t="shared" si="12"/>
        <v>5001.7991185546216</v>
      </c>
      <c r="K66" s="17">
        <v>7.8162700000000015E-2</v>
      </c>
      <c r="L66" s="19">
        <f t="shared" si="9"/>
        <v>7816.2700000000013</v>
      </c>
      <c r="M66" s="17">
        <f t="shared" si="10"/>
        <v>0</v>
      </c>
      <c r="N66" s="33"/>
    </row>
    <row r="67" spans="1:14">
      <c r="A67" s="16"/>
      <c r="B67" s="17">
        <v>15</v>
      </c>
      <c r="C67" s="17"/>
      <c r="D67" s="25">
        <f t="shared" si="7"/>
        <v>194.99796180353843</v>
      </c>
      <c r="E67" s="19">
        <f t="shared" si="11"/>
        <v>6741.0756454368729</v>
      </c>
      <c r="F67" s="17"/>
      <c r="G67" s="18"/>
      <c r="H67" s="16">
        <v>15</v>
      </c>
      <c r="I67" s="25">
        <f t="shared" si="8"/>
        <v>155.88626536917249</v>
      </c>
      <c r="J67" s="19">
        <f t="shared" si="12"/>
        <v>5673.4539223161737</v>
      </c>
      <c r="K67" s="17">
        <v>8.3745750000000022E-2</v>
      </c>
      <c r="L67" s="19">
        <f t="shared" si="9"/>
        <v>8374.5750000000025</v>
      </c>
      <c r="M67" s="17">
        <f t="shared" si="10"/>
        <v>0</v>
      </c>
      <c r="N67" s="33"/>
    </row>
    <row r="68" spans="1:14">
      <c r="A68" s="16"/>
      <c r="B68" s="17">
        <v>16</v>
      </c>
      <c r="C68" s="17"/>
      <c r="D68" s="25">
        <f t="shared" si="7"/>
        <v>194.99796180353843</v>
      </c>
      <c r="E68" s="19">
        <f t="shared" si="11"/>
        <v>7629.680967964453</v>
      </c>
      <c r="F68" s="17"/>
      <c r="G68" s="18"/>
      <c r="H68" s="16">
        <v>16</v>
      </c>
      <c r="I68" s="25">
        <f t="shared" si="8"/>
        <v>154.93639712695767</v>
      </c>
      <c r="J68" s="19">
        <f t="shared" si="12"/>
        <v>6411.2293513874447</v>
      </c>
      <c r="K68" s="17">
        <v>8.9328800000000028E-2</v>
      </c>
      <c r="L68" s="19">
        <f t="shared" si="9"/>
        <v>8932.8800000000028</v>
      </c>
      <c r="M68" s="17">
        <f t="shared" si="10"/>
        <v>0</v>
      </c>
      <c r="N68" s="33"/>
    </row>
    <row r="69" spans="1:14">
      <c r="A69" s="16"/>
      <c r="B69" s="17">
        <v>17</v>
      </c>
      <c r="C69" s="17"/>
      <c r="D69" s="25">
        <f t="shared" si="7"/>
        <v>194.99796180353843</v>
      </c>
      <c r="E69" s="19">
        <f t="shared" si="11"/>
        <v>8607.1468227447913</v>
      </c>
      <c r="F69" s="17"/>
      <c r="G69" s="18"/>
      <c r="H69" s="16">
        <v>17</v>
      </c>
      <c r="I69" s="25">
        <f t="shared" si="8"/>
        <v>153.98652888474285</v>
      </c>
      <c r="J69" s="19">
        <f t="shared" si="12"/>
        <v>7221.7374682994068</v>
      </c>
      <c r="K69" s="17">
        <v>9.4911850000000034E-2</v>
      </c>
      <c r="L69" s="19">
        <f t="shared" si="9"/>
        <v>9491.1850000000031</v>
      </c>
      <c r="M69" s="17">
        <f t="shared" si="10"/>
        <v>0</v>
      </c>
      <c r="N69" s="33"/>
    </row>
    <row r="70" spans="1:14">
      <c r="A70" s="16"/>
      <c r="B70" s="17">
        <v>18</v>
      </c>
      <c r="C70" s="17"/>
      <c r="D70" s="25">
        <f t="shared" si="7"/>
        <v>194.99796180353843</v>
      </c>
      <c r="E70" s="19">
        <f t="shared" si="11"/>
        <v>9682.3592630031635</v>
      </c>
      <c r="F70" s="17"/>
      <c r="G70" s="18"/>
      <c r="H70" s="16">
        <v>18</v>
      </c>
      <c r="I70" s="25">
        <f t="shared" si="8"/>
        <v>153.03666064252803</v>
      </c>
      <c r="J70" s="19">
        <f t="shared" si="12"/>
        <v>8112.251541836129</v>
      </c>
      <c r="K70" s="17">
        <v>0.10049490000000004</v>
      </c>
      <c r="L70" s="19">
        <f t="shared" si="9"/>
        <v>10049.490000000003</v>
      </c>
      <c r="M70" s="17">
        <f t="shared" si="10"/>
        <v>0</v>
      </c>
      <c r="N70" s="33"/>
    </row>
    <row r="71" spans="1:14" ht="13.5" thickBot="1">
      <c r="A71" s="16"/>
      <c r="B71" s="17">
        <v>19</v>
      </c>
      <c r="C71" s="17"/>
      <c r="D71" s="25">
        <f t="shared" si="7"/>
        <v>194.99796180353843</v>
      </c>
      <c r="E71" s="19">
        <f t="shared" si="11"/>
        <v>10865.092947287372</v>
      </c>
      <c r="F71" s="17"/>
      <c r="G71" s="18"/>
      <c r="H71" s="16">
        <v>19</v>
      </c>
      <c r="I71" s="25">
        <f t="shared" si="8"/>
        <v>152.08679240031321</v>
      </c>
      <c r="J71" s="19">
        <f t="shared" si="12"/>
        <v>9090.7721676600868</v>
      </c>
      <c r="K71" s="17">
        <v>0.10607795000000005</v>
      </c>
      <c r="L71" s="19">
        <f t="shared" si="9"/>
        <v>10607.795000000004</v>
      </c>
      <c r="M71" s="17">
        <f t="shared" si="10"/>
        <v>0</v>
      </c>
      <c r="N71" s="33"/>
    </row>
    <row r="72" spans="1:14" ht="13.5" thickBot="1">
      <c r="A72" s="16"/>
      <c r="B72" s="17">
        <v>20</v>
      </c>
      <c r="C72" s="17"/>
      <c r="D72" s="25">
        <f t="shared" si="7"/>
        <v>194.99796180353843</v>
      </c>
      <c r="E72" s="5">
        <f t="shared" si="11"/>
        <v>12166.100000000002</v>
      </c>
      <c r="F72" s="36">
        <f>G49</f>
        <v>12166.1</v>
      </c>
      <c r="G72" s="18"/>
      <c r="H72" s="16">
        <v>20</v>
      </c>
      <c r="I72" s="25">
        <f t="shared" si="8"/>
        <v>151.1369241580984</v>
      </c>
      <c r="J72" s="19">
        <f t="shared" si="12"/>
        <v>10166.100001000004</v>
      </c>
      <c r="K72" s="17">
        <v>0.11166100000000005</v>
      </c>
      <c r="L72" s="19">
        <f t="shared" si="9"/>
        <v>11166.100000000006</v>
      </c>
      <c r="M72" s="17">
        <f t="shared" si="10"/>
        <v>1000</v>
      </c>
      <c r="N72" s="29">
        <f>J72+M72-L72</f>
        <v>9.9999851954635233E-7</v>
      </c>
    </row>
    <row r="73" spans="1:14">
      <c r="A73" s="16"/>
      <c r="B73" s="17">
        <v>21</v>
      </c>
      <c r="C73" s="17"/>
      <c r="D73" s="25">
        <f t="shared" si="7"/>
        <v>0</v>
      </c>
      <c r="E73" s="19">
        <f t="shared" si="11"/>
        <v>0</v>
      </c>
      <c r="F73" s="17"/>
      <c r="G73" s="18"/>
      <c r="H73" s="16">
        <v>21</v>
      </c>
      <c r="I73" s="25">
        <f t="shared" si="8"/>
        <v>0</v>
      </c>
      <c r="J73" s="17"/>
      <c r="K73" s="17"/>
      <c r="L73" s="17"/>
      <c r="M73" s="17"/>
      <c r="N73" s="18"/>
    </row>
    <row r="74" spans="1:14">
      <c r="A74" s="16"/>
      <c r="B74" s="17">
        <v>22</v>
      </c>
      <c r="C74" s="17"/>
      <c r="D74" s="25">
        <f t="shared" si="7"/>
        <v>0</v>
      </c>
      <c r="E74" s="19">
        <f t="shared" si="11"/>
        <v>0</v>
      </c>
      <c r="F74" s="17"/>
      <c r="G74" s="18"/>
      <c r="H74" s="16">
        <v>22</v>
      </c>
      <c r="I74" s="25">
        <f t="shared" si="8"/>
        <v>0</v>
      </c>
      <c r="J74" s="17"/>
      <c r="K74" s="17"/>
      <c r="L74" s="17"/>
      <c r="M74" s="17"/>
      <c r="N74" s="18"/>
    </row>
    <row r="75" spans="1:14">
      <c r="A75" s="16"/>
      <c r="B75" s="17">
        <v>23</v>
      </c>
      <c r="C75" s="17"/>
      <c r="D75" s="25">
        <f t="shared" si="7"/>
        <v>0</v>
      </c>
      <c r="E75" s="19">
        <f t="shared" si="11"/>
        <v>0</v>
      </c>
      <c r="F75" s="17"/>
      <c r="G75" s="18"/>
      <c r="H75" s="16">
        <v>23</v>
      </c>
      <c r="I75" s="25">
        <f t="shared" si="8"/>
        <v>0</v>
      </c>
      <c r="J75" s="17"/>
      <c r="K75" s="17"/>
      <c r="L75" s="17"/>
      <c r="M75" s="17"/>
      <c r="N75" s="18"/>
    </row>
    <row r="76" spans="1:14">
      <c r="A76" s="16"/>
      <c r="B76" s="17">
        <v>24</v>
      </c>
      <c r="C76" s="17"/>
      <c r="D76" s="25">
        <f t="shared" si="7"/>
        <v>0</v>
      </c>
      <c r="E76" s="19">
        <f t="shared" si="11"/>
        <v>0</v>
      </c>
      <c r="F76" s="17"/>
      <c r="G76" s="18"/>
      <c r="H76" s="16">
        <v>24</v>
      </c>
      <c r="I76" s="25">
        <f t="shared" si="8"/>
        <v>0</v>
      </c>
      <c r="J76" s="17"/>
      <c r="K76" s="17"/>
      <c r="L76" s="17"/>
      <c r="M76" s="17"/>
      <c r="N76" s="18"/>
    </row>
    <row r="77" spans="1:14">
      <c r="A77" s="16"/>
      <c r="B77" s="17">
        <v>25</v>
      </c>
      <c r="C77" s="17"/>
      <c r="D77" s="25">
        <f t="shared" si="7"/>
        <v>0</v>
      </c>
      <c r="E77" s="19">
        <f t="shared" si="11"/>
        <v>0</v>
      </c>
      <c r="F77" s="17"/>
      <c r="G77" s="18"/>
      <c r="H77" s="16">
        <v>25</v>
      </c>
      <c r="I77" s="25">
        <f t="shared" si="8"/>
        <v>0</v>
      </c>
      <c r="J77" s="17"/>
      <c r="K77" s="17"/>
      <c r="L77" s="17"/>
      <c r="M77" s="17"/>
      <c r="N77" s="18"/>
    </row>
    <row r="78" spans="1:14">
      <c r="A78" s="16"/>
      <c r="B78" s="17">
        <v>26</v>
      </c>
      <c r="C78" s="17"/>
      <c r="D78" s="25">
        <f t="shared" si="7"/>
        <v>0</v>
      </c>
      <c r="E78" s="19">
        <f t="shared" si="11"/>
        <v>0</v>
      </c>
      <c r="F78" s="17"/>
      <c r="G78" s="18"/>
      <c r="H78" s="16">
        <v>26</v>
      </c>
      <c r="I78" s="25">
        <f t="shared" si="8"/>
        <v>0</v>
      </c>
      <c r="J78" s="17"/>
      <c r="K78" s="17"/>
      <c r="L78" s="17"/>
      <c r="M78" s="17"/>
      <c r="N78" s="18"/>
    </row>
    <row r="79" spans="1:14">
      <c r="A79" s="16"/>
      <c r="B79" s="17">
        <v>27</v>
      </c>
      <c r="C79" s="17"/>
      <c r="D79" s="25">
        <f t="shared" si="7"/>
        <v>0</v>
      </c>
      <c r="E79" s="19">
        <f t="shared" si="11"/>
        <v>0</v>
      </c>
      <c r="F79" s="17"/>
      <c r="G79" s="18"/>
      <c r="H79" s="16">
        <v>27</v>
      </c>
      <c r="I79" s="25">
        <f t="shared" si="8"/>
        <v>0</v>
      </c>
      <c r="J79" s="17"/>
      <c r="K79" s="17"/>
      <c r="L79" s="17"/>
      <c r="M79" s="17"/>
      <c r="N79" s="18"/>
    </row>
    <row r="80" spans="1:14">
      <c r="A80" s="16"/>
      <c r="B80" s="17">
        <v>28</v>
      </c>
      <c r="C80" s="17"/>
      <c r="D80" s="25">
        <f t="shared" si="7"/>
        <v>0</v>
      </c>
      <c r="E80" s="19">
        <f t="shared" si="11"/>
        <v>0</v>
      </c>
      <c r="F80" s="17"/>
      <c r="G80" s="18"/>
      <c r="H80" s="16">
        <v>28</v>
      </c>
      <c r="I80" s="25">
        <f t="shared" si="8"/>
        <v>0</v>
      </c>
      <c r="J80" s="17"/>
      <c r="K80" s="17"/>
      <c r="L80" s="17"/>
      <c r="M80" s="17"/>
      <c r="N80" s="18"/>
    </row>
    <row r="81" spans="1:14">
      <c r="A81" s="16"/>
      <c r="B81" s="17">
        <v>29</v>
      </c>
      <c r="C81" s="17"/>
      <c r="D81" s="25">
        <f t="shared" si="7"/>
        <v>0</v>
      </c>
      <c r="E81" s="19">
        <f t="shared" si="11"/>
        <v>0</v>
      </c>
      <c r="F81" s="17"/>
      <c r="G81" s="18"/>
      <c r="H81" s="16">
        <v>29</v>
      </c>
      <c r="I81" s="25">
        <f t="shared" si="8"/>
        <v>0</v>
      </c>
      <c r="J81" s="17"/>
      <c r="K81" s="17"/>
      <c r="L81" s="17"/>
      <c r="M81" s="17"/>
      <c r="N81" s="18"/>
    </row>
    <row r="82" spans="1:14" ht="13.5" thickBot="1">
      <c r="A82" s="20"/>
      <c r="B82" s="21">
        <v>30</v>
      </c>
      <c r="C82" s="21"/>
      <c r="D82" s="34">
        <f t="shared" si="7"/>
        <v>0</v>
      </c>
      <c r="E82" s="22">
        <f t="shared" si="11"/>
        <v>0</v>
      </c>
      <c r="F82" s="21"/>
      <c r="G82" s="23"/>
      <c r="H82" s="20">
        <v>30</v>
      </c>
      <c r="I82" s="34">
        <f t="shared" si="8"/>
        <v>0</v>
      </c>
      <c r="J82" s="21"/>
      <c r="K82" s="21"/>
      <c r="L82" s="21"/>
      <c r="M82" s="21"/>
      <c r="N82" s="23"/>
    </row>
  </sheetData>
  <phoneticPr fontId="0" type="noConversion"/>
  <printOptions headings="1" gridLines="1"/>
  <pageMargins left="0.75" right="0.75" top="1" bottom="1" header="0.5" footer="0.5"/>
  <pageSetup scale="61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"/>
  <sheetViews>
    <sheetView zoomScaleNormal="100" workbookViewId="0">
      <selection activeCell="A7" sqref="A7"/>
    </sheetView>
  </sheetViews>
  <sheetFormatPr defaultRowHeight="12.75"/>
  <cols>
    <col min="2" max="2" width="10.28515625" customWidth="1"/>
    <col min="3" max="3" width="14.7109375" customWidth="1"/>
    <col min="4" max="4" width="13.7109375" customWidth="1"/>
    <col min="5" max="6" width="15.140625" customWidth="1"/>
    <col min="7" max="7" width="16.7109375" customWidth="1"/>
    <col min="8" max="8" width="7.7109375" customWidth="1"/>
    <col min="9" max="9" width="12.5703125" bestFit="1" customWidth="1"/>
    <col min="10" max="10" width="7.7109375" customWidth="1"/>
    <col min="11" max="12" width="11.28515625" bestFit="1" customWidth="1"/>
    <col min="14" max="14" width="12.28515625" bestFit="1" customWidth="1"/>
  </cols>
  <sheetData>
    <row r="1" spans="1:22">
      <c r="A1" s="3" t="str">
        <f ca="1">_xll.WBNAME()</f>
        <v>Life Insurance Demo.xlsx</v>
      </c>
    </row>
    <row r="2" spans="1:22">
      <c r="A2" s="3" t="s">
        <v>71</v>
      </c>
    </row>
    <row r="3" spans="1:22">
      <c r="A3" t="s">
        <v>72</v>
      </c>
    </row>
    <row r="4" spans="1:22" ht="13.5" thickBot="1">
      <c r="A4" s="3" t="s">
        <v>17</v>
      </c>
      <c r="B4" s="3"/>
      <c r="C4" s="3" t="s">
        <v>15</v>
      </c>
      <c r="D4" s="3"/>
      <c r="E4" s="3" t="s">
        <v>18</v>
      </c>
      <c r="F4" s="3"/>
      <c r="G4" s="6" t="s">
        <v>5</v>
      </c>
      <c r="I4" s="3" t="s">
        <v>26</v>
      </c>
      <c r="J4" s="3"/>
      <c r="K4" s="3" t="s">
        <v>25</v>
      </c>
      <c r="N4" t="s">
        <v>62</v>
      </c>
    </row>
    <row r="5" spans="1:22" ht="13.5" thickBot="1">
      <c r="A5" s="38">
        <v>1000</v>
      </c>
      <c r="B5" s="3"/>
      <c r="C5" s="38">
        <v>100000</v>
      </c>
      <c r="D5" s="38"/>
      <c r="E5" s="39">
        <v>0.05</v>
      </c>
      <c r="F5" s="3"/>
      <c r="G5" s="37">
        <v>1247.1848191330582</v>
      </c>
      <c r="I5" s="40">
        <f>G56</f>
        <v>10000000.000000969</v>
      </c>
      <c r="J5" s="3"/>
      <c r="K5" s="38">
        <v>10000000</v>
      </c>
      <c r="N5" s="29">
        <f>I5-K5</f>
        <v>9.6857547760009766E-7</v>
      </c>
    </row>
    <row r="7" spans="1:22">
      <c r="I7" s="6" t="s">
        <v>63</v>
      </c>
      <c r="K7" t="s">
        <v>20</v>
      </c>
      <c r="L7" s="35" t="s">
        <v>64</v>
      </c>
      <c r="M7" s="8"/>
    </row>
    <row r="8" spans="1:22">
      <c r="A8" s="6" t="s">
        <v>9</v>
      </c>
      <c r="B8" s="6" t="s">
        <v>14</v>
      </c>
      <c r="C8" s="6" t="s">
        <v>16</v>
      </c>
      <c r="D8" s="6" t="s">
        <v>67</v>
      </c>
      <c r="E8" s="6" t="s">
        <v>65</v>
      </c>
      <c r="F8" s="6" t="s">
        <v>24</v>
      </c>
      <c r="G8" s="6" t="s">
        <v>68</v>
      </c>
      <c r="I8" s="6" t="s">
        <v>19</v>
      </c>
      <c r="K8" t="s">
        <v>21</v>
      </c>
      <c r="L8" t="s">
        <v>22</v>
      </c>
      <c r="M8" t="s">
        <v>23</v>
      </c>
      <c r="N8" t="s">
        <v>38</v>
      </c>
    </row>
    <row r="9" spans="1:22">
      <c r="A9" s="6"/>
      <c r="B9" s="6"/>
      <c r="C9" s="6"/>
      <c r="D9" s="6"/>
      <c r="E9" s="6"/>
      <c r="F9" s="6"/>
      <c r="G9" s="6"/>
      <c r="I9" s="6"/>
      <c r="K9" t="s">
        <v>58</v>
      </c>
      <c r="L9" s="6" t="s">
        <v>59</v>
      </c>
      <c r="N9" t="s">
        <v>39</v>
      </c>
      <c r="S9" t="str">
        <f>WholeLife!$K$9</f>
        <v>Population</v>
      </c>
      <c r="T9" t="s">
        <v>37</v>
      </c>
      <c r="U9" t="str">
        <f>WholeLife!$N$9</f>
        <v xml:space="preserve">Uniform </v>
      </c>
      <c r="V9" t="s">
        <v>37</v>
      </c>
    </row>
    <row r="10" spans="1:22">
      <c r="A10">
        <v>40</v>
      </c>
      <c r="B10">
        <v>95266</v>
      </c>
      <c r="C10" s="12">
        <v>0</v>
      </c>
      <c r="D10" s="1">
        <f t="shared" ref="D10:D55" si="0">$G$5*I10</f>
        <v>1247184.8191330582</v>
      </c>
      <c r="E10" s="11">
        <f>F10-D10</f>
        <v>62359.24095665291</v>
      </c>
      <c r="F10" s="11">
        <f>D10*(1+E5)</f>
        <v>1309544.0600897111</v>
      </c>
      <c r="G10" s="11">
        <f>F10</f>
        <v>1309544.0600897111</v>
      </c>
      <c r="I10" s="1">
        <f>A5</f>
        <v>1000</v>
      </c>
      <c r="K10" s="2">
        <v>0</v>
      </c>
      <c r="N10">
        <v>0</v>
      </c>
      <c r="S10">
        <f>SMALL(WholeLife!$K$10:$K$55,1)</f>
        <v>0</v>
      </c>
      <c r="T10">
        <v>0</v>
      </c>
      <c r="U10">
        <f>SMALL(WholeLife!$N$10:$N$55,1)</f>
        <v>0</v>
      </c>
      <c r="V10">
        <v>0</v>
      </c>
    </row>
    <row r="11" spans="1:22">
      <c r="A11">
        <v>41</v>
      </c>
      <c r="B11">
        <v>95014</v>
      </c>
      <c r="C11" s="1">
        <f t="shared" ref="C11:C55" si="1">$C$5*M11</f>
        <v>200000</v>
      </c>
      <c r="D11" s="1">
        <f t="shared" si="0"/>
        <v>1244690.4494947921</v>
      </c>
      <c r="E11" s="11">
        <f t="shared" ref="E11:E56" si="2">(D11+G10)*$E$5</f>
        <v>127711.72547922516</v>
      </c>
      <c r="F11" s="1">
        <f t="shared" ref="F11:F56" si="3">(G10+D11)*(1+$E$5)</f>
        <v>2681946.2350637284</v>
      </c>
      <c r="G11" s="11">
        <f t="shared" ref="G11:G56" si="4">F11-C11</f>
        <v>2481946.2350637284</v>
      </c>
      <c r="I11" s="1">
        <f t="shared" ref="I11:I55" si="5">IF(K11&lt;1,$I$10-L11,0)</f>
        <v>998</v>
      </c>
      <c r="K11" s="2">
        <f>($B$10-B11)/B10</f>
        <v>2.6452249490899167E-3</v>
      </c>
      <c r="L11">
        <f>IF(INT($I$10*K11)&lt;=$A$5,INT($I$10*K11),0)</f>
        <v>2</v>
      </c>
      <c r="M11">
        <f>L11-L10</f>
        <v>2</v>
      </c>
      <c r="N11" s="2">
        <f t="shared" ref="N11:N54" si="6">($N$55/($A$55-$A$10))+N10</f>
        <v>1.6181822222222222E-2</v>
      </c>
      <c r="S11">
        <f>SMALL(WholeLife!$K$10:$K$55,2)</f>
        <v>2.6452249490899167E-3</v>
      </c>
      <c r="T11">
        <f>1/(COUNT(WholeLife!$K$10:$K$55)-1)+$T$10</f>
        <v>2.2222222222222223E-2</v>
      </c>
      <c r="U11">
        <f>SMALL(WholeLife!$N$10:$N$55,2)</f>
        <v>1.6181822222222222E-2</v>
      </c>
      <c r="V11">
        <f>1/(COUNT(WholeLife!$N$10:$N$55)-1)+$V$10</f>
        <v>2.2222222222222223E-2</v>
      </c>
    </row>
    <row r="12" spans="1:22">
      <c r="A12">
        <v>42</v>
      </c>
      <c r="B12">
        <v>94746</v>
      </c>
      <c r="C12" s="1">
        <f t="shared" si="1"/>
        <v>300000</v>
      </c>
      <c r="D12" s="1">
        <f t="shared" si="0"/>
        <v>1240948.8950373929</v>
      </c>
      <c r="E12" s="11">
        <f t="shared" si="2"/>
        <v>186144.75650505605</v>
      </c>
      <c r="F12" s="1">
        <f t="shared" si="3"/>
        <v>3909039.8866061773</v>
      </c>
      <c r="G12" s="11">
        <f t="shared" si="4"/>
        <v>3609039.8866061773</v>
      </c>
      <c r="I12" s="1">
        <f t="shared" si="5"/>
        <v>995</v>
      </c>
      <c r="K12" s="2">
        <f t="shared" ref="K12:K55" si="7">($B$10-B12)/$B$10</f>
        <v>5.4584006885982405E-3</v>
      </c>
      <c r="L12">
        <f t="shared" ref="L12:L55" si="8">IF(INT($I$10*K12)&lt;=$A$5,INT($I$10*K12),$A$5)</f>
        <v>5</v>
      </c>
      <c r="M12">
        <f t="shared" ref="M12:M55" si="9">IF(L12-L11&gt;0,L12-L11,0)</f>
        <v>3</v>
      </c>
      <c r="N12" s="2">
        <f t="shared" si="6"/>
        <v>3.2363644444444443E-2</v>
      </c>
      <c r="S12">
        <f>SMALL(WholeLife!$K$10:$K$55,3)</f>
        <v>5.4584006885982405E-3</v>
      </c>
      <c r="T12">
        <f>1/(COUNT(WholeLife!$K$10:$K$55)-1)+$T$11</f>
        <v>4.4444444444444446E-2</v>
      </c>
      <c r="U12">
        <f>SMALL(WholeLife!$N$10:$N$55,3)</f>
        <v>3.2363644444444443E-2</v>
      </c>
      <c r="V12">
        <f>1/(COUNT(WholeLife!$N$10:$N$55)-1)+$V$11</f>
        <v>4.4444444444444446E-2</v>
      </c>
    </row>
    <row r="13" spans="1:22">
      <c r="A13">
        <v>43</v>
      </c>
      <c r="B13">
        <v>94462</v>
      </c>
      <c r="C13" s="1">
        <f t="shared" si="1"/>
        <v>300000</v>
      </c>
      <c r="D13" s="1">
        <f t="shared" si="0"/>
        <v>1237207.3405799938</v>
      </c>
      <c r="E13" s="11">
        <f t="shared" si="2"/>
        <v>242312.36135930859</v>
      </c>
      <c r="F13" s="1">
        <f t="shared" si="3"/>
        <v>5088559.5885454798</v>
      </c>
      <c r="G13" s="11">
        <f t="shared" si="4"/>
        <v>4788559.5885454798</v>
      </c>
      <c r="I13" s="1">
        <f t="shared" si="5"/>
        <v>992</v>
      </c>
      <c r="K13" s="2">
        <f t="shared" si="7"/>
        <v>8.4395272185249729E-3</v>
      </c>
      <c r="L13">
        <f t="shared" si="8"/>
        <v>8</v>
      </c>
      <c r="M13">
        <f t="shared" si="9"/>
        <v>3</v>
      </c>
      <c r="N13" s="2">
        <f t="shared" si="6"/>
        <v>4.8545466666666662E-2</v>
      </c>
      <c r="S13">
        <f>SMALL(WholeLife!$K$10:$K$55,4)</f>
        <v>8.4395272185249729E-3</v>
      </c>
      <c r="T13">
        <f>1/(COUNT(WholeLife!$K$10:$K$55)-1)+$T$12</f>
        <v>6.6666666666666666E-2</v>
      </c>
      <c r="U13">
        <f>SMALL(WholeLife!$N$10:$N$55,4)</f>
        <v>4.8545466666666662E-2</v>
      </c>
      <c r="V13">
        <f>1/(COUNT(WholeLife!$N$10:$N$55)-1)+$V$12</f>
        <v>6.6666666666666666E-2</v>
      </c>
    </row>
    <row r="14" spans="1:22">
      <c r="A14">
        <v>44</v>
      </c>
      <c r="B14">
        <v>94162</v>
      </c>
      <c r="C14" s="1">
        <f t="shared" si="1"/>
        <v>300000</v>
      </c>
      <c r="D14" s="1">
        <f t="shared" si="0"/>
        <v>1233465.7861225945</v>
      </c>
      <c r="E14" s="11">
        <f t="shared" si="2"/>
        <v>301101.26873340376</v>
      </c>
      <c r="F14" s="1">
        <f t="shared" si="3"/>
        <v>6323126.6434014784</v>
      </c>
      <c r="G14" s="11">
        <f t="shared" si="4"/>
        <v>6023126.6434014784</v>
      </c>
      <c r="I14" s="1">
        <f t="shared" si="5"/>
        <v>989</v>
      </c>
      <c r="K14" s="2">
        <f t="shared" si="7"/>
        <v>1.1588604538870111E-2</v>
      </c>
      <c r="L14">
        <f t="shared" si="8"/>
        <v>11</v>
      </c>
      <c r="M14">
        <f t="shared" si="9"/>
        <v>3</v>
      </c>
      <c r="N14" s="2">
        <f t="shared" si="6"/>
        <v>6.4727288888888887E-2</v>
      </c>
      <c r="S14">
        <f>SMALL(WholeLife!$K$10:$K$55,5)</f>
        <v>1.1588604538870111E-2</v>
      </c>
      <c r="T14">
        <f>1/(COUNT(WholeLife!$K$10:$K$55)-1)+$T$13</f>
        <v>8.8888888888888892E-2</v>
      </c>
      <c r="U14">
        <f>SMALL(WholeLife!$N$10:$N$55,5)</f>
        <v>6.4727288888888887E-2</v>
      </c>
      <c r="V14">
        <f>1/(COUNT(WholeLife!$N$10:$N$55)-1)+$V$13</f>
        <v>8.8888888888888892E-2</v>
      </c>
    </row>
    <row r="15" spans="1:22">
      <c r="A15">
        <v>45</v>
      </c>
      <c r="B15">
        <v>93845</v>
      </c>
      <c r="C15" s="1">
        <f t="shared" si="1"/>
        <v>300000</v>
      </c>
      <c r="D15" s="1">
        <f t="shared" si="0"/>
        <v>1229724.2316651954</v>
      </c>
      <c r="E15" s="11">
        <f t="shared" si="2"/>
        <v>362642.54375333368</v>
      </c>
      <c r="F15" s="1">
        <f t="shared" si="3"/>
        <v>7615493.4188200077</v>
      </c>
      <c r="G15" s="11">
        <f t="shared" si="4"/>
        <v>7315493.4188200077</v>
      </c>
      <c r="I15" s="1">
        <f t="shared" si="5"/>
        <v>986</v>
      </c>
      <c r="K15" s="2">
        <f t="shared" si="7"/>
        <v>1.4916129574034808E-2</v>
      </c>
      <c r="L15">
        <f t="shared" si="8"/>
        <v>14</v>
      </c>
      <c r="M15">
        <f t="shared" si="9"/>
        <v>3</v>
      </c>
      <c r="N15" s="2">
        <f t="shared" si="6"/>
        <v>8.0909111111111112E-2</v>
      </c>
      <c r="S15">
        <f>SMALL(WholeLife!$K$10:$K$55,6)</f>
        <v>1.4916129574034808E-2</v>
      </c>
      <c r="T15">
        <f>1/(COUNT(WholeLife!$K$10:$K$55)-1)+$T$14</f>
        <v>0.11111111111111112</v>
      </c>
      <c r="U15">
        <f>SMALL(WholeLife!$N$10:$N$55,6)</f>
        <v>8.0909111111111112E-2</v>
      </c>
      <c r="V15">
        <f>1/(COUNT(WholeLife!$N$10:$N$55)-1)+$V$14</f>
        <v>0.11111111111111112</v>
      </c>
    </row>
    <row r="16" spans="1:22">
      <c r="A16">
        <v>46</v>
      </c>
      <c r="B16">
        <v>93509</v>
      </c>
      <c r="C16" s="1">
        <f t="shared" si="1"/>
        <v>400000</v>
      </c>
      <c r="D16" s="1">
        <f t="shared" si="0"/>
        <v>1224735.4923886631</v>
      </c>
      <c r="E16" s="11">
        <f t="shared" si="2"/>
        <v>427011.44556043355</v>
      </c>
      <c r="F16" s="1">
        <f t="shared" si="3"/>
        <v>8967240.3567691054</v>
      </c>
      <c r="G16" s="11">
        <f t="shared" si="4"/>
        <v>8567240.3567691054</v>
      </c>
      <c r="I16" s="1">
        <f t="shared" si="5"/>
        <v>982</v>
      </c>
      <c r="K16" s="2">
        <f t="shared" si="7"/>
        <v>1.8443096172821364E-2</v>
      </c>
      <c r="L16">
        <f t="shared" si="8"/>
        <v>18</v>
      </c>
      <c r="M16">
        <f t="shared" si="9"/>
        <v>4</v>
      </c>
      <c r="N16" s="2">
        <f t="shared" si="6"/>
        <v>9.7090933333333337E-2</v>
      </c>
      <c r="S16">
        <f>SMALL(WholeLife!$K$10:$K$55,7)</f>
        <v>1.8443096172821364E-2</v>
      </c>
      <c r="T16">
        <f>1/(COUNT(WholeLife!$K$10:$K$55)-1)+$T$15</f>
        <v>0.13333333333333333</v>
      </c>
      <c r="U16">
        <f>SMALL(WholeLife!$N$10:$N$55,7)</f>
        <v>9.7090933333333337E-2</v>
      </c>
      <c r="V16">
        <f>1/(COUNT(WholeLife!$N$10:$N$55)-1)+$V$15</f>
        <v>0.13333333333333333</v>
      </c>
    </row>
    <row r="17" spans="1:22">
      <c r="A17">
        <v>47</v>
      </c>
      <c r="B17">
        <v>93151</v>
      </c>
      <c r="C17" s="1">
        <f t="shared" si="1"/>
        <v>400000</v>
      </c>
      <c r="D17" s="1">
        <f t="shared" si="0"/>
        <v>1219746.753112131</v>
      </c>
      <c r="E17" s="11">
        <f t="shared" si="2"/>
        <v>489349.35549406189</v>
      </c>
      <c r="F17" s="1">
        <f t="shared" si="3"/>
        <v>10276336.465375299</v>
      </c>
      <c r="G17" s="11">
        <f t="shared" si="4"/>
        <v>9876336.4653752986</v>
      </c>
      <c r="I17" s="1">
        <f t="shared" si="5"/>
        <v>978</v>
      </c>
      <c r="K17" s="2">
        <f t="shared" si="7"/>
        <v>2.2200995108433229E-2</v>
      </c>
      <c r="L17">
        <f t="shared" si="8"/>
        <v>22</v>
      </c>
      <c r="M17">
        <f t="shared" si="9"/>
        <v>4</v>
      </c>
      <c r="N17" s="2">
        <f t="shared" si="6"/>
        <v>0.11327275555555556</v>
      </c>
      <c r="S17">
        <f>SMALL(WholeLife!$K$10:$K$55,8)</f>
        <v>2.2200995108433229E-2</v>
      </c>
      <c r="T17">
        <f>1/(COUNT(WholeLife!$K$10:$K$55)-1)+$T$16</f>
        <v>0.15555555555555556</v>
      </c>
      <c r="U17">
        <f>SMALL(WholeLife!$N$10:$N$55,8)</f>
        <v>0.11327275555555556</v>
      </c>
      <c r="V17">
        <f>1/(COUNT(WholeLife!$N$10:$N$55)-1)+$V$16</f>
        <v>0.15555555555555556</v>
      </c>
    </row>
    <row r="18" spans="1:22">
      <c r="A18">
        <v>48</v>
      </c>
      <c r="B18">
        <v>92767</v>
      </c>
      <c r="C18" s="1">
        <f t="shared" si="1"/>
        <v>400000</v>
      </c>
      <c r="D18" s="1">
        <f t="shared" si="0"/>
        <v>1214758.0138355987</v>
      </c>
      <c r="E18" s="11">
        <f t="shared" si="2"/>
        <v>554554.72396054491</v>
      </c>
      <c r="F18" s="1">
        <f t="shared" si="3"/>
        <v>11645649.203171443</v>
      </c>
      <c r="G18" s="11">
        <f t="shared" si="4"/>
        <v>11245649.203171443</v>
      </c>
      <c r="I18" s="1">
        <f t="shared" si="5"/>
        <v>974</v>
      </c>
      <c r="K18" s="2">
        <f t="shared" si="7"/>
        <v>2.6231814078475007E-2</v>
      </c>
      <c r="L18">
        <f t="shared" si="8"/>
        <v>26</v>
      </c>
      <c r="M18">
        <f t="shared" si="9"/>
        <v>4</v>
      </c>
      <c r="N18" s="2">
        <f t="shared" si="6"/>
        <v>0.12945457777777777</v>
      </c>
      <c r="S18">
        <f>SMALL(WholeLife!$K$10:$K$55,9)</f>
        <v>2.6231814078475007E-2</v>
      </c>
      <c r="T18">
        <f>1/(COUNT(WholeLife!$K$10:$K$55)-1)+$T$17</f>
        <v>0.17777777777777778</v>
      </c>
      <c r="U18">
        <f>SMALL(WholeLife!$N$10:$N$55,9)</f>
        <v>0.12945457777777777</v>
      </c>
      <c r="V18">
        <f>1/(COUNT(WholeLife!$N$10:$N$55)-1)+$V$17</f>
        <v>0.17777777777777778</v>
      </c>
    </row>
    <row r="19" spans="1:22">
      <c r="A19">
        <v>49</v>
      </c>
      <c r="B19">
        <v>92352</v>
      </c>
      <c r="C19" s="1">
        <f t="shared" si="1"/>
        <v>400000</v>
      </c>
      <c r="D19" s="1">
        <f t="shared" si="0"/>
        <v>1209769.2745590664</v>
      </c>
      <c r="E19" s="11">
        <f t="shared" si="2"/>
        <v>622770.92388652544</v>
      </c>
      <c r="F19" s="1">
        <f t="shared" si="3"/>
        <v>13078189.401617035</v>
      </c>
      <c r="G19" s="11">
        <f t="shared" si="4"/>
        <v>12678189.401617035</v>
      </c>
      <c r="I19" s="1">
        <f t="shared" si="5"/>
        <v>970</v>
      </c>
      <c r="K19" s="2">
        <f t="shared" si="7"/>
        <v>3.0588037704952449E-2</v>
      </c>
      <c r="L19">
        <f t="shared" si="8"/>
        <v>30</v>
      </c>
      <c r="M19">
        <f t="shared" si="9"/>
        <v>4</v>
      </c>
      <c r="N19" s="2">
        <f t="shared" si="6"/>
        <v>0.1456364</v>
      </c>
      <c r="S19">
        <f>SMALL(WholeLife!$K$10:$K$55,10)</f>
        <v>3.0588037704952449E-2</v>
      </c>
      <c r="T19">
        <f>1/(COUNT(WholeLife!$K$10:$K$55)-1)+$T$18</f>
        <v>0.2</v>
      </c>
      <c r="U19">
        <f>SMALL(WholeLife!$N$10:$N$55,10)</f>
        <v>0.1456364</v>
      </c>
      <c r="V19">
        <f>1/(COUNT(WholeLife!$N$10:$N$55)-1)+$V$18</f>
        <v>0.2</v>
      </c>
    </row>
    <row r="20" spans="1:22">
      <c r="A20">
        <v>50</v>
      </c>
      <c r="B20">
        <v>91901</v>
      </c>
      <c r="C20" s="1">
        <f t="shared" si="1"/>
        <v>500000</v>
      </c>
      <c r="D20" s="1">
        <f t="shared" si="0"/>
        <v>1203533.3504634013</v>
      </c>
      <c r="E20" s="11">
        <f t="shared" si="2"/>
        <v>694086.13760402193</v>
      </c>
      <c r="F20" s="1">
        <f t="shared" si="3"/>
        <v>14575808.889684459</v>
      </c>
      <c r="G20" s="11">
        <f t="shared" si="4"/>
        <v>14075808.889684459</v>
      </c>
      <c r="I20" s="1">
        <f t="shared" si="5"/>
        <v>965</v>
      </c>
      <c r="K20" s="2">
        <f t="shared" si="7"/>
        <v>3.532215060987131E-2</v>
      </c>
      <c r="L20">
        <f t="shared" si="8"/>
        <v>35</v>
      </c>
      <c r="M20">
        <f t="shared" si="9"/>
        <v>5</v>
      </c>
      <c r="N20" s="2">
        <f t="shared" si="6"/>
        <v>0.16181822222222222</v>
      </c>
      <c r="S20">
        <f>SMALL(WholeLife!$K$10:$K$55,11)</f>
        <v>3.532215060987131E-2</v>
      </c>
      <c r="T20">
        <f>1/(COUNT(WholeLife!$K$10:$K$55)-1)+$T$19</f>
        <v>0.22222222222222224</v>
      </c>
      <c r="U20">
        <f>SMALL(WholeLife!$N$10:$N$55,11)</f>
        <v>0.16181822222222222</v>
      </c>
      <c r="V20">
        <f>1/(COUNT(WholeLife!$N$10:$N$55)-1)+$V$19</f>
        <v>0.22222222222222224</v>
      </c>
    </row>
    <row r="21" spans="1:22">
      <c r="A21">
        <v>51</v>
      </c>
      <c r="B21">
        <v>91411</v>
      </c>
      <c r="C21" s="1">
        <f t="shared" si="1"/>
        <v>500000</v>
      </c>
      <c r="D21" s="1">
        <f t="shared" si="0"/>
        <v>1197297.426367736</v>
      </c>
      <c r="E21" s="11">
        <f t="shared" si="2"/>
        <v>763655.31580260978</v>
      </c>
      <c r="F21" s="1">
        <f t="shared" si="3"/>
        <v>16036761.631854804</v>
      </c>
      <c r="G21" s="11">
        <f t="shared" si="4"/>
        <v>15536761.631854804</v>
      </c>
      <c r="I21" s="1">
        <f t="shared" si="5"/>
        <v>960</v>
      </c>
      <c r="K21" s="2">
        <f t="shared" si="7"/>
        <v>4.0465643566435033E-2</v>
      </c>
      <c r="L21">
        <f t="shared" si="8"/>
        <v>40</v>
      </c>
      <c r="M21">
        <f t="shared" si="9"/>
        <v>5</v>
      </c>
      <c r="N21" s="2">
        <f t="shared" si="6"/>
        <v>0.17800004444444445</v>
      </c>
      <c r="S21">
        <f>SMALL(WholeLife!$K$10:$K$55,12)</f>
        <v>4.0465643566435033E-2</v>
      </c>
      <c r="T21">
        <f>1/(COUNT(WholeLife!$K$10:$K$55)-1)+$T$20</f>
        <v>0.24444444444444446</v>
      </c>
      <c r="U21">
        <f>SMALL(WholeLife!$N$10:$N$55,12)</f>
        <v>0.17800004444444445</v>
      </c>
      <c r="V21">
        <f>1/(COUNT(WholeLife!$N$10:$N$55)-1)+$V$20</f>
        <v>0.24444444444444446</v>
      </c>
    </row>
    <row r="22" spans="1:22">
      <c r="A22">
        <v>52</v>
      </c>
      <c r="B22">
        <v>90877</v>
      </c>
      <c r="C22" s="1">
        <f t="shared" si="1"/>
        <v>600000</v>
      </c>
      <c r="D22" s="1">
        <f t="shared" si="0"/>
        <v>1189814.3174529376</v>
      </c>
      <c r="E22" s="11">
        <f t="shared" si="2"/>
        <v>836328.79746538715</v>
      </c>
      <c r="F22" s="1">
        <f t="shared" si="3"/>
        <v>17562904.746773131</v>
      </c>
      <c r="G22" s="11">
        <f t="shared" si="4"/>
        <v>16962904.746773131</v>
      </c>
      <c r="I22" s="1">
        <f t="shared" si="5"/>
        <v>954</v>
      </c>
      <c r="K22" s="2">
        <f t="shared" si="7"/>
        <v>4.6071001196649385E-2</v>
      </c>
      <c r="L22">
        <f t="shared" si="8"/>
        <v>46</v>
      </c>
      <c r="M22">
        <f t="shared" si="9"/>
        <v>6</v>
      </c>
      <c r="N22" s="2">
        <f t="shared" si="6"/>
        <v>0.19418186666666667</v>
      </c>
      <c r="S22">
        <f>SMALL(WholeLife!$K$10:$K$55,13)</f>
        <v>4.6071001196649385E-2</v>
      </c>
      <c r="T22">
        <f>1/(COUNT(WholeLife!$K$10:$K$55)-1)+$T$21</f>
        <v>0.26666666666666666</v>
      </c>
      <c r="U22">
        <f>SMALL(WholeLife!$N$10:$N$55,13)</f>
        <v>0.19418186666666667</v>
      </c>
      <c r="V22">
        <f>1/(COUNT(WholeLife!$N$10:$N$55)-1)+$V$21</f>
        <v>0.26666666666666666</v>
      </c>
    </row>
    <row r="23" spans="1:22">
      <c r="A23">
        <v>53</v>
      </c>
      <c r="B23">
        <v>90298</v>
      </c>
      <c r="C23" s="1">
        <f t="shared" si="1"/>
        <v>600000</v>
      </c>
      <c r="D23" s="1">
        <f t="shared" si="0"/>
        <v>1182331.2085381392</v>
      </c>
      <c r="E23" s="11">
        <f t="shared" si="2"/>
        <v>907261.79776556347</v>
      </c>
      <c r="F23" s="1">
        <f t="shared" si="3"/>
        <v>19052497.753076833</v>
      </c>
      <c r="G23" s="11">
        <f t="shared" si="4"/>
        <v>18452497.753076833</v>
      </c>
      <c r="I23" s="1">
        <f t="shared" si="5"/>
        <v>948</v>
      </c>
      <c r="K23" s="2">
        <f t="shared" si="7"/>
        <v>5.2148720424915501E-2</v>
      </c>
      <c r="L23">
        <f t="shared" si="8"/>
        <v>52</v>
      </c>
      <c r="M23">
        <f t="shared" si="9"/>
        <v>6</v>
      </c>
      <c r="N23" s="2">
        <f t="shared" si="6"/>
        <v>0.2103636888888889</v>
      </c>
      <c r="S23">
        <f>SMALL(WholeLife!$K$10:$K$55,14)</f>
        <v>5.2148720424915501E-2</v>
      </c>
      <c r="T23">
        <f>1/(COUNT(WholeLife!$K$10:$K$55)-1)+$T$22</f>
        <v>0.28888888888888886</v>
      </c>
      <c r="U23">
        <f>SMALL(WholeLife!$N$10:$N$55,14)</f>
        <v>0.2103636888888889</v>
      </c>
      <c r="V23">
        <f>1/(COUNT(WholeLife!$N$10:$N$55)-1)+$V$22</f>
        <v>0.28888888888888886</v>
      </c>
    </row>
    <row r="24" spans="1:22">
      <c r="A24">
        <v>54</v>
      </c>
      <c r="B24">
        <v>89671</v>
      </c>
      <c r="C24" s="1">
        <f t="shared" si="1"/>
        <v>600000</v>
      </c>
      <c r="D24" s="1">
        <f t="shared" si="0"/>
        <v>1174848.0996233409</v>
      </c>
      <c r="E24" s="11">
        <f t="shared" si="2"/>
        <v>981367.29263500869</v>
      </c>
      <c r="F24" s="1">
        <f t="shared" si="3"/>
        <v>20608713.145335183</v>
      </c>
      <c r="G24" s="11">
        <f t="shared" si="4"/>
        <v>20008713.145335183</v>
      </c>
      <c r="I24" s="1">
        <f t="shared" si="5"/>
        <v>942</v>
      </c>
      <c r="K24" s="2">
        <f t="shared" si="7"/>
        <v>5.8730292024436838E-2</v>
      </c>
      <c r="L24">
        <f t="shared" si="8"/>
        <v>58</v>
      </c>
      <c r="M24">
        <f t="shared" si="9"/>
        <v>6</v>
      </c>
      <c r="N24" s="2">
        <f t="shared" si="6"/>
        <v>0.22654551111111113</v>
      </c>
      <c r="S24">
        <f>SMALL(WholeLife!$K$10:$K$55,15)</f>
        <v>5.8730292024436838E-2</v>
      </c>
      <c r="T24">
        <f>1/(COUNT(WholeLife!$K$10:$K$55)-1)+$T$23</f>
        <v>0.31111111111111106</v>
      </c>
      <c r="U24">
        <f>SMALL(WholeLife!$N$10:$N$55,15)</f>
        <v>0.22654551111111113</v>
      </c>
      <c r="V24">
        <f>1/(COUNT(WholeLife!$N$10:$N$55)-1)+$V$23</f>
        <v>0.31111111111111106</v>
      </c>
    </row>
    <row r="25" spans="1:22">
      <c r="A25">
        <v>55</v>
      </c>
      <c r="B25">
        <v>88994</v>
      </c>
      <c r="C25" s="1">
        <f t="shared" si="1"/>
        <v>700000</v>
      </c>
      <c r="D25" s="1">
        <f t="shared" si="0"/>
        <v>1166117.8058894095</v>
      </c>
      <c r="E25" s="11">
        <f t="shared" si="2"/>
        <v>1058741.5475612297</v>
      </c>
      <c r="F25" s="1">
        <f t="shared" si="3"/>
        <v>22233572.498785824</v>
      </c>
      <c r="G25" s="11">
        <f t="shared" si="4"/>
        <v>21533572.498785824</v>
      </c>
      <c r="I25" s="1">
        <f t="shared" si="5"/>
        <v>935</v>
      </c>
      <c r="K25" s="2">
        <f t="shared" si="7"/>
        <v>6.5836709844015698E-2</v>
      </c>
      <c r="L25">
        <f t="shared" si="8"/>
        <v>65</v>
      </c>
      <c r="M25">
        <f t="shared" si="9"/>
        <v>7</v>
      </c>
      <c r="N25" s="2">
        <f t="shared" si="6"/>
        <v>0.24272733333333335</v>
      </c>
      <c r="S25">
        <f>SMALL(WholeLife!$K$10:$K$55,16)</f>
        <v>6.5836709844015698E-2</v>
      </c>
      <c r="T25">
        <f>1/(COUNT(WholeLife!$K$10:$K$55)-1)+$T$24</f>
        <v>0.33333333333333326</v>
      </c>
      <c r="U25">
        <f>SMALL(WholeLife!$N$10:$N$55,16)</f>
        <v>0.24272733333333335</v>
      </c>
      <c r="V25">
        <f>1/(COUNT(WholeLife!$N$10:$N$55)-1)+$V$24</f>
        <v>0.33333333333333326</v>
      </c>
    </row>
    <row r="26" spans="1:22">
      <c r="A26">
        <v>56</v>
      </c>
      <c r="B26">
        <v>88264</v>
      </c>
      <c r="C26" s="1">
        <f t="shared" si="1"/>
        <v>800000</v>
      </c>
      <c r="D26" s="1">
        <f t="shared" si="0"/>
        <v>1156140.3273363449</v>
      </c>
      <c r="E26" s="11">
        <f t="shared" si="2"/>
        <v>1134485.6413061086</v>
      </c>
      <c r="F26" s="1">
        <f t="shared" si="3"/>
        <v>23824198.467428278</v>
      </c>
      <c r="G26" s="11">
        <f t="shared" si="4"/>
        <v>23024198.467428278</v>
      </c>
      <c r="I26" s="1">
        <f t="shared" si="5"/>
        <v>927</v>
      </c>
      <c r="K26" s="2">
        <f t="shared" si="7"/>
        <v>7.3499464656855543E-2</v>
      </c>
      <c r="L26">
        <f t="shared" si="8"/>
        <v>73</v>
      </c>
      <c r="M26">
        <f t="shared" si="9"/>
        <v>8</v>
      </c>
      <c r="N26" s="2">
        <f t="shared" si="6"/>
        <v>0.25890915555555555</v>
      </c>
      <c r="S26">
        <f>SMALL(WholeLife!$K$10:$K$55,17)</f>
        <v>7.3499464656855543E-2</v>
      </c>
      <c r="T26">
        <f>1/(COUNT(WholeLife!$K$10:$K$55)-1)+$T$25</f>
        <v>0.35555555555555546</v>
      </c>
      <c r="U26">
        <f>SMALL(WholeLife!$N$10:$N$55,17)</f>
        <v>0.25890915555555555</v>
      </c>
      <c r="V26">
        <f>1/(COUNT(WholeLife!$N$10:$N$55)-1)+$V$25</f>
        <v>0.35555555555555546</v>
      </c>
    </row>
    <row r="27" spans="1:22">
      <c r="A27">
        <v>57</v>
      </c>
      <c r="B27">
        <v>87475</v>
      </c>
      <c r="C27" s="1">
        <f t="shared" si="1"/>
        <v>800000</v>
      </c>
      <c r="D27" s="1">
        <f t="shared" si="0"/>
        <v>1146162.8487832805</v>
      </c>
      <c r="E27" s="11">
        <f t="shared" si="2"/>
        <v>1208518.0658105779</v>
      </c>
      <c r="F27" s="1">
        <f t="shared" si="3"/>
        <v>25378879.382022139</v>
      </c>
      <c r="G27" s="11">
        <f t="shared" si="4"/>
        <v>24578879.382022139</v>
      </c>
      <c r="I27" s="1">
        <f t="shared" si="5"/>
        <v>919</v>
      </c>
      <c r="K27" s="2">
        <f t="shared" si="7"/>
        <v>8.1781538009363261E-2</v>
      </c>
      <c r="L27">
        <f t="shared" si="8"/>
        <v>81</v>
      </c>
      <c r="M27">
        <f t="shared" si="9"/>
        <v>8</v>
      </c>
      <c r="N27" s="2">
        <f t="shared" si="6"/>
        <v>0.27509097777777775</v>
      </c>
      <c r="S27">
        <f>SMALL(WholeLife!$K$10:$K$55,18)</f>
        <v>8.1781538009363261E-2</v>
      </c>
      <c r="T27">
        <f>1/(COUNT(WholeLife!$K$10:$K$55)-1)+$T$26</f>
        <v>0.37777777777777766</v>
      </c>
      <c r="U27">
        <f>SMALL(WholeLife!$N$10:$N$55,18)</f>
        <v>0.27509097777777775</v>
      </c>
      <c r="V27">
        <f>1/(COUNT(WholeLife!$N$10:$N$55)-1)+$V$26</f>
        <v>0.37777777777777766</v>
      </c>
    </row>
    <row r="28" spans="1:22">
      <c r="A28">
        <v>58</v>
      </c>
      <c r="B28">
        <v>86815</v>
      </c>
      <c r="C28" s="1">
        <f t="shared" si="1"/>
        <v>700000</v>
      </c>
      <c r="D28" s="1">
        <f t="shared" si="0"/>
        <v>1137432.5550493491</v>
      </c>
      <c r="E28" s="11">
        <f t="shared" si="2"/>
        <v>1285815.5968535745</v>
      </c>
      <c r="F28" s="1">
        <f t="shared" si="3"/>
        <v>27002127.533925064</v>
      </c>
      <c r="G28" s="11">
        <f t="shared" si="4"/>
        <v>26302127.533925064</v>
      </c>
      <c r="I28" s="1">
        <f t="shared" si="5"/>
        <v>912</v>
      </c>
      <c r="K28" s="2">
        <f t="shared" si="7"/>
        <v>8.8709508114122565E-2</v>
      </c>
      <c r="L28">
        <f t="shared" si="8"/>
        <v>88</v>
      </c>
      <c r="M28">
        <f t="shared" si="9"/>
        <v>7</v>
      </c>
      <c r="N28" s="2">
        <f t="shared" si="6"/>
        <v>0.29127279999999994</v>
      </c>
      <c r="S28">
        <f>SMALL(WholeLife!$K$10:$K$55,19)</f>
        <v>8.8709508114122565E-2</v>
      </c>
      <c r="T28">
        <f>1/(COUNT(WholeLife!$K$10:$K$55)-1)+$T$27</f>
        <v>0.39999999999999986</v>
      </c>
      <c r="U28">
        <f>SMALL(WholeLife!$N$10:$N$55,19)</f>
        <v>0.29127279999999994</v>
      </c>
      <c r="V28">
        <f>1/(COUNT(WholeLife!$N$10:$N$55)-1)+$V$27</f>
        <v>0.39999999999999986</v>
      </c>
    </row>
    <row r="29" spans="1:22">
      <c r="A29">
        <v>59</v>
      </c>
      <c r="B29">
        <v>85670</v>
      </c>
      <c r="C29" s="1">
        <f t="shared" si="1"/>
        <v>1200000</v>
      </c>
      <c r="D29" s="1">
        <f t="shared" si="0"/>
        <v>1122466.3372197524</v>
      </c>
      <c r="E29" s="11">
        <f t="shared" si="2"/>
        <v>1371229.693557241</v>
      </c>
      <c r="F29" s="1">
        <f t="shared" si="3"/>
        <v>28795823.56470206</v>
      </c>
      <c r="G29" s="11">
        <f t="shared" si="4"/>
        <v>27595823.56470206</v>
      </c>
      <c r="I29" s="1">
        <f t="shared" si="5"/>
        <v>900</v>
      </c>
      <c r="K29" s="2">
        <f t="shared" si="7"/>
        <v>0.10072848655343984</v>
      </c>
      <c r="L29">
        <f t="shared" si="8"/>
        <v>100</v>
      </c>
      <c r="M29">
        <f t="shared" si="9"/>
        <v>12</v>
      </c>
      <c r="N29" s="2">
        <f t="shared" si="6"/>
        <v>0.30745462222222214</v>
      </c>
      <c r="S29">
        <f>SMALL(WholeLife!$K$10:$K$55,20)</f>
        <v>0.10072848655343984</v>
      </c>
      <c r="T29">
        <f>1/(COUNT(WholeLife!$K$10:$K$55)-1)+$T$28</f>
        <v>0.42222222222222205</v>
      </c>
      <c r="U29">
        <f>SMALL(WholeLife!$N$10:$N$55,20)</f>
        <v>0.30745462222222214</v>
      </c>
      <c r="V29">
        <f>1/(COUNT(WholeLife!$N$10:$N$55)-1)+$V$28</f>
        <v>0.42222222222222205</v>
      </c>
    </row>
    <row r="30" spans="1:22">
      <c r="A30">
        <v>60</v>
      </c>
      <c r="B30">
        <v>84628</v>
      </c>
      <c r="C30" s="1">
        <f t="shared" si="1"/>
        <v>1100000</v>
      </c>
      <c r="D30" s="1">
        <f t="shared" si="0"/>
        <v>1108747.3042092887</v>
      </c>
      <c r="E30" s="11">
        <f t="shared" si="2"/>
        <v>1435228.5434455676</v>
      </c>
      <c r="F30" s="1">
        <f t="shared" si="3"/>
        <v>30139799.412356917</v>
      </c>
      <c r="G30" s="11">
        <f t="shared" si="4"/>
        <v>29039799.412356917</v>
      </c>
      <c r="I30" s="1">
        <f t="shared" si="5"/>
        <v>889</v>
      </c>
      <c r="K30" s="2">
        <f t="shared" si="7"/>
        <v>0.11166628177943863</v>
      </c>
      <c r="L30">
        <f t="shared" si="8"/>
        <v>111</v>
      </c>
      <c r="M30">
        <f t="shared" si="9"/>
        <v>11</v>
      </c>
      <c r="N30" s="2">
        <f t="shared" si="6"/>
        <v>0.32363644444444434</v>
      </c>
      <c r="S30">
        <f>SMALL(WholeLife!$K$10:$K$55,21)</f>
        <v>0.11166628177943863</v>
      </c>
      <c r="T30">
        <f>1/(COUNT(WholeLife!$K$10:$K$55)-1)+$T$29</f>
        <v>0.44444444444444425</v>
      </c>
      <c r="U30">
        <f>SMALL(WholeLife!$N$10:$N$55,21)</f>
        <v>0.32363644444444434</v>
      </c>
      <c r="V30">
        <f>1/(COUNT(WholeLife!$N$10:$N$55)-1)+$V$29</f>
        <v>0.44444444444444425</v>
      </c>
    </row>
    <row r="31" spans="1:22">
      <c r="A31">
        <v>61</v>
      </c>
      <c r="B31">
        <v>83483</v>
      </c>
      <c r="C31" s="1">
        <f t="shared" si="1"/>
        <v>1200000</v>
      </c>
      <c r="D31" s="1">
        <f t="shared" si="0"/>
        <v>1093781.086379692</v>
      </c>
      <c r="E31" s="11">
        <f t="shared" si="2"/>
        <v>1506679.0249368306</v>
      </c>
      <c r="F31" s="1">
        <f t="shared" si="3"/>
        <v>31640259.523673441</v>
      </c>
      <c r="G31" s="11">
        <f t="shared" si="4"/>
        <v>30440259.523673441</v>
      </c>
      <c r="I31" s="1">
        <f t="shared" si="5"/>
        <v>877</v>
      </c>
      <c r="K31" s="2">
        <f t="shared" si="7"/>
        <v>0.12368526021875591</v>
      </c>
      <c r="L31">
        <f t="shared" si="8"/>
        <v>123</v>
      </c>
      <c r="M31">
        <f t="shared" si="9"/>
        <v>12</v>
      </c>
      <c r="N31" s="2">
        <f t="shared" si="6"/>
        <v>0.33981826666666654</v>
      </c>
      <c r="S31">
        <f>SMALL(WholeLife!$K$10:$K$55,22)</f>
        <v>0.12368526021875591</v>
      </c>
      <c r="T31">
        <f>1/(COUNT(WholeLife!$K$10:$K$55)-1)+$T$30</f>
        <v>0.46666666666666645</v>
      </c>
      <c r="U31">
        <f>SMALL(WholeLife!$N$10:$N$55,22)</f>
        <v>0.33981826666666654</v>
      </c>
      <c r="V31">
        <f>1/(COUNT(WholeLife!$N$10:$N$55)-1)+$V$30</f>
        <v>0.46666666666666645</v>
      </c>
    </row>
    <row r="32" spans="1:22">
      <c r="A32">
        <v>62</v>
      </c>
      <c r="B32">
        <v>82233</v>
      </c>
      <c r="C32" s="1">
        <f t="shared" si="1"/>
        <v>1300000</v>
      </c>
      <c r="D32" s="1">
        <f t="shared" si="0"/>
        <v>1077567.6837309622</v>
      </c>
      <c r="E32" s="11">
        <f t="shared" si="2"/>
        <v>1575891.3603702204</v>
      </c>
      <c r="F32" s="1">
        <f t="shared" si="3"/>
        <v>33093718.567774627</v>
      </c>
      <c r="G32" s="11">
        <f t="shared" si="4"/>
        <v>31793718.567774627</v>
      </c>
      <c r="I32" s="1">
        <f t="shared" si="5"/>
        <v>864</v>
      </c>
      <c r="K32" s="2">
        <f t="shared" si="7"/>
        <v>0.13680641572019397</v>
      </c>
      <c r="L32">
        <f t="shared" si="8"/>
        <v>136</v>
      </c>
      <c r="M32">
        <f t="shared" si="9"/>
        <v>13</v>
      </c>
      <c r="N32" s="2">
        <f t="shared" si="6"/>
        <v>0.35600008888888873</v>
      </c>
      <c r="S32">
        <f>SMALL(WholeLife!$K$10:$K$55,23)</f>
        <v>0.13680641572019397</v>
      </c>
      <c r="T32">
        <f>1/(COUNT(WholeLife!$K$10:$K$55)-1)+$T$31</f>
        <v>0.48888888888888865</v>
      </c>
      <c r="U32">
        <f>SMALL(WholeLife!$N$10:$N$55,23)</f>
        <v>0.35600008888888873</v>
      </c>
      <c r="V32">
        <f>1/(COUNT(WholeLife!$N$10:$N$55)-1)+$V$31</f>
        <v>0.48888888888888865</v>
      </c>
    </row>
    <row r="33" spans="1:22">
      <c r="A33">
        <v>63</v>
      </c>
      <c r="B33">
        <v>80881</v>
      </c>
      <c r="C33" s="1">
        <f t="shared" si="1"/>
        <v>1400000</v>
      </c>
      <c r="D33" s="1">
        <f t="shared" si="0"/>
        <v>1060107.0962630995</v>
      </c>
      <c r="E33" s="11">
        <f t="shared" si="2"/>
        <v>1642691.2832018863</v>
      </c>
      <c r="F33" s="1">
        <f t="shared" si="3"/>
        <v>34496516.947239615</v>
      </c>
      <c r="G33" s="11">
        <f t="shared" si="4"/>
        <v>33096516.947239615</v>
      </c>
      <c r="I33" s="1">
        <f t="shared" si="5"/>
        <v>850</v>
      </c>
      <c r="K33" s="2">
        <f t="shared" si="7"/>
        <v>0.15099825751054941</v>
      </c>
      <c r="L33">
        <f t="shared" si="8"/>
        <v>150</v>
      </c>
      <c r="M33">
        <f t="shared" si="9"/>
        <v>14</v>
      </c>
      <c r="N33" s="2">
        <f t="shared" si="6"/>
        <v>0.37218191111111093</v>
      </c>
      <c r="S33">
        <f>SMALL(WholeLife!$K$10:$K$55,24)</f>
        <v>0.15099825751054941</v>
      </c>
      <c r="T33">
        <f>1/(COUNT(WholeLife!$K$10:$K$55)-1)+$T$32</f>
        <v>0.51111111111111085</v>
      </c>
      <c r="U33">
        <f>SMALL(WholeLife!$N$10:$N$55,24)</f>
        <v>0.37218191111111093</v>
      </c>
      <c r="V33">
        <f>1/(COUNT(WholeLife!$N$10:$N$55)-1)+$V$32</f>
        <v>0.51111111111111085</v>
      </c>
    </row>
    <row r="34" spans="1:22">
      <c r="A34">
        <v>64</v>
      </c>
      <c r="B34">
        <v>79431</v>
      </c>
      <c r="C34" s="1">
        <f t="shared" si="1"/>
        <v>1600000</v>
      </c>
      <c r="D34" s="1">
        <f t="shared" si="0"/>
        <v>1040152.1391569705</v>
      </c>
      <c r="E34" s="11">
        <f t="shared" si="2"/>
        <v>1706833.4543198291</v>
      </c>
      <c r="F34" s="1">
        <f t="shared" si="3"/>
        <v>35843502.54071641</v>
      </c>
      <c r="G34" s="11">
        <f t="shared" si="4"/>
        <v>34243502.54071641</v>
      </c>
      <c r="I34" s="1">
        <f t="shared" si="5"/>
        <v>834</v>
      </c>
      <c r="K34" s="2">
        <f t="shared" si="7"/>
        <v>0.16621879789221758</v>
      </c>
      <c r="L34">
        <f t="shared" si="8"/>
        <v>166</v>
      </c>
      <c r="M34">
        <f t="shared" si="9"/>
        <v>16</v>
      </c>
      <c r="N34" s="2">
        <f t="shared" si="6"/>
        <v>0.38836373333333313</v>
      </c>
      <c r="S34">
        <f>SMALL(WholeLife!$K$10:$K$55,25)</f>
        <v>0.16621879789221758</v>
      </c>
      <c r="T34">
        <f>1/(COUNT(WholeLife!$K$10:$K$55)-1)+$T$33</f>
        <v>0.5333333333333331</v>
      </c>
      <c r="U34">
        <f>SMALL(WholeLife!$N$10:$N$55,25)</f>
        <v>0.38836373333333313</v>
      </c>
      <c r="V34">
        <f>1/(COUNT(WholeLife!$N$10:$N$55)-1)+$V$33</f>
        <v>0.5333333333333331</v>
      </c>
    </row>
    <row r="35" spans="1:22">
      <c r="A35">
        <v>65</v>
      </c>
      <c r="B35">
        <v>77887</v>
      </c>
      <c r="C35" s="1">
        <f t="shared" si="1"/>
        <v>1600000</v>
      </c>
      <c r="D35" s="1">
        <f t="shared" si="0"/>
        <v>1020197.1820508416</v>
      </c>
      <c r="E35" s="11">
        <f t="shared" si="2"/>
        <v>1763184.9861383624</v>
      </c>
      <c r="F35" s="1">
        <f t="shared" si="3"/>
        <v>37026884.708905615</v>
      </c>
      <c r="G35" s="11">
        <f t="shared" si="4"/>
        <v>35426884.708905615</v>
      </c>
      <c r="I35" s="1">
        <f t="shared" si="5"/>
        <v>818</v>
      </c>
      <c r="K35" s="2">
        <f t="shared" si="7"/>
        <v>0.18242604916759389</v>
      </c>
      <c r="L35">
        <f t="shared" si="8"/>
        <v>182</v>
      </c>
      <c r="M35">
        <f t="shared" si="9"/>
        <v>16</v>
      </c>
      <c r="N35" s="2">
        <f t="shared" si="6"/>
        <v>0.40454555555555533</v>
      </c>
      <c r="S35">
        <f>SMALL(WholeLife!$K$10:$K$55,26)</f>
        <v>0.18242604916759389</v>
      </c>
      <c r="T35">
        <f>1/(COUNT(WholeLife!$K$10:$K$55)-1)+$T$34</f>
        <v>0.55555555555555536</v>
      </c>
      <c r="U35">
        <f>SMALL(WholeLife!$N$10:$N$55,26)</f>
        <v>0.40454555555555533</v>
      </c>
      <c r="V35">
        <f>1/(COUNT(WholeLife!$N$10:$N$55)-1)+$V$34</f>
        <v>0.55555555555555536</v>
      </c>
    </row>
    <row r="36" spans="1:22">
      <c r="A36">
        <v>66</v>
      </c>
      <c r="B36">
        <v>76250</v>
      </c>
      <c r="C36" s="1">
        <f t="shared" si="1"/>
        <v>1700000</v>
      </c>
      <c r="D36" s="1">
        <f t="shared" si="0"/>
        <v>998995.04012557969</v>
      </c>
      <c r="E36" s="11">
        <f t="shared" si="2"/>
        <v>1821293.9874515599</v>
      </c>
      <c r="F36" s="1">
        <f t="shared" si="3"/>
        <v>38247173.736482754</v>
      </c>
      <c r="G36" s="11">
        <f t="shared" si="4"/>
        <v>36547173.736482754</v>
      </c>
      <c r="I36" s="1">
        <f t="shared" si="5"/>
        <v>801</v>
      </c>
      <c r="K36" s="2">
        <f t="shared" si="7"/>
        <v>0.1996095144122772</v>
      </c>
      <c r="L36">
        <f t="shared" si="8"/>
        <v>199</v>
      </c>
      <c r="M36">
        <f t="shared" si="9"/>
        <v>17</v>
      </c>
      <c r="N36" s="2">
        <f t="shared" si="6"/>
        <v>0.42072737777777752</v>
      </c>
      <c r="S36">
        <f>SMALL(WholeLife!$K$10:$K$55,27)</f>
        <v>0.1996095144122772</v>
      </c>
      <c r="T36">
        <f>1/(COUNT(WholeLife!$K$10:$K$55)-1)+$T$35</f>
        <v>0.57777777777777761</v>
      </c>
      <c r="U36">
        <f>SMALL(WholeLife!$N$10:$N$55,27)</f>
        <v>0.42072737777777752</v>
      </c>
      <c r="V36">
        <f>1/(COUNT(WholeLife!$N$10:$N$55)-1)+$V$35</f>
        <v>0.57777777777777761</v>
      </c>
    </row>
    <row r="37" spans="1:22">
      <c r="A37">
        <v>67</v>
      </c>
      <c r="B37">
        <v>74515</v>
      </c>
      <c r="C37" s="1">
        <f t="shared" si="1"/>
        <v>1800000</v>
      </c>
      <c r="D37" s="1">
        <f t="shared" si="0"/>
        <v>976545.71338118461</v>
      </c>
      <c r="E37" s="11">
        <f t="shared" si="2"/>
        <v>1876185.9724931971</v>
      </c>
      <c r="F37" s="1">
        <f t="shared" si="3"/>
        <v>39399905.422357142</v>
      </c>
      <c r="G37" s="11">
        <f t="shared" si="4"/>
        <v>37599905.422357142</v>
      </c>
      <c r="I37" s="1">
        <f t="shared" si="5"/>
        <v>783</v>
      </c>
      <c r="K37" s="2">
        <f t="shared" si="7"/>
        <v>0.21782167824827325</v>
      </c>
      <c r="L37">
        <f t="shared" si="8"/>
        <v>217</v>
      </c>
      <c r="M37">
        <f t="shared" si="9"/>
        <v>18</v>
      </c>
      <c r="N37" s="2">
        <f t="shared" si="6"/>
        <v>0.43690919999999972</v>
      </c>
      <c r="S37">
        <f>SMALL(WholeLife!$K$10:$K$55,28)</f>
        <v>0.21782167824827325</v>
      </c>
      <c r="T37">
        <f>1/(COUNT(WholeLife!$K$10:$K$55)-1)+$T$36</f>
        <v>0.59999999999999987</v>
      </c>
      <c r="U37">
        <f>SMALL(WholeLife!$N$10:$N$55,28)</f>
        <v>0.43690919999999972</v>
      </c>
      <c r="V37">
        <f>1/(COUNT(WholeLife!$N$10:$N$55)-1)+$V$36</f>
        <v>0.59999999999999987</v>
      </c>
    </row>
    <row r="38" spans="1:22">
      <c r="A38">
        <v>68</v>
      </c>
      <c r="B38">
        <v>72672</v>
      </c>
      <c r="C38" s="1">
        <f t="shared" si="1"/>
        <v>2000000</v>
      </c>
      <c r="D38" s="1">
        <f t="shared" si="0"/>
        <v>951602.01699852338</v>
      </c>
      <c r="E38" s="11">
        <f t="shared" si="2"/>
        <v>1927575.3719677832</v>
      </c>
      <c r="F38" s="1">
        <f t="shared" si="3"/>
        <v>40479082.811323449</v>
      </c>
      <c r="G38" s="11">
        <f t="shared" si="4"/>
        <v>38479082.811323449</v>
      </c>
      <c r="I38" s="1">
        <f t="shared" si="5"/>
        <v>763</v>
      </c>
      <c r="K38" s="2">
        <f t="shared" si="7"/>
        <v>0.23716750991959357</v>
      </c>
      <c r="L38">
        <f t="shared" si="8"/>
        <v>237</v>
      </c>
      <c r="M38">
        <f t="shared" si="9"/>
        <v>20</v>
      </c>
      <c r="N38" s="2">
        <f t="shared" si="6"/>
        <v>0.45309102222222192</v>
      </c>
      <c r="S38">
        <f>SMALL(WholeLife!$K$10:$K$55,29)</f>
        <v>0.23716750991959357</v>
      </c>
      <c r="T38">
        <f>1/(COUNT(WholeLife!$K$10:$K$55)-1)+$T$37</f>
        <v>0.62222222222222212</v>
      </c>
      <c r="U38">
        <f>SMALL(WholeLife!$N$10:$N$55,29)</f>
        <v>0.45309102222222192</v>
      </c>
      <c r="V38">
        <f>1/(COUNT(WholeLife!$N$10:$N$55)-1)+$V$37</f>
        <v>0.62222222222222212</v>
      </c>
    </row>
    <row r="39" spans="1:22">
      <c r="A39">
        <v>69</v>
      </c>
      <c r="B39">
        <v>70709</v>
      </c>
      <c r="C39" s="1">
        <f t="shared" si="1"/>
        <v>2000000</v>
      </c>
      <c r="D39" s="1">
        <f t="shared" si="0"/>
        <v>926658.32061586226</v>
      </c>
      <c r="E39" s="11">
        <f t="shared" si="2"/>
        <v>1970287.0565969658</v>
      </c>
      <c r="F39" s="1">
        <f t="shared" si="3"/>
        <v>41376028.188536279</v>
      </c>
      <c r="G39" s="11">
        <f t="shared" si="4"/>
        <v>39376028.188536279</v>
      </c>
      <c r="I39" s="1">
        <f t="shared" si="5"/>
        <v>743</v>
      </c>
      <c r="K39" s="2">
        <f t="shared" si="7"/>
        <v>0.2577729725190519</v>
      </c>
      <c r="L39">
        <f t="shared" si="8"/>
        <v>257</v>
      </c>
      <c r="M39">
        <f t="shared" si="9"/>
        <v>20</v>
      </c>
      <c r="N39" s="2">
        <f t="shared" si="6"/>
        <v>0.46927284444444411</v>
      </c>
      <c r="S39">
        <f>SMALL(WholeLife!$K$10:$K$55,30)</f>
        <v>0.2577729725190519</v>
      </c>
      <c r="T39">
        <f>1/(COUNT(WholeLife!$K$10:$K$55)-1)+$T$38</f>
        <v>0.64444444444444438</v>
      </c>
      <c r="U39">
        <f>SMALL(WholeLife!$N$10:$N$55,30)</f>
        <v>0.46927284444444411</v>
      </c>
      <c r="V39">
        <f>1/(COUNT(WholeLife!$N$10:$N$55)-1)+$V$38</f>
        <v>0.64444444444444438</v>
      </c>
    </row>
    <row r="40" spans="1:22">
      <c r="A40">
        <v>70</v>
      </c>
      <c r="B40">
        <v>68617</v>
      </c>
      <c r="C40" s="1">
        <f t="shared" si="1"/>
        <v>2200000</v>
      </c>
      <c r="D40" s="1">
        <f t="shared" si="0"/>
        <v>899220.25459493499</v>
      </c>
      <c r="E40" s="11">
        <f t="shared" si="2"/>
        <v>2013762.4221565609</v>
      </c>
      <c r="F40" s="1">
        <f t="shared" si="3"/>
        <v>42289010.865287781</v>
      </c>
      <c r="G40" s="11">
        <f t="shared" si="4"/>
        <v>40089010.865287781</v>
      </c>
      <c r="I40" s="1">
        <f t="shared" si="5"/>
        <v>721</v>
      </c>
      <c r="K40" s="2">
        <f t="shared" si="7"/>
        <v>0.27973253836625867</v>
      </c>
      <c r="L40">
        <f t="shared" si="8"/>
        <v>279</v>
      </c>
      <c r="M40">
        <f t="shared" si="9"/>
        <v>22</v>
      </c>
      <c r="N40" s="2">
        <f t="shared" si="6"/>
        <v>0.48545466666666631</v>
      </c>
      <c r="S40">
        <f>SMALL(WholeLife!$K$10:$K$55,31)</f>
        <v>0.27973253836625867</v>
      </c>
      <c r="T40">
        <f>1/(COUNT(WholeLife!$K$10:$K$55)-1)+$T$39</f>
        <v>0.66666666666666663</v>
      </c>
      <c r="U40">
        <f>SMALL(WholeLife!$N$10:$N$55,31)</f>
        <v>0.48545466666666631</v>
      </c>
      <c r="V40">
        <f>1/(COUNT(WholeLife!$N$10:$N$55)-1)+$V$39</f>
        <v>0.66666666666666663</v>
      </c>
    </row>
    <row r="41" spans="1:22">
      <c r="A41">
        <v>71</v>
      </c>
      <c r="B41">
        <v>66394</v>
      </c>
      <c r="C41" s="1">
        <f t="shared" si="1"/>
        <v>2400000</v>
      </c>
      <c r="D41" s="1">
        <f t="shared" si="0"/>
        <v>869287.81893574155</v>
      </c>
      <c r="E41" s="11">
        <f t="shared" si="2"/>
        <v>2047914.9342111764</v>
      </c>
      <c r="F41" s="1">
        <f t="shared" si="3"/>
        <v>43006213.618434705</v>
      </c>
      <c r="G41" s="11">
        <f t="shared" si="4"/>
        <v>40606213.618434705</v>
      </c>
      <c r="I41" s="1">
        <f t="shared" si="5"/>
        <v>697</v>
      </c>
      <c r="K41" s="2">
        <f t="shared" si="7"/>
        <v>0.30306720131001619</v>
      </c>
      <c r="L41">
        <f t="shared" si="8"/>
        <v>303</v>
      </c>
      <c r="M41">
        <f t="shared" si="9"/>
        <v>24</v>
      </c>
      <c r="N41" s="2">
        <f t="shared" si="6"/>
        <v>0.50163648888888857</v>
      </c>
      <c r="S41">
        <f>SMALL(WholeLife!$K$10:$K$55,32)</f>
        <v>0.30306720131001619</v>
      </c>
      <c r="T41">
        <f>1/(COUNT(WholeLife!$K$10:$K$55)-1)+$T$40</f>
        <v>0.68888888888888888</v>
      </c>
      <c r="U41">
        <f>SMALL(WholeLife!$N$10:$N$55,32)</f>
        <v>0.50163648888888857</v>
      </c>
      <c r="V41">
        <f>1/(COUNT(WholeLife!$N$10:$N$55)-1)+$V$40</f>
        <v>0.68888888888888888</v>
      </c>
    </row>
    <row r="42" spans="1:22">
      <c r="A42">
        <v>72</v>
      </c>
      <c r="B42">
        <v>64046</v>
      </c>
      <c r="C42" s="1">
        <f t="shared" si="1"/>
        <v>2400000</v>
      </c>
      <c r="D42" s="1">
        <f t="shared" si="0"/>
        <v>839355.38327654824</v>
      </c>
      <c r="E42" s="11">
        <f t="shared" si="2"/>
        <v>2072278.4500855627</v>
      </c>
      <c r="F42" s="1">
        <f t="shared" si="3"/>
        <v>43517847.451796815</v>
      </c>
      <c r="G42" s="11">
        <f t="shared" si="4"/>
        <v>41117847.451796815</v>
      </c>
      <c r="I42" s="1">
        <f t="shared" si="5"/>
        <v>673</v>
      </c>
      <c r="K42" s="2">
        <f t="shared" si="7"/>
        <v>0.32771397980391748</v>
      </c>
      <c r="L42">
        <f t="shared" si="8"/>
        <v>327</v>
      </c>
      <c r="M42">
        <f t="shared" si="9"/>
        <v>24</v>
      </c>
      <c r="N42" s="2">
        <f t="shared" si="6"/>
        <v>0.51781831111111076</v>
      </c>
      <c r="S42">
        <f>SMALL(WholeLife!$K$10:$K$55,33)</f>
        <v>0.32771397980391748</v>
      </c>
      <c r="T42">
        <f>1/(COUNT(WholeLife!$K$10:$K$55)-1)+$T$41</f>
        <v>0.71111111111111114</v>
      </c>
      <c r="U42">
        <f>SMALL(WholeLife!$N$10:$N$55,33)</f>
        <v>0.51781831111111076</v>
      </c>
      <c r="V42">
        <f>1/(COUNT(WholeLife!$N$10:$N$55)-1)+$V$41</f>
        <v>0.71111111111111114</v>
      </c>
    </row>
    <row r="43" spans="1:22">
      <c r="A43">
        <v>73</v>
      </c>
      <c r="B43">
        <v>61582</v>
      </c>
      <c r="C43" s="1">
        <f t="shared" si="1"/>
        <v>2600000</v>
      </c>
      <c r="D43" s="1">
        <f t="shared" si="0"/>
        <v>806928.57797908864</v>
      </c>
      <c r="E43" s="11">
        <f t="shared" si="2"/>
        <v>2096238.8014887953</v>
      </c>
      <c r="F43" s="1">
        <f t="shared" si="3"/>
        <v>44021014.831264697</v>
      </c>
      <c r="G43" s="11">
        <f t="shared" si="4"/>
        <v>41421014.831264697</v>
      </c>
      <c r="I43" s="1">
        <f t="shared" si="5"/>
        <v>647</v>
      </c>
      <c r="K43" s="2">
        <f t="shared" si="7"/>
        <v>0.35357840152835218</v>
      </c>
      <c r="L43">
        <f t="shared" si="8"/>
        <v>353</v>
      </c>
      <c r="M43">
        <f t="shared" si="9"/>
        <v>26</v>
      </c>
      <c r="N43" s="2">
        <f t="shared" si="6"/>
        <v>0.53400013333333296</v>
      </c>
      <c r="S43">
        <f>SMALL(WholeLife!$K$10:$K$55,34)</f>
        <v>0.35357840152835218</v>
      </c>
      <c r="T43">
        <f>1/(COUNT(WholeLife!$K$10:$K$55)-1)+$T$42</f>
        <v>0.73333333333333339</v>
      </c>
      <c r="U43">
        <f>SMALL(WholeLife!$N$10:$N$55,34)</f>
        <v>0.53400013333333296</v>
      </c>
      <c r="V43">
        <f>1/(COUNT(WholeLife!$N$10:$N$55)-1)+$V$42</f>
        <v>0.73333333333333339</v>
      </c>
    </row>
    <row r="44" spans="1:22">
      <c r="A44">
        <v>74</v>
      </c>
      <c r="B44">
        <v>59016</v>
      </c>
      <c r="C44" s="1">
        <f t="shared" si="1"/>
        <v>2700000</v>
      </c>
      <c r="D44" s="1">
        <f t="shared" si="0"/>
        <v>773254.58786249615</v>
      </c>
      <c r="E44" s="11">
        <f t="shared" si="2"/>
        <v>2109713.47095636</v>
      </c>
      <c r="F44" s="1">
        <f t="shared" si="3"/>
        <v>44303982.890083559</v>
      </c>
      <c r="G44" s="11">
        <f t="shared" si="4"/>
        <v>41603982.890083559</v>
      </c>
      <c r="I44" s="1">
        <f t="shared" si="5"/>
        <v>620</v>
      </c>
      <c r="K44" s="2">
        <f t="shared" si="7"/>
        <v>0.38051350954170426</v>
      </c>
      <c r="L44">
        <f t="shared" si="8"/>
        <v>380</v>
      </c>
      <c r="M44">
        <f t="shared" si="9"/>
        <v>27</v>
      </c>
      <c r="N44" s="2">
        <f t="shared" si="6"/>
        <v>0.55018195555555516</v>
      </c>
      <c r="S44">
        <f>SMALL(WholeLife!$K$10:$K$55,35)</f>
        <v>0.38051350954170426</v>
      </c>
      <c r="T44">
        <f>1/(COUNT(WholeLife!$K$10:$K$55)-1)+$T$43</f>
        <v>0.75555555555555565</v>
      </c>
      <c r="U44">
        <f>SMALL(WholeLife!$N$10:$N$55,35)</f>
        <v>0.55018195555555516</v>
      </c>
      <c r="V44">
        <f>1/(COUNT(WholeLife!$N$10:$N$55)-1)+$V$43</f>
        <v>0.75555555555555565</v>
      </c>
    </row>
    <row r="45" spans="1:22">
      <c r="A45">
        <v>75</v>
      </c>
      <c r="B45">
        <v>56360</v>
      </c>
      <c r="C45" s="1">
        <f t="shared" si="1"/>
        <v>2800000</v>
      </c>
      <c r="D45" s="1">
        <f t="shared" si="0"/>
        <v>738333.41292677051</v>
      </c>
      <c r="E45" s="11">
        <f t="shared" si="2"/>
        <v>2117115.8151505166</v>
      </c>
      <c r="F45" s="1">
        <f t="shared" si="3"/>
        <v>44459432.118160851</v>
      </c>
      <c r="G45" s="11">
        <f t="shared" si="4"/>
        <v>41659432.118160851</v>
      </c>
      <c r="I45" s="1">
        <f t="shared" si="5"/>
        <v>592</v>
      </c>
      <c r="K45" s="2">
        <f t="shared" si="7"/>
        <v>0.40839334075115991</v>
      </c>
      <c r="L45">
        <f t="shared" si="8"/>
        <v>408</v>
      </c>
      <c r="M45">
        <f t="shared" si="9"/>
        <v>28</v>
      </c>
      <c r="N45" s="2">
        <f t="shared" si="6"/>
        <v>0.56636377777777736</v>
      </c>
      <c r="S45">
        <f>SMALL(WholeLife!$K$10:$K$55,36)</f>
        <v>0.40839334075115991</v>
      </c>
      <c r="T45">
        <f>1/(COUNT(WholeLife!$K$10:$K$55)-1)+$T$44</f>
        <v>0.7777777777777779</v>
      </c>
      <c r="U45">
        <f>SMALL(WholeLife!$N$10:$N$55,36)</f>
        <v>0.56636377777777736</v>
      </c>
      <c r="V45">
        <f>1/(COUNT(WholeLife!$N$10:$N$55)-1)+$V$44</f>
        <v>0.7777777777777779</v>
      </c>
    </row>
    <row r="46" spans="1:22">
      <c r="A46">
        <v>76</v>
      </c>
      <c r="B46">
        <v>53621</v>
      </c>
      <c r="C46" s="1">
        <f t="shared" si="1"/>
        <v>2900000</v>
      </c>
      <c r="D46" s="1">
        <f t="shared" si="0"/>
        <v>702165.05317191174</v>
      </c>
      <c r="E46" s="11">
        <f t="shared" si="2"/>
        <v>2118079.8585666381</v>
      </c>
      <c r="F46" s="1">
        <f t="shared" si="3"/>
        <v>44479677.029899403</v>
      </c>
      <c r="G46" s="11">
        <f t="shared" si="4"/>
        <v>41579677.029899403</v>
      </c>
      <c r="I46" s="1">
        <f t="shared" si="5"/>
        <v>563</v>
      </c>
      <c r="K46" s="2">
        <f t="shared" si="7"/>
        <v>0.43714441668591103</v>
      </c>
      <c r="L46">
        <f t="shared" si="8"/>
        <v>437</v>
      </c>
      <c r="M46">
        <f t="shared" si="9"/>
        <v>29</v>
      </c>
      <c r="N46" s="2">
        <f t="shared" si="6"/>
        <v>0.58254559999999955</v>
      </c>
      <c r="S46">
        <f>SMALL(WholeLife!$K$10:$K$55,37)</f>
        <v>0.43714441668591103</v>
      </c>
      <c r="T46">
        <f>1/(COUNT(WholeLife!$K$10:$K$55)-1)+$T$45</f>
        <v>0.80000000000000016</v>
      </c>
      <c r="U46">
        <f>SMALL(WholeLife!$N$10:$N$55,37)</f>
        <v>0.58254559999999955</v>
      </c>
      <c r="V46">
        <f>1/(COUNT(WholeLife!$N$10:$N$55)-1)+$V$45</f>
        <v>0.80000000000000016</v>
      </c>
    </row>
    <row r="47" spans="1:22">
      <c r="A47">
        <v>77</v>
      </c>
      <c r="B47">
        <v>50803</v>
      </c>
      <c r="C47" s="1">
        <f t="shared" si="1"/>
        <v>2900000</v>
      </c>
      <c r="D47" s="1">
        <f t="shared" si="0"/>
        <v>665996.69341705309</v>
      </c>
      <c r="E47" s="11">
        <f t="shared" si="2"/>
        <v>2112283.6861658227</v>
      </c>
      <c r="F47" s="1">
        <f t="shared" si="3"/>
        <v>44357957.409482278</v>
      </c>
      <c r="G47" s="11">
        <f t="shared" si="4"/>
        <v>41457957.409482278</v>
      </c>
      <c r="I47" s="1">
        <f t="shared" si="5"/>
        <v>534</v>
      </c>
      <c r="K47" s="2">
        <f t="shared" si="7"/>
        <v>0.46672474964835303</v>
      </c>
      <c r="L47">
        <f t="shared" si="8"/>
        <v>466</v>
      </c>
      <c r="M47">
        <f t="shared" si="9"/>
        <v>29</v>
      </c>
      <c r="N47" s="2">
        <f t="shared" si="6"/>
        <v>0.59872742222222175</v>
      </c>
      <c r="S47">
        <f>SMALL(WholeLife!$K$10:$K$55,38)</f>
        <v>0.46672474964835303</v>
      </c>
      <c r="T47">
        <f>1/(COUNT(WholeLife!$K$10:$K$55)-1)+$T$46</f>
        <v>0.82222222222222241</v>
      </c>
      <c r="U47">
        <f>SMALL(WholeLife!$N$10:$N$55,38)</f>
        <v>0.59872742222222175</v>
      </c>
      <c r="V47">
        <f>1/(COUNT(WholeLife!$N$10:$N$55)-1)+$V$46</f>
        <v>0.82222222222222241</v>
      </c>
    </row>
    <row r="48" spans="1:22">
      <c r="A48">
        <v>78</v>
      </c>
      <c r="B48">
        <v>47907</v>
      </c>
      <c r="C48" s="1">
        <f t="shared" si="1"/>
        <v>3100000</v>
      </c>
      <c r="D48" s="1">
        <f t="shared" si="0"/>
        <v>627333.96402392827</v>
      </c>
      <c r="E48" s="11">
        <f t="shared" si="2"/>
        <v>2104264.5686753104</v>
      </c>
      <c r="F48" s="1">
        <f t="shared" si="3"/>
        <v>44189555.942181513</v>
      </c>
      <c r="G48" s="11">
        <f t="shared" si="4"/>
        <v>41089555.942181513</v>
      </c>
      <c r="I48" s="1">
        <f t="shared" si="5"/>
        <v>503</v>
      </c>
      <c r="K48" s="2">
        <f t="shared" si="7"/>
        <v>0.49712384271408477</v>
      </c>
      <c r="L48">
        <f t="shared" si="8"/>
        <v>497</v>
      </c>
      <c r="M48">
        <f t="shared" si="9"/>
        <v>31</v>
      </c>
      <c r="N48" s="2">
        <f t="shared" si="6"/>
        <v>0.61490924444444395</v>
      </c>
      <c r="S48">
        <f>SMALL(WholeLife!$K$10:$K$55,39)</f>
        <v>0.49712384271408477</v>
      </c>
      <c r="T48">
        <f>1/(COUNT(WholeLife!$K$10:$K$55)-1)+$T$47</f>
        <v>0.84444444444444466</v>
      </c>
      <c r="U48">
        <f>SMALL(WholeLife!$N$10:$N$55,39)</f>
        <v>0.61490924444444395</v>
      </c>
      <c r="V48">
        <f>1/(COUNT(WholeLife!$N$10:$N$55)-1)+$V$47</f>
        <v>0.84444444444444466</v>
      </c>
    </row>
    <row r="49" spans="1:22">
      <c r="A49">
        <v>79</v>
      </c>
      <c r="B49">
        <v>44934</v>
      </c>
      <c r="C49" s="1">
        <f t="shared" si="1"/>
        <v>3100000</v>
      </c>
      <c r="D49" s="1">
        <f t="shared" si="0"/>
        <v>588671.23463080346</v>
      </c>
      <c r="E49" s="11">
        <f t="shared" si="2"/>
        <v>2083911.3588406157</v>
      </c>
      <c r="F49" s="1">
        <f t="shared" si="3"/>
        <v>43762138.535652928</v>
      </c>
      <c r="G49" s="11">
        <f t="shared" si="4"/>
        <v>40662138.535652928</v>
      </c>
      <c r="I49" s="1">
        <f t="shared" si="5"/>
        <v>472</v>
      </c>
      <c r="K49" s="2">
        <f t="shared" si="7"/>
        <v>0.52833119895870506</v>
      </c>
      <c r="L49">
        <f t="shared" si="8"/>
        <v>528</v>
      </c>
      <c r="M49">
        <f t="shared" si="9"/>
        <v>31</v>
      </c>
      <c r="N49" s="2">
        <f t="shared" si="6"/>
        <v>0.63109106666666615</v>
      </c>
      <c r="S49">
        <f>SMALL(WholeLife!$K$10:$K$55,40)</f>
        <v>0.52833119895870506</v>
      </c>
      <c r="T49">
        <f>1/(COUNT(WholeLife!$K$10:$K$55)-1)+$T$48</f>
        <v>0.86666666666666692</v>
      </c>
      <c r="U49">
        <f>SMALL(WholeLife!$N$10:$N$55,40)</f>
        <v>0.63109106666666615</v>
      </c>
      <c r="V49">
        <f>1/(COUNT(WholeLife!$N$10:$N$55)-1)+$V$48</f>
        <v>0.86666666666666692</v>
      </c>
    </row>
    <row r="50" spans="1:22">
      <c r="A50">
        <v>80</v>
      </c>
      <c r="B50">
        <v>41888</v>
      </c>
      <c r="C50" s="1">
        <f t="shared" si="1"/>
        <v>3200000</v>
      </c>
      <c r="D50" s="1">
        <f t="shared" si="0"/>
        <v>548761.32041854563</v>
      </c>
      <c r="E50" s="11">
        <f t="shared" si="2"/>
        <v>2060544.9928035736</v>
      </c>
      <c r="F50" s="1">
        <f t="shared" si="3"/>
        <v>43271444.848875046</v>
      </c>
      <c r="G50" s="11">
        <f t="shared" si="4"/>
        <v>40071444.848875046</v>
      </c>
      <c r="I50" s="1">
        <f t="shared" si="5"/>
        <v>440</v>
      </c>
      <c r="K50" s="2">
        <f t="shared" si="7"/>
        <v>0.56030483068460946</v>
      </c>
      <c r="L50">
        <f t="shared" si="8"/>
        <v>560</v>
      </c>
      <c r="M50">
        <f t="shared" si="9"/>
        <v>32</v>
      </c>
      <c r="N50" s="2">
        <f t="shared" si="6"/>
        <v>0.64727288888888834</v>
      </c>
      <c r="S50">
        <f>SMALL(WholeLife!$K$10:$K$55,41)</f>
        <v>0.56030483068460946</v>
      </c>
      <c r="T50">
        <f>1/(COUNT(WholeLife!$K$10:$K$55)-1)+$T$49</f>
        <v>0.88888888888888917</v>
      </c>
      <c r="U50">
        <f>SMALL(WholeLife!$N$10:$N$55,41)</f>
        <v>0.64727288888888834</v>
      </c>
      <c r="V50">
        <f>1/(COUNT(WholeLife!$N$10:$N$55)-1)+$V$49</f>
        <v>0.88888888888888917</v>
      </c>
    </row>
    <row r="51" spans="1:22">
      <c r="A51">
        <v>81</v>
      </c>
      <c r="B51">
        <v>38775</v>
      </c>
      <c r="C51" s="1">
        <f t="shared" si="1"/>
        <v>3200000</v>
      </c>
      <c r="D51" s="1">
        <f t="shared" si="0"/>
        <v>508851.40620628773</v>
      </c>
      <c r="E51" s="11">
        <f t="shared" si="2"/>
        <v>2029014.8127540667</v>
      </c>
      <c r="F51" s="1">
        <f t="shared" si="3"/>
        <v>42609311.067835398</v>
      </c>
      <c r="G51" s="11">
        <f t="shared" si="4"/>
        <v>39409311.067835398</v>
      </c>
      <c r="I51" s="1">
        <f t="shared" si="5"/>
        <v>408</v>
      </c>
      <c r="K51" s="2">
        <f t="shared" si="7"/>
        <v>0.59298175634539085</v>
      </c>
      <c r="L51">
        <f t="shared" si="8"/>
        <v>592</v>
      </c>
      <c r="M51">
        <f t="shared" si="9"/>
        <v>32</v>
      </c>
      <c r="N51" s="2">
        <f t="shared" si="6"/>
        <v>0.66345471111111054</v>
      </c>
      <c r="S51">
        <f>SMALL(WholeLife!$K$10:$K$55,42)</f>
        <v>0.59298175634539085</v>
      </c>
      <c r="T51">
        <f>1/(COUNT(WholeLife!$K$10:$K$55)-1)+$T$50</f>
        <v>0.91111111111111143</v>
      </c>
      <c r="U51">
        <f>SMALL(WholeLife!$N$10:$N$55,42)</f>
        <v>0.66345471111111054</v>
      </c>
      <c r="V51">
        <f>1/(COUNT(WholeLife!$N$10:$N$55)-1)+$V$50</f>
        <v>0.91111111111111143</v>
      </c>
    </row>
    <row r="52" spans="1:22">
      <c r="A52">
        <v>82</v>
      </c>
      <c r="B52">
        <v>35605</v>
      </c>
      <c r="C52" s="1">
        <f t="shared" si="1"/>
        <v>3400000</v>
      </c>
      <c r="D52" s="1">
        <f t="shared" si="0"/>
        <v>466447.1223557638</v>
      </c>
      <c r="E52" s="11">
        <f t="shared" si="2"/>
        <v>1993787.9095095582</v>
      </c>
      <c r="F52" s="1">
        <f t="shared" si="3"/>
        <v>41869546.099700727</v>
      </c>
      <c r="G52" s="11">
        <f t="shared" si="4"/>
        <v>38469546.099700727</v>
      </c>
      <c r="I52" s="1">
        <f t="shared" si="5"/>
        <v>374</v>
      </c>
      <c r="K52" s="2">
        <f t="shared" si="7"/>
        <v>0.62625700669703777</v>
      </c>
      <c r="L52">
        <f t="shared" si="8"/>
        <v>626</v>
      </c>
      <c r="M52">
        <f t="shared" si="9"/>
        <v>34</v>
      </c>
      <c r="N52" s="2">
        <f t="shared" si="6"/>
        <v>0.67963653333333274</v>
      </c>
      <c r="S52">
        <f>SMALL(WholeLife!$K$10:$K$55,43)</f>
        <v>0.62625700669703777</v>
      </c>
      <c r="T52">
        <f>1/(COUNT(WholeLife!$K$10:$K$55)-1)+$T$51</f>
        <v>0.93333333333333368</v>
      </c>
      <c r="U52">
        <f>SMALL(WholeLife!$N$10:$N$55,43)</f>
        <v>0.67963653333333274</v>
      </c>
      <c r="V52">
        <f>1/(COUNT(WholeLife!$N$10:$N$55)-1)+$V$51</f>
        <v>0.93333333333333368</v>
      </c>
    </row>
    <row r="53" spans="1:22">
      <c r="A53">
        <v>83</v>
      </c>
      <c r="B53">
        <v>32391</v>
      </c>
      <c r="C53" s="1">
        <f t="shared" si="1"/>
        <v>3300000</v>
      </c>
      <c r="D53" s="1">
        <f t="shared" si="0"/>
        <v>425290.02332437283</v>
      </c>
      <c r="E53" s="11">
        <f t="shared" si="2"/>
        <v>1944741.806151255</v>
      </c>
      <c r="F53" s="1">
        <f t="shared" si="3"/>
        <v>40839577.929176353</v>
      </c>
      <c r="G53" s="11">
        <f t="shared" si="4"/>
        <v>37539577.929176353</v>
      </c>
      <c r="I53" s="1">
        <f t="shared" si="5"/>
        <v>341</v>
      </c>
      <c r="K53" s="2">
        <f t="shared" si="7"/>
        <v>0.6599941217223354</v>
      </c>
      <c r="L53">
        <f t="shared" si="8"/>
        <v>659</v>
      </c>
      <c r="M53">
        <f t="shared" si="9"/>
        <v>33</v>
      </c>
      <c r="N53" s="2">
        <f t="shared" si="6"/>
        <v>0.69581835555555493</v>
      </c>
      <c r="S53">
        <f>SMALL(WholeLife!$K$10:$K$55,44)</f>
        <v>0.6599941217223354</v>
      </c>
      <c r="T53">
        <f>1/(COUNT(WholeLife!$K$10:$K$55)-1)+$T$52</f>
        <v>0.95555555555555594</v>
      </c>
      <c r="U53">
        <f>SMALL(WholeLife!$N$10:$N$55,44)</f>
        <v>0.69581835555555493</v>
      </c>
      <c r="V53">
        <f>1/(COUNT(WholeLife!$N$10:$N$55)-1)+$V$52</f>
        <v>0.95555555555555594</v>
      </c>
    </row>
    <row r="54" spans="1:22">
      <c r="A54">
        <v>84</v>
      </c>
      <c r="B54">
        <v>29148</v>
      </c>
      <c r="C54" s="1">
        <f t="shared" si="1"/>
        <v>3500000</v>
      </c>
      <c r="D54" s="1">
        <f t="shared" si="0"/>
        <v>381638.55465471582</v>
      </c>
      <c r="E54" s="11">
        <f t="shared" si="2"/>
        <v>1896060.8241915535</v>
      </c>
      <c r="F54" s="1">
        <f t="shared" si="3"/>
        <v>39817277.308022626</v>
      </c>
      <c r="G54" s="11">
        <f t="shared" si="4"/>
        <v>36317277.308022626</v>
      </c>
      <c r="I54" s="1">
        <f t="shared" si="5"/>
        <v>306</v>
      </c>
      <c r="K54" s="2">
        <f t="shared" si="7"/>
        <v>0.69403564755526626</v>
      </c>
      <c r="L54">
        <f t="shared" si="8"/>
        <v>694</v>
      </c>
      <c r="M54">
        <f t="shared" si="9"/>
        <v>35</v>
      </c>
      <c r="N54" s="2">
        <f t="shared" si="6"/>
        <v>0.71200017777777713</v>
      </c>
      <c r="S54">
        <f>SMALL(WholeLife!$K$10:$K$55,45)</f>
        <v>0.69403564755526626</v>
      </c>
      <c r="T54">
        <f>1/(COUNT(WholeLife!$K$10:$K$55)-1)+$T$53</f>
        <v>0.97777777777777819</v>
      </c>
      <c r="U54">
        <f>SMALL(WholeLife!$N$10:$N$55,45)</f>
        <v>0.71200017777777713</v>
      </c>
      <c r="V54">
        <f>1/(COUNT(WholeLife!$N$10:$N$55)-1)+$V$53</f>
        <v>0.97777777777777819</v>
      </c>
    </row>
    <row r="55" spans="1:22">
      <c r="A55">
        <v>85</v>
      </c>
      <c r="B55">
        <v>25895</v>
      </c>
      <c r="C55" s="1">
        <f t="shared" si="1"/>
        <v>3400000</v>
      </c>
      <c r="D55" s="1">
        <f t="shared" si="0"/>
        <v>339234.27080419182</v>
      </c>
      <c r="E55" s="11">
        <f t="shared" si="2"/>
        <v>1832825.5789413408</v>
      </c>
      <c r="F55" s="1">
        <f t="shared" si="3"/>
        <v>38489337.15776816</v>
      </c>
      <c r="G55" s="11">
        <f t="shared" si="4"/>
        <v>35089337.15776816</v>
      </c>
      <c r="I55" s="1">
        <f t="shared" si="5"/>
        <v>272</v>
      </c>
      <c r="K55" s="2">
        <f t="shared" si="7"/>
        <v>0.72818214263220882</v>
      </c>
      <c r="L55">
        <f t="shared" si="8"/>
        <v>728</v>
      </c>
      <c r="M55">
        <f t="shared" si="9"/>
        <v>34</v>
      </c>
      <c r="N55" s="2">
        <v>0.728182</v>
      </c>
      <c r="S55">
        <f>SMALL(WholeLife!$K$10:$K$55,46)</f>
        <v>0.72818214263220882</v>
      </c>
      <c r="T55">
        <f>1/(COUNT(WholeLife!$K$10:$K$55)-1)+$T$54</f>
        <v>1.0000000000000004</v>
      </c>
      <c r="U55">
        <f>SMALL(WholeLife!$N$10:$N$55,46)</f>
        <v>0.728182</v>
      </c>
      <c r="V55">
        <f>1/(COUNT(WholeLife!$N$10:$N$55)-1)+$V$54</f>
        <v>1.0000000000000004</v>
      </c>
    </row>
    <row r="56" spans="1:22">
      <c r="A56">
        <v>86</v>
      </c>
      <c r="B56" t="s">
        <v>61</v>
      </c>
      <c r="C56" s="1">
        <f>I55*C5</f>
        <v>27200000</v>
      </c>
      <c r="D56" s="1">
        <f>$G$5*I55</f>
        <v>339234.27080419182</v>
      </c>
      <c r="E56" s="11">
        <f t="shared" si="2"/>
        <v>1771428.5714286175</v>
      </c>
      <c r="F56" s="1">
        <f t="shared" si="3"/>
        <v>37200000.000000969</v>
      </c>
      <c r="G56" s="11">
        <f t="shared" si="4"/>
        <v>10000000.000000969</v>
      </c>
      <c r="I56" s="1"/>
    </row>
    <row r="58" spans="1:22">
      <c r="A58" t="s">
        <v>66</v>
      </c>
      <c r="C58" s="1">
        <f>SUM(C10:C56)</f>
        <v>100000000</v>
      </c>
      <c r="D58" s="1">
        <f>SUM(D10:D56)</f>
        <v>44752732.864951529</v>
      </c>
      <c r="E58" s="1">
        <f>SUM(E10:E56)</f>
        <v>65247267.135049388</v>
      </c>
      <c r="F58" s="1"/>
      <c r="G58" s="1"/>
    </row>
    <row r="60" spans="1:22">
      <c r="E60" s="11">
        <f>D58+E58</f>
        <v>110000000.00000092</v>
      </c>
    </row>
  </sheetData>
  <phoneticPr fontId="0" type="noConversion"/>
  <printOptions headings="1" gridLines="1"/>
  <pageMargins left="0.75" right="0.75" top="1" bottom="1" header="0.5" footer="0.5"/>
  <pageSetup scale="66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workbookViewId="0">
      <selection activeCell="J6" sqref="J6"/>
    </sheetView>
  </sheetViews>
  <sheetFormatPr defaultRowHeight="12.75"/>
  <cols>
    <col min="3" max="3" width="12.85546875" bestFit="1" customWidth="1"/>
    <col min="6" max="6" width="11.28515625" bestFit="1" customWidth="1"/>
    <col min="9" max="9" width="11.28515625" bestFit="1" customWidth="1"/>
    <col min="10" max="10" width="9.28515625" bestFit="1" customWidth="1"/>
  </cols>
  <sheetData>
    <row r="1" spans="1:11">
      <c r="A1" s="3" t="s">
        <v>0</v>
      </c>
      <c r="J1" t="s">
        <v>12</v>
      </c>
    </row>
    <row r="2" spans="1:11">
      <c r="B2" s="6" t="s">
        <v>1</v>
      </c>
      <c r="C2" s="6" t="s">
        <v>2</v>
      </c>
      <c r="F2" s="7" t="s">
        <v>3</v>
      </c>
      <c r="H2" s="8" t="s">
        <v>4</v>
      </c>
      <c r="J2" s="6" t="s">
        <v>5</v>
      </c>
    </row>
    <row r="3" spans="1:11">
      <c r="B3" s="6">
        <v>42</v>
      </c>
      <c r="C3" s="6">
        <v>34.1</v>
      </c>
      <c r="F3" s="1">
        <v>100000</v>
      </c>
      <c r="H3">
        <v>0.05</v>
      </c>
      <c r="J3" s="9">
        <v>1119.5662326494928</v>
      </c>
    </row>
    <row r="5" spans="1:11" ht="13.5" thickBot="1">
      <c r="I5" s="3" t="s">
        <v>6</v>
      </c>
    </row>
    <row r="6" spans="1:11" ht="13.5" thickBot="1">
      <c r="A6" s="10" t="s">
        <v>10</v>
      </c>
      <c r="B6" s="10"/>
      <c r="C6" s="10" t="s">
        <v>8</v>
      </c>
      <c r="D6" s="10" t="s">
        <v>9</v>
      </c>
      <c r="J6" s="5">
        <f>VLOOKUP(C3,A7:C56,3)</f>
        <v>100000.00000099995</v>
      </c>
      <c r="K6" t="s">
        <v>13</v>
      </c>
    </row>
    <row r="7" spans="1:11">
      <c r="A7">
        <v>1</v>
      </c>
      <c r="B7" s="2"/>
      <c r="C7" s="1">
        <f>J3*(1+H3)</f>
        <v>1175.5445442819675</v>
      </c>
      <c r="D7">
        <f t="shared" ref="D7:D38" si="0">$B$3+A7</f>
        <v>43</v>
      </c>
      <c r="F7" t="str">
        <f ca="1">_xll.VFORMULA(C7)</f>
        <v>=J3*(1+H3)</v>
      </c>
    </row>
    <row r="8" spans="1:11">
      <c r="A8">
        <v>2</v>
      </c>
      <c r="B8" s="2"/>
      <c r="C8" s="1">
        <f t="shared" ref="C8:C39" si="1">($J$3+C7)*(1+$H$3)</f>
        <v>2409.8663157780334</v>
      </c>
      <c r="D8">
        <f t="shared" si="0"/>
        <v>44</v>
      </c>
      <c r="F8" t="str">
        <f ca="1">_xll.VFORMULA(C8)</f>
        <v>=($J$3+C7)*(1+$H$3)</v>
      </c>
    </row>
    <row r="9" spans="1:11" ht="13.5" thickBot="1">
      <c r="A9">
        <v>3</v>
      </c>
      <c r="B9" s="2"/>
      <c r="C9" s="1">
        <f t="shared" si="1"/>
        <v>3705.9041758489025</v>
      </c>
      <c r="D9">
        <f t="shared" si="0"/>
        <v>45</v>
      </c>
      <c r="F9" t="str">
        <f ca="1">_xll.VFORMULA(C9)</f>
        <v>=($J$3+C8)*(1+$H$3)</v>
      </c>
      <c r="I9" s="3" t="s">
        <v>7</v>
      </c>
    </row>
    <row r="10" spans="1:11" ht="13.5" thickBot="1">
      <c r="A10">
        <v>4</v>
      </c>
      <c r="B10" s="2"/>
      <c r="C10" s="1">
        <f t="shared" si="1"/>
        <v>5066.7439289233153</v>
      </c>
      <c r="D10">
        <f t="shared" si="0"/>
        <v>46</v>
      </c>
      <c r="F10" t="str">
        <f ca="1">_xll.VFORMULA(C10)</f>
        <v>=($J$3+C9)*(1+$H$3)</v>
      </c>
      <c r="J10" s="4">
        <f>VLOOKUP(F3,C7:D56,2)</f>
        <v>75</v>
      </c>
      <c r="K10" t="str">
        <f ca="1">_xll.VFORMULA(J10)</f>
        <v>=VLOOKUP(F3,C7:D56,2)</v>
      </c>
    </row>
    <row r="11" spans="1:11">
      <c r="A11">
        <v>5</v>
      </c>
      <c r="B11" s="2"/>
      <c r="C11" s="1">
        <f t="shared" si="1"/>
        <v>6495.6256696514492</v>
      </c>
      <c r="D11">
        <f t="shared" si="0"/>
        <v>47</v>
      </c>
      <c r="F11" t="str">
        <f ca="1">_xll.VFORMULA(C11)</f>
        <v>=($J$3+C10)*(1+$H$3)</v>
      </c>
    </row>
    <row r="12" spans="1:11">
      <c r="A12">
        <v>6</v>
      </c>
      <c r="B12" s="2"/>
      <c r="C12" s="1">
        <f t="shared" si="1"/>
        <v>7995.9514974159902</v>
      </c>
      <c r="D12">
        <f t="shared" si="0"/>
        <v>48</v>
      </c>
      <c r="F12" t="str">
        <f ca="1">_xll.VFORMULA(C12)</f>
        <v>=($J$3+C11)*(1+$H$3)</v>
      </c>
    </row>
    <row r="13" spans="1:11" ht="13.5" thickBot="1">
      <c r="A13">
        <v>7</v>
      </c>
      <c r="B13" s="2"/>
      <c r="C13" s="1">
        <f t="shared" si="1"/>
        <v>9571.293616568757</v>
      </c>
      <c r="D13">
        <f t="shared" si="0"/>
        <v>49</v>
      </c>
      <c r="F13" t="str">
        <f ca="1">_xll.VFORMULA(C13)</f>
        <v>=($J$3+C12)*(1+$H$3)</v>
      </c>
      <c r="I13" s="3" t="s">
        <v>11</v>
      </c>
    </row>
    <row r="14" spans="1:11" ht="13.5" thickBot="1">
      <c r="A14">
        <v>8</v>
      </c>
      <c r="B14" s="2"/>
      <c r="C14" s="1">
        <f t="shared" si="1"/>
        <v>11225.402841679163</v>
      </c>
      <c r="D14">
        <f t="shared" si="0"/>
        <v>50</v>
      </c>
      <c r="F14" t="str">
        <f ca="1">_xll.VFORMULA(C14)</f>
        <v>=($J$3+C13)*(1+$H$3)</v>
      </c>
      <c r="J14" s="4">
        <f>B3+C3</f>
        <v>76.099999999999994</v>
      </c>
    </row>
    <row r="15" spans="1:11">
      <c r="A15">
        <v>9</v>
      </c>
      <c r="B15" s="2"/>
      <c r="C15" s="1">
        <f t="shared" si="1"/>
        <v>12962.217528045088</v>
      </c>
      <c r="D15">
        <f t="shared" si="0"/>
        <v>51</v>
      </c>
      <c r="F15" t="str">
        <f ca="1">_xll.VFORMULA(C15)</f>
        <v>=($J$3+C14)*(1+$H$3)</v>
      </c>
    </row>
    <row r="16" spans="1:11">
      <c r="A16">
        <v>10</v>
      </c>
      <c r="B16" s="2"/>
      <c r="C16" s="1">
        <f t="shared" si="1"/>
        <v>14785.872948729311</v>
      </c>
      <c r="D16">
        <f t="shared" si="0"/>
        <v>52</v>
      </c>
      <c r="F16" t="str">
        <f ca="1">_xll.VFORMULA(C16)</f>
        <v>=($J$3+C15)*(1+$H$3)</v>
      </c>
    </row>
    <row r="17" spans="1:6">
      <c r="A17">
        <v>11</v>
      </c>
      <c r="B17" s="2"/>
      <c r="C17" s="1">
        <f t="shared" si="1"/>
        <v>16700.711140447744</v>
      </c>
      <c r="D17">
        <f t="shared" si="0"/>
        <v>53</v>
      </c>
      <c r="F17" t="str">
        <f ca="1">_xll.VFORMULA(C17)</f>
        <v>=($J$3+C16)*(1+$H$3)</v>
      </c>
    </row>
    <row r="18" spans="1:6">
      <c r="A18">
        <v>12</v>
      </c>
      <c r="B18" s="2"/>
      <c r="C18" s="1">
        <f t="shared" si="1"/>
        <v>18711.2912417521</v>
      </c>
      <c r="D18">
        <f t="shared" si="0"/>
        <v>54</v>
      </c>
      <c r="F18" t="str">
        <f ca="1">_xll.VFORMULA(C18)</f>
        <v>=($J$3+C17)*(1+$H$3)</v>
      </c>
    </row>
    <row r="19" spans="1:6">
      <c r="A19">
        <v>13</v>
      </c>
      <c r="B19" s="2"/>
      <c r="C19" s="1">
        <f t="shared" si="1"/>
        <v>20822.400348121675</v>
      </c>
      <c r="D19">
        <f t="shared" si="0"/>
        <v>55</v>
      </c>
      <c r="F19" t="str">
        <f ca="1">_xll.VFORMULA(C19)</f>
        <v>=($J$3+C18)*(1+$H$3)</v>
      </c>
    </row>
    <row r="20" spans="1:6">
      <c r="A20">
        <v>14</v>
      </c>
      <c r="B20" s="2"/>
      <c r="C20" s="1">
        <f t="shared" si="1"/>
        <v>23039.064909809727</v>
      </c>
      <c r="D20">
        <f t="shared" si="0"/>
        <v>56</v>
      </c>
      <c r="F20" t="str">
        <f ca="1">_xll.VFORMULA(C20)</f>
        <v>=($J$3+C19)*(1+$H$3)</v>
      </c>
    </row>
    <row r="21" spans="1:6">
      <c r="A21">
        <v>15</v>
      </c>
      <c r="B21" s="2"/>
      <c r="C21" s="1">
        <f t="shared" si="1"/>
        <v>25366.562699582184</v>
      </c>
      <c r="D21">
        <f t="shared" si="0"/>
        <v>57</v>
      </c>
      <c r="F21" t="str">
        <f ca="1">_xll.VFORMULA(C21)</f>
        <v>=($J$3+C20)*(1+$H$3)</v>
      </c>
    </row>
    <row r="22" spans="1:6">
      <c r="A22">
        <v>16</v>
      </c>
      <c r="B22" s="2"/>
      <c r="C22" s="1">
        <f t="shared" si="1"/>
        <v>27810.435378843264</v>
      </c>
      <c r="D22">
        <f t="shared" si="0"/>
        <v>58</v>
      </c>
      <c r="F22" t="str">
        <f ca="1">_xll.VFORMULA(C22)</f>
        <v>=($J$3+C21)*(1+$H$3)</v>
      </c>
    </row>
    <row r="23" spans="1:6">
      <c r="A23">
        <v>17</v>
      </c>
      <c r="B23" s="2"/>
      <c r="C23" s="1">
        <f t="shared" si="1"/>
        <v>30376.501692067395</v>
      </c>
      <c r="D23">
        <f t="shared" si="0"/>
        <v>59</v>
      </c>
      <c r="F23" t="str">
        <f ca="1">_xll.VFORMULA(C23)</f>
        <v>=($J$3+C22)*(1+$H$3)</v>
      </c>
    </row>
    <row r="24" spans="1:6">
      <c r="A24">
        <v>18</v>
      </c>
      <c r="B24" s="2"/>
      <c r="C24" s="1">
        <f t="shared" si="1"/>
        <v>33070.871320952734</v>
      </c>
      <c r="D24">
        <f t="shared" si="0"/>
        <v>60</v>
      </c>
      <c r="F24" t="str">
        <f ca="1">_xll.VFORMULA(C24)</f>
        <v>=($J$3+C23)*(1+$H$3)</v>
      </c>
    </row>
    <row r="25" spans="1:6">
      <c r="A25">
        <v>19</v>
      </c>
      <c r="B25" s="2"/>
      <c r="C25" s="1">
        <f t="shared" si="1"/>
        <v>35899.959431282339</v>
      </c>
      <c r="D25">
        <f t="shared" si="0"/>
        <v>61</v>
      </c>
      <c r="F25" t="str">
        <f ca="1">_xll.VFORMULA(C25)</f>
        <v>=($J$3+C24)*(1+$H$3)</v>
      </c>
    </row>
    <row r="26" spans="1:6">
      <c r="A26">
        <v>20</v>
      </c>
      <c r="B26" s="2"/>
      <c r="C26" s="1">
        <f t="shared" si="1"/>
        <v>38870.501947128425</v>
      </c>
      <c r="D26">
        <f t="shared" si="0"/>
        <v>62</v>
      </c>
      <c r="F26" t="str">
        <f ca="1">_xll.VFORMULA(C26)</f>
        <v>=($J$3+C25)*(1+$H$3)</v>
      </c>
    </row>
    <row r="27" spans="1:6">
      <c r="A27">
        <v>21</v>
      </c>
      <c r="B27" s="2"/>
      <c r="C27" s="1">
        <f t="shared" si="1"/>
        <v>41989.571588766812</v>
      </c>
      <c r="D27">
        <f t="shared" si="0"/>
        <v>63</v>
      </c>
      <c r="F27" t="str">
        <f ca="1">_xll.VFORMULA(C27)</f>
        <v>=($J$3+C26)*(1+$H$3)</v>
      </c>
    </row>
    <row r="28" spans="1:6">
      <c r="A28">
        <v>22</v>
      </c>
      <c r="B28" s="2"/>
      <c r="C28" s="1">
        <f t="shared" si="1"/>
        <v>45264.594712487124</v>
      </c>
      <c r="D28">
        <f t="shared" si="0"/>
        <v>64</v>
      </c>
      <c r="F28" t="str">
        <f ca="1">_xll.VFORMULA(C28)</f>
        <v>=($J$3+C27)*(1+$H$3)</v>
      </c>
    </row>
    <row r="29" spans="1:6">
      <c r="A29">
        <v>23</v>
      </c>
      <c r="B29" s="2"/>
      <c r="C29" s="1">
        <f t="shared" si="1"/>
        <v>48703.368992393451</v>
      </c>
      <c r="D29">
        <f t="shared" si="0"/>
        <v>65</v>
      </c>
      <c r="F29" t="str">
        <f ca="1">_xll.VFORMULA(C29)</f>
        <v>=($J$3+C28)*(1+$H$3)</v>
      </c>
    </row>
    <row r="30" spans="1:6">
      <c r="A30">
        <v>24</v>
      </c>
      <c r="B30" s="2"/>
      <c r="C30" s="1">
        <f t="shared" si="1"/>
        <v>52314.081986295096</v>
      </c>
      <c r="D30">
        <f t="shared" si="0"/>
        <v>66</v>
      </c>
      <c r="F30" t="str">
        <f ca="1">_xll.VFORMULA(C30)</f>
        <v>=($J$3+C29)*(1+$H$3)</v>
      </c>
    </row>
    <row r="31" spans="1:6">
      <c r="A31">
        <v>25</v>
      </c>
      <c r="B31" s="2"/>
      <c r="C31" s="1">
        <f t="shared" si="1"/>
        <v>56105.330629891818</v>
      </c>
      <c r="D31">
        <f t="shared" si="0"/>
        <v>67</v>
      </c>
      <c r="F31" t="str">
        <f ca="1">_xll.VFORMULA(C31)</f>
        <v>=($J$3+C30)*(1+$H$3)</v>
      </c>
    </row>
    <row r="32" spans="1:6">
      <c r="A32">
        <v>26</v>
      </c>
      <c r="B32" s="2"/>
      <c r="C32" s="1">
        <f t="shared" si="1"/>
        <v>60086.141705668379</v>
      </c>
      <c r="D32">
        <f t="shared" si="0"/>
        <v>68</v>
      </c>
      <c r="F32" t="str">
        <f ca="1">_xll.VFORMULA(C32)</f>
        <v>=($J$3+C31)*(1+$H$3)</v>
      </c>
    </row>
    <row r="33" spans="1:6">
      <c r="A33">
        <v>27</v>
      </c>
      <c r="B33" s="2"/>
      <c r="C33" s="1">
        <f t="shared" si="1"/>
        <v>64265.993335233768</v>
      </c>
      <c r="D33">
        <f t="shared" si="0"/>
        <v>69</v>
      </c>
      <c r="F33" t="str">
        <f ca="1">_xll.VFORMULA(C33)</f>
        <v>=($J$3+C32)*(1+$H$3)</v>
      </c>
    </row>
    <row r="34" spans="1:6">
      <c r="A34">
        <v>28</v>
      </c>
      <c r="B34" s="2"/>
      <c r="C34" s="1">
        <f t="shared" si="1"/>
        <v>68654.837546277427</v>
      </c>
      <c r="D34">
        <f t="shared" si="0"/>
        <v>70</v>
      </c>
      <c r="F34" t="str">
        <f ca="1">_xll.VFORMULA(C34)</f>
        <v>=($J$3+C33)*(1+$H$3)</v>
      </c>
    </row>
    <row r="35" spans="1:6">
      <c r="A35">
        <v>29</v>
      </c>
      <c r="B35" s="2"/>
      <c r="C35" s="1">
        <f t="shared" si="1"/>
        <v>73263.123967873267</v>
      </c>
      <c r="D35">
        <f t="shared" si="0"/>
        <v>71</v>
      </c>
      <c r="F35" t="str">
        <f ca="1">_xll.VFORMULA(C35)</f>
        <v>=($J$3+C34)*(1+$H$3)</v>
      </c>
    </row>
    <row r="36" spans="1:6">
      <c r="A36">
        <v>30</v>
      </c>
      <c r="B36" s="2"/>
      <c r="C36" s="1">
        <f t="shared" si="1"/>
        <v>78101.824710548899</v>
      </c>
      <c r="D36">
        <f t="shared" si="0"/>
        <v>72</v>
      </c>
      <c r="F36" t="str">
        <f ca="1">_xll.VFORMULA(C36)</f>
        <v>=($J$3+C35)*(1+$H$3)</v>
      </c>
    </row>
    <row r="37" spans="1:6">
      <c r="A37">
        <v>31</v>
      </c>
      <c r="B37" s="2"/>
      <c r="C37" s="1">
        <f t="shared" si="1"/>
        <v>83182.460490358309</v>
      </c>
      <c r="D37">
        <f t="shared" si="0"/>
        <v>73</v>
      </c>
      <c r="F37" t="str">
        <f ca="1">_xll.VFORMULA(C37)</f>
        <v>=($J$3+C36)*(1+$H$3)</v>
      </c>
    </row>
    <row r="38" spans="1:6">
      <c r="A38">
        <v>32</v>
      </c>
      <c r="B38" s="2"/>
      <c r="C38" s="1">
        <f t="shared" si="1"/>
        <v>88517.128059158204</v>
      </c>
      <c r="D38">
        <f t="shared" si="0"/>
        <v>74</v>
      </c>
      <c r="F38" t="str">
        <f ca="1">_xll.VFORMULA(C38)</f>
        <v>=($J$3+C37)*(1+$H$3)</v>
      </c>
    </row>
    <row r="39" spans="1:6">
      <c r="A39">
        <v>33</v>
      </c>
      <c r="B39" s="2"/>
      <c r="C39" s="1">
        <f t="shared" si="1"/>
        <v>94118.529006398079</v>
      </c>
      <c r="D39">
        <f t="shared" ref="D39:D56" si="2">$B$3+A39</f>
        <v>75</v>
      </c>
      <c r="F39" t="str">
        <f ca="1">_xll.VFORMULA(C39)</f>
        <v>=($J$3+C38)*(1+$H$3)</v>
      </c>
    </row>
    <row r="40" spans="1:6">
      <c r="A40">
        <v>34</v>
      </c>
      <c r="B40" s="2"/>
      <c r="C40" s="1">
        <f t="shared" ref="C40:C56" si="3">($J$3+C39)*(1+$H$3)</f>
        <v>100000.00000099995</v>
      </c>
      <c r="D40">
        <f t="shared" si="2"/>
        <v>76</v>
      </c>
    </row>
    <row r="41" spans="1:6">
      <c r="A41">
        <v>35</v>
      </c>
      <c r="B41" s="2"/>
      <c r="C41" s="1">
        <f t="shared" si="3"/>
        <v>106175.54454533193</v>
      </c>
      <c r="D41">
        <f t="shared" si="2"/>
        <v>77</v>
      </c>
    </row>
    <row r="42" spans="1:6">
      <c r="A42">
        <v>36</v>
      </c>
      <c r="B42" s="2"/>
      <c r="C42" s="1">
        <f t="shared" si="3"/>
        <v>112659.86631688049</v>
      </c>
      <c r="D42">
        <f t="shared" si="2"/>
        <v>78</v>
      </c>
    </row>
    <row r="43" spans="1:6">
      <c r="A43">
        <v>37</v>
      </c>
      <c r="B43" s="2"/>
      <c r="C43" s="1">
        <f t="shared" si="3"/>
        <v>119468.40417700649</v>
      </c>
      <c r="D43">
        <f t="shared" si="2"/>
        <v>79</v>
      </c>
    </row>
    <row r="44" spans="1:6">
      <c r="A44">
        <v>38</v>
      </c>
      <c r="B44" s="2"/>
      <c r="C44" s="1">
        <f t="shared" si="3"/>
        <v>126617.36893013879</v>
      </c>
      <c r="D44">
        <f t="shared" si="2"/>
        <v>80</v>
      </c>
    </row>
    <row r="45" spans="1:6">
      <c r="A45">
        <v>39</v>
      </c>
      <c r="B45" s="2"/>
      <c r="C45" s="1">
        <f t="shared" si="3"/>
        <v>134123.78192092769</v>
      </c>
      <c r="D45">
        <f t="shared" si="2"/>
        <v>81</v>
      </c>
    </row>
    <row r="46" spans="1:6">
      <c r="A46">
        <v>40</v>
      </c>
      <c r="B46" s="2"/>
      <c r="C46" s="1">
        <f t="shared" si="3"/>
        <v>142005.51556125606</v>
      </c>
      <c r="D46">
        <f t="shared" si="2"/>
        <v>82</v>
      </c>
    </row>
    <row r="47" spans="1:6">
      <c r="A47">
        <v>41</v>
      </c>
      <c r="B47" s="2"/>
      <c r="C47" s="1">
        <f t="shared" si="3"/>
        <v>150281.33588360084</v>
      </c>
      <c r="D47">
        <f t="shared" si="2"/>
        <v>83</v>
      </c>
    </row>
    <row r="48" spans="1:6">
      <c r="A48">
        <v>42</v>
      </c>
      <c r="B48" s="2"/>
      <c r="C48" s="1">
        <f t="shared" si="3"/>
        <v>158970.94722206285</v>
      </c>
      <c r="D48">
        <f t="shared" si="2"/>
        <v>84</v>
      </c>
    </row>
    <row r="49" spans="1:4">
      <c r="A49">
        <v>43</v>
      </c>
      <c r="B49" s="2"/>
      <c r="C49" s="1">
        <f t="shared" si="3"/>
        <v>168095.03912744796</v>
      </c>
      <c r="D49">
        <f t="shared" si="2"/>
        <v>85</v>
      </c>
    </row>
    <row r="50" spans="1:4">
      <c r="A50">
        <v>44</v>
      </c>
      <c r="B50" s="2"/>
      <c r="C50" s="1">
        <f t="shared" si="3"/>
        <v>177675.33562810233</v>
      </c>
      <c r="D50">
        <f t="shared" si="2"/>
        <v>86</v>
      </c>
    </row>
    <row r="51" spans="1:4">
      <c r="A51">
        <v>45</v>
      </c>
      <c r="B51" s="2"/>
      <c r="C51" s="1">
        <f t="shared" si="3"/>
        <v>187734.64695378943</v>
      </c>
      <c r="D51">
        <f t="shared" si="2"/>
        <v>87</v>
      </c>
    </row>
    <row r="52" spans="1:4">
      <c r="A52">
        <v>46</v>
      </c>
      <c r="B52" s="2"/>
      <c r="C52" s="1">
        <f t="shared" si="3"/>
        <v>198296.92384576087</v>
      </c>
      <c r="D52">
        <f t="shared" si="2"/>
        <v>88</v>
      </c>
    </row>
    <row r="53" spans="1:4">
      <c r="A53">
        <v>47</v>
      </c>
      <c r="B53" s="2"/>
      <c r="C53" s="1">
        <f t="shared" si="3"/>
        <v>209387.3145823309</v>
      </c>
      <c r="D53">
        <f t="shared" si="2"/>
        <v>89</v>
      </c>
    </row>
    <row r="54" spans="1:4">
      <c r="A54">
        <v>48</v>
      </c>
      <c r="B54" s="2"/>
      <c r="C54" s="1">
        <f t="shared" si="3"/>
        <v>221032.22485572944</v>
      </c>
      <c r="D54">
        <f t="shared" si="2"/>
        <v>90</v>
      </c>
    </row>
    <row r="55" spans="1:4">
      <c r="A55">
        <v>49</v>
      </c>
      <c r="B55" s="2"/>
      <c r="C55" s="1">
        <f t="shared" si="3"/>
        <v>233259.38064279789</v>
      </c>
      <c r="D55">
        <f t="shared" si="2"/>
        <v>91</v>
      </c>
    </row>
    <row r="56" spans="1:4">
      <c r="A56">
        <v>50</v>
      </c>
      <c r="B56" s="2"/>
      <c r="C56" s="1">
        <f t="shared" si="3"/>
        <v>246097.89421921977</v>
      </c>
      <c r="D56">
        <f t="shared" si="2"/>
        <v>92</v>
      </c>
    </row>
  </sheetData>
  <phoneticPr fontId="0" type="noConversion"/>
  <printOptions headings="1" gridLines="1"/>
  <pageMargins left="0.75" right="0.75" top="1" bottom="1" header="0.5" footer="0.5"/>
  <pageSetup scale="69" orientation="portrait" horizontalDpi="4294967292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Formula</vt:lpstr>
      <vt:lpstr>WholeLife</vt:lpstr>
      <vt:lpstr>Sheet1</vt:lpstr>
      <vt:lpstr>Chart7</vt:lpstr>
      <vt:lpstr>Formula!Print_Area</vt:lpstr>
      <vt:lpstr>Sheet1!Print_Area</vt:lpstr>
      <vt:lpstr>WholeLife!Print_Area</vt:lpstr>
    </vt:vector>
  </TitlesOfParts>
  <Company>Dept. Ag. Eco. at TAMU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Agricultural and Food Policy Center</dc:creator>
  <cp:lastModifiedBy>James W. Richardson</cp:lastModifiedBy>
  <cp:lastPrinted>2001-12-02T15:53:19Z</cp:lastPrinted>
  <dcterms:created xsi:type="dcterms:W3CDTF">2000-11-12T03:50:09Z</dcterms:created>
  <dcterms:modified xsi:type="dcterms:W3CDTF">2011-02-07T04:31:25Z</dcterms:modified>
</cp:coreProperties>
</file>