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085" windowHeight="8580"/>
  </bookViews>
  <sheets>
    <sheet name="Sheet1" sheetId="1" r:id="rId1"/>
  </sheets>
  <definedNames>
    <definedName name="_xlnm.Print_Area" localSheetId="0">Sheet1!$A$1:$N$269</definedName>
  </definedNames>
  <calcPr calcId="125725"/>
</workbook>
</file>

<file path=xl/calcChain.xml><?xml version="1.0" encoding="utf-8"?>
<calcChain xmlns="http://schemas.openxmlformats.org/spreadsheetml/2006/main">
  <c r="B12" i="1"/>
  <c r="C25"/>
  <c r="D25"/>
  <c r="E25"/>
  <c r="E29"/>
  <c r="E30"/>
  <c r="E38" s="1"/>
  <c r="E43" s="1"/>
  <c r="E51" s="1"/>
  <c r="E56" s="1"/>
  <c r="E64" s="1"/>
  <c r="E69" s="1"/>
  <c r="E77" s="1"/>
  <c r="E82" s="1"/>
  <c r="E90" s="1"/>
  <c r="E95" s="1"/>
  <c r="E103" s="1"/>
  <c r="E108" s="1"/>
  <c r="E116" s="1"/>
  <c r="E121" s="1"/>
  <c r="E129" s="1"/>
  <c r="E134" s="1"/>
  <c r="E142" s="1"/>
  <c r="E147" s="1"/>
  <c r="E155" s="1"/>
  <c r="F25"/>
  <c r="G25"/>
  <c r="H25"/>
  <c r="I25"/>
  <c r="J25"/>
  <c r="J29"/>
  <c r="J30"/>
  <c r="J38" s="1"/>
  <c r="J43" s="1"/>
  <c r="J51" s="1"/>
  <c r="J56" s="1"/>
  <c r="J64" s="1"/>
  <c r="J69" s="1"/>
  <c r="J77" s="1"/>
  <c r="J82" s="1"/>
  <c r="J90" s="1"/>
  <c r="J95" s="1"/>
  <c r="J103" s="1"/>
  <c r="J108" s="1"/>
  <c r="J116" s="1"/>
  <c r="J121" s="1"/>
  <c r="J129" s="1"/>
  <c r="J134" s="1"/>
  <c r="J142" s="1"/>
  <c r="J147" s="1"/>
  <c r="J155" s="1"/>
  <c r="K25"/>
  <c r="K29"/>
  <c r="K30"/>
  <c r="K38" s="1"/>
  <c r="L25"/>
  <c r="H172"/>
  <c r="H171"/>
  <c r="C30"/>
  <c r="C38" s="1"/>
  <c r="C43" s="1"/>
  <c r="C51" s="1"/>
  <c r="I172"/>
  <c r="I171"/>
  <c r="J172"/>
  <c r="J171"/>
  <c r="F29"/>
  <c r="F30"/>
  <c r="F38"/>
  <c r="F43" s="1"/>
  <c r="F51" s="1"/>
  <c r="F56" s="1"/>
  <c r="F64" s="1"/>
  <c r="F69" s="1"/>
  <c r="F77" s="1"/>
  <c r="F82" s="1"/>
  <c r="F90" s="1"/>
  <c r="F95" s="1"/>
  <c r="F103" s="1"/>
  <c r="F108" s="1"/>
  <c r="F116" s="1"/>
  <c r="F121" s="1"/>
  <c r="F129" s="1"/>
  <c r="F134" s="1"/>
  <c r="F142" s="1"/>
  <c r="F147" s="1"/>
  <c r="F155" s="1"/>
  <c r="K172"/>
  <c r="K171"/>
  <c r="L172"/>
  <c r="L171"/>
  <c r="G172"/>
  <c r="G171"/>
  <c r="D29"/>
  <c r="D30"/>
  <c r="D38"/>
  <c r="D43" s="1"/>
  <c r="D51" s="1"/>
  <c r="D56" s="1"/>
  <c r="D64" s="1"/>
  <c r="D69" s="1"/>
  <c r="D77" s="1"/>
  <c r="D82" s="1"/>
  <c r="D90" s="1"/>
  <c r="D95" s="1"/>
  <c r="D103" s="1"/>
  <c r="D108" s="1"/>
  <c r="D116" s="1"/>
  <c r="D121" s="1"/>
  <c r="D129" s="1"/>
  <c r="D134" s="1"/>
  <c r="D142" s="1"/>
  <c r="D147" s="1"/>
  <c r="D155" s="1"/>
  <c r="I29"/>
  <c r="I30"/>
  <c r="I38" s="1"/>
  <c r="I43" s="1"/>
  <c r="I51" s="1"/>
  <c r="I56" s="1"/>
  <c r="I64" s="1"/>
  <c r="I69" s="1"/>
  <c r="I77" s="1"/>
  <c r="I82" s="1"/>
  <c r="I90" s="1"/>
  <c r="I95" s="1"/>
  <c r="I103" s="1"/>
  <c r="I108" s="1"/>
  <c r="I116" s="1"/>
  <c r="I121" s="1"/>
  <c r="I129" s="1"/>
  <c r="I134" s="1"/>
  <c r="I142" s="1"/>
  <c r="I147" s="1"/>
  <c r="I155" s="1"/>
  <c r="F172"/>
  <c r="F171"/>
  <c r="E172"/>
  <c r="E171"/>
  <c r="C29"/>
  <c r="G29"/>
  <c r="G30"/>
  <c r="G38"/>
  <c r="G43"/>
  <c r="G51" s="1"/>
  <c r="G56" s="1"/>
  <c r="G64" s="1"/>
  <c r="G69" s="1"/>
  <c r="G77" s="1"/>
  <c r="G82" s="1"/>
  <c r="G90" s="1"/>
  <c r="G95" s="1"/>
  <c r="G103" s="1"/>
  <c r="G108" s="1"/>
  <c r="G116" s="1"/>
  <c r="G121" s="1"/>
  <c r="G129" s="1"/>
  <c r="G134" s="1"/>
  <c r="G142" s="1"/>
  <c r="G147" s="1"/>
  <c r="G155" s="1"/>
  <c r="D172"/>
  <c r="D171"/>
  <c r="H29"/>
  <c r="H30"/>
  <c r="L29"/>
  <c r="L30"/>
  <c r="C172"/>
  <c r="C171"/>
  <c r="H38"/>
  <c r="H43" s="1"/>
  <c r="H51" s="1"/>
  <c r="H56" s="1"/>
  <c r="H64" s="1"/>
  <c r="H69" s="1"/>
  <c r="H77" s="1"/>
  <c r="H82" s="1"/>
  <c r="H90" s="1"/>
  <c r="H95" s="1"/>
  <c r="H103" s="1"/>
  <c r="H108" s="1"/>
  <c r="H116" s="1"/>
  <c r="H121" s="1"/>
  <c r="H129" s="1"/>
  <c r="H134" s="1"/>
  <c r="H142" s="1"/>
  <c r="H147" s="1"/>
  <c r="H155" s="1"/>
  <c r="L38"/>
  <c r="L43" s="1"/>
  <c r="L51" s="1"/>
  <c r="L56" s="1"/>
  <c r="L64" s="1"/>
  <c r="L69" s="1"/>
  <c r="L77" s="1"/>
  <c r="L82" s="1"/>
  <c r="L90" s="1"/>
  <c r="L95" s="1"/>
  <c r="L103" s="1"/>
  <c r="L108" s="1"/>
  <c r="L116" s="1"/>
  <c r="L121" s="1"/>
  <c r="L129" s="1"/>
  <c r="L134" s="1"/>
  <c r="L142" s="1"/>
  <c r="L147" s="1"/>
  <c r="L155" s="1"/>
  <c r="A52"/>
  <c r="A65" s="1"/>
  <c r="A78" s="1"/>
  <c r="A91" s="1"/>
  <c r="A104" s="1"/>
  <c r="A117" s="1"/>
  <c r="A130" s="1"/>
  <c r="A143" s="1"/>
  <c r="A156" s="1"/>
  <c r="A51"/>
  <c r="A64" s="1"/>
  <c r="A77" s="1"/>
  <c r="A90" s="1"/>
  <c r="A103" s="1"/>
  <c r="A116" s="1"/>
  <c r="A129" s="1"/>
  <c r="A142" s="1"/>
  <c r="A155" s="1"/>
  <c r="A50"/>
  <c r="A63"/>
  <c r="A76" s="1"/>
  <c r="A89" s="1"/>
  <c r="A102" s="1"/>
  <c r="A115" s="1"/>
  <c r="A128" s="1"/>
  <c r="A141" s="1"/>
  <c r="A154" s="1"/>
  <c r="A49"/>
  <c r="A62" s="1"/>
  <c r="A75" s="1"/>
  <c r="A88" s="1"/>
  <c r="A101" s="1"/>
  <c r="A114" s="1"/>
  <c r="A127" s="1"/>
  <c r="A140" s="1"/>
  <c r="A153" s="1"/>
  <c r="A48"/>
  <c r="A61"/>
  <c r="A74" s="1"/>
  <c r="A87" s="1"/>
  <c r="A100" s="1"/>
  <c r="A113" s="1"/>
  <c r="A126" s="1"/>
  <c r="A139" s="1"/>
  <c r="A152" s="1"/>
  <c r="A47"/>
  <c r="A60" s="1"/>
  <c r="A73" s="1"/>
  <c r="A86" s="1"/>
  <c r="A99" s="1"/>
  <c r="A112" s="1"/>
  <c r="A125" s="1"/>
  <c r="A138" s="1"/>
  <c r="A151" s="1"/>
  <c r="A46"/>
  <c r="A59" s="1"/>
  <c r="A72" s="1"/>
  <c r="A85" s="1"/>
  <c r="A98" s="1"/>
  <c r="A111" s="1"/>
  <c r="A124" s="1"/>
  <c r="A137" s="1"/>
  <c r="A150" s="1"/>
  <c r="A45"/>
  <c r="A58"/>
  <c r="A71" s="1"/>
  <c r="A84" s="1"/>
  <c r="A97" s="1"/>
  <c r="A110" s="1"/>
  <c r="A123" s="1"/>
  <c r="A136" s="1"/>
  <c r="A149" s="1"/>
  <c r="A44"/>
  <c r="A57" s="1"/>
  <c r="A70" s="1"/>
  <c r="A83" s="1"/>
  <c r="A96" s="1"/>
  <c r="A109" s="1"/>
  <c r="A122" s="1"/>
  <c r="A135" s="1"/>
  <c r="A148" s="1"/>
  <c r="A43"/>
  <c r="A56" s="1"/>
  <c r="A69" s="1"/>
  <c r="A82" s="1"/>
  <c r="A95" s="1"/>
  <c r="A108" s="1"/>
  <c r="A121" s="1"/>
  <c r="A134" s="1"/>
  <c r="A147" s="1"/>
  <c r="A42"/>
  <c r="A55" s="1"/>
  <c r="A68" s="1"/>
  <c r="A81" s="1"/>
  <c r="A94" s="1"/>
  <c r="A107" s="1"/>
  <c r="A120" s="1"/>
  <c r="A133" s="1"/>
  <c r="A146" s="1"/>
  <c r="A145"/>
  <c r="A132"/>
  <c r="A119"/>
  <c r="A106"/>
  <c r="A93"/>
  <c r="A80"/>
  <c r="A67"/>
  <c r="A54"/>
  <c r="A41"/>
  <c r="A1"/>
  <c r="C56" l="1"/>
  <c r="C64" s="1"/>
  <c r="N51"/>
  <c r="D166" s="1"/>
  <c r="C262" s="1"/>
  <c r="K43"/>
  <c r="K51" s="1"/>
  <c r="K56" s="1"/>
  <c r="K64" s="1"/>
  <c r="K69" s="1"/>
  <c r="K77" s="1"/>
  <c r="K82" s="1"/>
  <c r="K90" s="1"/>
  <c r="K95" s="1"/>
  <c r="K103" s="1"/>
  <c r="K108" s="1"/>
  <c r="K116" s="1"/>
  <c r="K121" s="1"/>
  <c r="K129" s="1"/>
  <c r="K134" s="1"/>
  <c r="K142" s="1"/>
  <c r="K147" s="1"/>
  <c r="K155" s="1"/>
  <c r="N38"/>
  <c r="B28"/>
  <c r="B241"/>
  <c r="C160" s="1"/>
  <c r="C169" s="1"/>
  <c r="C12"/>
  <c r="D12" l="1"/>
  <c r="B41"/>
  <c r="C241"/>
  <c r="D160" s="1"/>
  <c r="D169" s="1"/>
  <c r="E31"/>
  <c r="F31"/>
  <c r="J31"/>
  <c r="K31"/>
  <c r="L31"/>
  <c r="G31"/>
  <c r="I31"/>
  <c r="N28"/>
  <c r="C31"/>
  <c r="D31"/>
  <c r="H31"/>
  <c r="C69"/>
  <c r="C77" s="1"/>
  <c r="N64"/>
  <c r="E166" s="1"/>
  <c r="D262" s="1"/>
  <c r="A174"/>
  <c r="B175"/>
  <c r="I39" l="1"/>
  <c r="I35"/>
  <c r="I37"/>
  <c r="I42" s="1"/>
  <c r="I34"/>
  <c r="I33"/>
  <c r="I36"/>
  <c r="I32"/>
  <c r="C82"/>
  <c r="C90" s="1"/>
  <c r="N77"/>
  <c r="F166" s="1"/>
  <c r="E262" s="1"/>
  <c r="K37"/>
  <c r="K42" s="1"/>
  <c r="K36"/>
  <c r="K32"/>
  <c r="K34"/>
  <c r="K35" s="1"/>
  <c r="K33"/>
  <c r="K39"/>
  <c r="D39"/>
  <c r="D37"/>
  <c r="D42" s="1"/>
  <c r="D33"/>
  <c r="D32"/>
  <c r="D36"/>
  <c r="D35"/>
  <c r="D34"/>
  <c r="G34"/>
  <c r="G35" s="1"/>
  <c r="G39"/>
  <c r="G36"/>
  <c r="G33"/>
  <c r="G37"/>
  <c r="G42" s="1"/>
  <c r="G32"/>
  <c r="F36"/>
  <c r="F37"/>
  <c r="F42" s="1"/>
  <c r="F34"/>
  <c r="F32"/>
  <c r="F33"/>
  <c r="F39"/>
  <c r="F35"/>
  <c r="E12"/>
  <c r="B54"/>
  <c r="D241"/>
  <c r="E160" s="1"/>
  <c r="E169" s="1"/>
  <c r="H34"/>
  <c r="H36"/>
  <c r="H33"/>
  <c r="H32"/>
  <c r="H39"/>
  <c r="H37"/>
  <c r="H42" s="1"/>
  <c r="H35"/>
  <c r="J37"/>
  <c r="J42" s="1"/>
  <c r="J39"/>
  <c r="J36"/>
  <c r="J32"/>
  <c r="J35"/>
  <c r="J34"/>
  <c r="J33"/>
  <c r="C44"/>
  <c r="H44"/>
  <c r="N41"/>
  <c r="F44"/>
  <c r="J44"/>
  <c r="G44"/>
  <c r="L44"/>
  <c r="I44"/>
  <c r="K44"/>
  <c r="D44"/>
  <c r="A181"/>
  <c r="B182"/>
  <c r="B176"/>
  <c r="C39"/>
  <c r="C34"/>
  <c r="C37"/>
  <c r="C33"/>
  <c r="C36"/>
  <c r="C32"/>
  <c r="L39"/>
  <c r="L33"/>
  <c r="L32"/>
  <c r="L37"/>
  <c r="L42" s="1"/>
  <c r="L34"/>
  <c r="L35" s="1"/>
  <c r="E37"/>
  <c r="E42" s="1"/>
  <c r="E36"/>
  <c r="E34"/>
  <c r="E39"/>
  <c r="E44" s="1"/>
  <c r="E35"/>
  <c r="E32"/>
  <c r="E33"/>
  <c r="E49" l="1"/>
  <c r="E46"/>
  <c r="E50"/>
  <c r="E55" s="1"/>
  <c r="E52"/>
  <c r="E47"/>
  <c r="E48" s="1"/>
  <c r="E45"/>
  <c r="L46"/>
  <c r="L45"/>
  <c r="L47"/>
  <c r="L48" s="1"/>
  <c r="L52"/>
  <c r="L49"/>
  <c r="L50"/>
  <c r="L55" s="1"/>
  <c r="F12"/>
  <c r="B67"/>
  <c r="E241"/>
  <c r="F160" s="1"/>
  <c r="F169" s="1"/>
  <c r="C42"/>
  <c r="C46" s="1"/>
  <c r="N46" s="1"/>
  <c r="D163" s="1"/>
  <c r="N37"/>
  <c r="C166" s="1"/>
  <c r="B262" s="1"/>
  <c r="I50"/>
  <c r="I55" s="1"/>
  <c r="I49"/>
  <c r="I48"/>
  <c r="I52"/>
  <c r="I47"/>
  <c r="I46"/>
  <c r="I45"/>
  <c r="C47"/>
  <c r="C50"/>
  <c r="C48"/>
  <c r="C52"/>
  <c r="C45"/>
  <c r="K49"/>
  <c r="K52"/>
  <c r="K57" s="1"/>
  <c r="K50"/>
  <c r="K55" s="1"/>
  <c r="K48"/>
  <c r="K45"/>
  <c r="K47"/>
  <c r="K46"/>
  <c r="J52"/>
  <c r="J57" s="1"/>
  <c r="J50"/>
  <c r="J55" s="1"/>
  <c r="J49"/>
  <c r="J46"/>
  <c r="J45"/>
  <c r="J47"/>
  <c r="J48" s="1"/>
  <c r="H50"/>
  <c r="H55" s="1"/>
  <c r="H52"/>
  <c r="H57" s="1"/>
  <c r="H46"/>
  <c r="H45"/>
  <c r="H49"/>
  <c r="H47"/>
  <c r="H48" s="1"/>
  <c r="D47"/>
  <c r="D46"/>
  <c r="D45"/>
  <c r="D52"/>
  <c r="D50"/>
  <c r="D55" s="1"/>
  <c r="D49"/>
  <c r="D48"/>
  <c r="G52"/>
  <c r="G57" s="1"/>
  <c r="G50"/>
  <c r="G55" s="1"/>
  <c r="G45"/>
  <c r="G47"/>
  <c r="G48" s="1"/>
  <c r="G46"/>
  <c r="N36"/>
  <c r="C165" s="1"/>
  <c r="C170" s="1"/>
  <c r="C175" s="1"/>
  <c r="N34"/>
  <c r="N32"/>
  <c r="C162" s="1"/>
  <c r="L36"/>
  <c r="N33"/>
  <c r="C163" s="1"/>
  <c r="F49"/>
  <c r="F52"/>
  <c r="F47"/>
  <c r="F48"/>
  <c r="F45"/>
  <c r="F50"/>
  <c r="F55" s="1"/>
  <c r="F46"/>
  <c r="E57"/>
  <c r="F57"/>
  <c r="L57"/>
  <c r="D57"/>
  <c r="N54"/>
  <c r="I57"/>
  <c r="C57"/>
  <c r="A188"/>
  <c r="B177"/>
  <c r="B189"/>
  <c r="B183"/>
  <c r="N90"/>
  <c r="G166" s="1"/>
  <c r="F262" s="1"/>
  <c r="C95"/>
  <c r="C103" s="1"/>
  <c r="C35"/>
  <c r="N35" s="1"/>
  <c r="C164" s="1"/>
  <c r="B255" s="1"/>
  <c r="K63" l="1"/>
  <c r="K68" s="1"/>
  <c r="K62"/>
  <c r="K65"/>
  <c r="K60"/>
  <c r="K59"/>
  <c r="K61"/>
  <c r="K58"/>
  <c r="J63"/>
  <c r="J68" s="1"/>
  <c r="J65"/>
  <c r="J70" s="1"/>
  <c r="J62"/>
  <c r="J59"/>
  <c r="J60"/>
  <c r="J61" s="1"/>
  <c r="J58"/>
  <c r="G62"/>
  <c r="G65"/>
  <c r="G60"/>
  <c r="G61" s="1"/>
  <c r="G58"/>
  <c r="G63"/>
  <c r="G68" s="1"/>
  <c r="G59"/>
  <c r="H63"/>
  <c r="H68" s="1"/>
  <c r="H59"/>
  <c r="H58"/>
  <c r="H62"/>
  <c r="H61"/>
  <c r="H65"/>
  <c r="H60"/>
  <c r="C108"/>
  <c r="C116" s="1"/>
  <c r="N103"/>
  <c r="H166" s="1"/>
  <c r="G262" s="1"/>
  <c r="I65"/>
  <c r="I62"/>
  <c r="I60"/>
  <c r="I61" s="1"/>
  <c r="I58"/>
  <c r="I63"/>
  <c r="I68" s="1"/>
  <c r="I59"/>
  <c r="E63"/>
  <c r="E68" s="1"/>
  <c r="E60"/>
  <c r="E65"/>
  <c r="E59"/>
  <c r="E62"/>
  <c r="E61"/>
  <c r="E58"/>
  <c r="E175"/>
  <c r="B246" s="1"/>
  <c r="D177"/>
  <c r="D179"/>
  <c r="D176"/>
  <c r="D178"/>
  <c r="D175"/>
  <c r="D65"/>
  <c r="D62"/>
  <c r="D59"/>
  <c r="D58"/>
  <c r="D63"/>
  <c r="D68" s="1"/>
  <c r="D60"/>
  <c r="D61" s="1"/>
  <c r="B80"/>
  <c r="F241"/>
  <c r="G160" s="1"/>
  <c r="G169" s="1"/>
  <c r="G12"/>
  <c r="N45"/>
  <c r="D162" s="1"/>
  <c r="G49"/>
  <c r="C49"/>
  <c r="N49" s="1"/>
  <c r="D165" s="1"/>
  <c r="D170" s="1"/>
  <c r="C182" s="1"/>
  <c r="N47"/>
  <c r="L63"/>
  <c r="L68" s="1"/>
  <c r="L59"/>
  <c r="L58"/>
  <c r="L65"/>
  <c r="L60"/>
  <c r="L61" s="1"/>
  <c r="L62"/>
  <c r="B178"/>
  <c r="A195"/>
  <c r="B184"/>
  <c r="B196"/>
  <c r="B190"/>
  <c r="C62"/>
  <c r="C60"/>
  <c r="C65"/>
  <c r="C58"/>
  <c r="N58" s="1"/>
  <c r="E162" s="1"/>
  <c r="C59"/>
  <c r="F63"/>
  <c r="F68" s="1"/>
  <c r="F59"/>
  <c r="F62"/>
  <c r="F60"/>
  <c r="F61" s="1"/>
  <c r="F65"/>
  <c r="F70" s="1"/>
  <c r="F58"/>
  <c r="N50"/>
  <c r="C55"/>
  <c r="C63" s="1"/>
  <c r="C70"/>
  <c r="H70"/>
  <c r="I70"/>
  <c r="L70"/>
  <c r="N67"/>
  <c r="E70"/>
  <c r="K70"/>
  <c r="D70"/>
  <c r="G70"/>
  <c r="N48"/>
  <c r="D164" s="1"/>
  <c r="C255" s="1"/>
  <c r="F75" l="1"/>
  <c r="F73"/>
  <c r="F74" s="1"/>
  <c r="F78"/>
  <c r="F72"/>
  <c r="F76"/>
  <c r="F81" s="1"/>
  <c r="F71"/>
  <c r="J78"/>
  <c r="J83" s="1"/>
  <c r="J76"/>
  <c r="J81" s="1"/>
  <c r="J73"/>
  <c r="J74" s="1"/>
  <c r="J71"/>
  <c r="J75"/>
  <c r="J72"/>
  <c r="C68"/>
  <c r="N63"/>
  <c r="K75"/>
  <c r="K78"/>
  <c r="K76"/>
  <c r="K81" s="1"/>
  <c r="K72"/>
  <c r="K74"/>
  <c r="K73"/>
  <c r="K71"/>
  <c r="H12"/>
  <c r="B93"/>
  <c r="G241"/>
  <c r="H160" s="1"/>
  <c r="H169" s="1"/>
  <c r="D73"/>
  <c r="D75" s="1"/>
  <c r="D72"/>
  <c r="D71"/>
  <c r="D74"/>
  <c r="D78"/>
  <c r="D76"/>
  <c r="D81" s="1"/>
  <c r="C78"/>
  <c r="C83" s="1"/>
  <c r="C76"/>
  <c r="C73"/>
  <c r="N73" s="1"/>
  <c r="C71"/>
  <c r="C75"/>
  <c r="C72"/>
  <c r="G78"/>
  <c r="G83" s="1"/>
  <c r="G75"/>
  <c r="G73"/>
  <c r="G72"/>
  <c r="G76"/>
  <c r="G81" s="1"/>
  <c r="G71"/>
  <c r="G74"/>
  <c r="E78"/>
  <c r="E76"/>
  <c r="E81" s="1"/>
  <c r="E75"/>
  <c r="E71"/>
  <c r="E72"/>
  <c r="E73"/>
  <c r="E74" s="1"/>
  <c r="H76"/>
  <c r="H81" s="1"/>
  <c r="H73"/>
  <c r="H72"/>
  <c r="H71"/>
  <c r="H78"/>
  <c r="H75"/>
  <c r="H74"/>
  <c r="E83"/>
  <c r="F83"/>
  <c r="K83"/>
  <c r="H83"/>
  <c r="N80"/>
  <c r="D83"/>
  <c r="N62"/>
  <c r="E165" s="1"/>
  <c r="E170" s="1"/>
  <c r="C189" s="1"/>
  <c r="C61"/>
  <c r="N61" s="1"/>
  <c r="E164" s="1"/>
  <c r="D255" s="1"/>
  <c r="N60"/>
  <c r="F175"/>
  <c r="L75"/>
  <c r="L72"/>
  <c r="L71"/>
  <c r="L76"/>
  <c r="L81" s="1"/>
  <c r="L73"/>
  <c r="L74" s="1"/>
  <c r="L78"/>
  <c r="L83" s="1"/>
  <c r="N116"/>
  <c r="I166" s="1"/>
  <c r="H262" s="1"/>
  <c r="C121"/>
  <c r="C129" s="1"/>
  <c r="I73"/>
  <c r="I76"/>
  <c r="I81" s="1"/>
  <c r="I78"/>
  <c r="I83" s="1"/>
  <c r="I74"/>
  <c r="I71"/>
  <c r="I75"/>
  <c r="I72"/>
  <c r="E182"/>
  <c r="D184"/>
  <c r="D183"/>
  <c r="D186"/>
  <c r="D182"/>
  <c r="D185"/>
  <c r="B185"/>
  <c r="A202"/>
  <c r="B191"/>
  <c r="B203"/>
  <c r="B197"/>
  <c r="B179"/>
  <c r="N59"/>
  <c r="E163" s="1"/>
  <c r="C88" l="1"/>
  <c r="C86"/>
  <c r="C87" s="1"/>
  <c r="N87" s="1"/>
  <c r="G164" s="1"/>
  <c r="F255" s="1"/>
  <c r="C85"/>
  <c r="C91"/>
  <c r="C96" s="1"/>
  <c r="C84"/>
  <c r="J89"/>
  <c r="J94" s="1"/>
  <c r="J91"/>
  <c r="J96" s="1"/>
  <c r="J88"/>
  <c r="J86"/>
  <c r="J84"/>
  <c r="J87"/>
  <c r="J85"/>
  <c r="L85"/>
  <c r="L84"/>
  <c r="L87"/>
  <c r="L91"/>
  <c r="L86"/>
  <c r="L88"/>
  <c r="L89"/>
  <c r="L94" s="1"/>
  <c r="I91"/>
  <c r="I89"/>
  <c r="I94" s="1"/>
  <c r="I88"/>
  <c r="I86"/>
  <c r="I87" s="1"/>
  <c r="I85"/>
  <c r="I84"/>
  <c r="G88"/>
  <c r="G86"/>
  <c r="G91"/>
  <c r="G89"/>
  <c r="G94" s="1"/>
  <c r="G87"/>
  <c r="G85"/>
  <c r="G84"/>
  <c r="B256"/>
  <c r="G175"/>
  <c r="D91"/>
  <c r="D88"/>
  <c r="D85"/>
  <c r="D84"/>
  <c r="D87"/>
  <c r="D86"/>
  <c r="D89"/>
  <c r="D94" s="1"/>
  <c r="N129"/>
  <c r="J166" s="1"/>
  <c r="I262" s="1"/>
  <c r="C134"/>
  <c r="C142" s="1"/>
  <c r="H85"/>
  <c r="H84"/>
  <c r="H88"/>
  <c r="H91"/>
  <c r="H96" s="1"/>
  <c r="H89"/>
  <c r="H94" s="1"/>
  <c r="H86"/>
  <c r="H87" s="1"/>
  <c r="F91"/>
  <c r="F96" s="1"/>
  <c r="F84"/>
  <c r="F89"/>
  <c r="F94" s="1"/>
  <c r="F88"/>
  <c r="F87"/>
  <c r="F86"/>
  <c r="F85"/>
  <c r="N76"/>
  <c r="C81"/>
  <c r="C89" s="1"/>
  <c r="N75"/>
  <c r="F165" s="1"/>
  <c r="F170" s="1"/>
  <c r="C196" s="1"/>
  <c r="E189"/>
  <c r="D189"/>
  <c r="D192"/>
  <c r="D191"/>
  <c r="D190"/>
  <c r="D193"/>
  <c r="K89"/>
  <c r="K94" s="1"/>
  <c r="K88"/>
  <c r="K86"/>
  <c r="K91"/>
  <c r="K84"/>
  <c r="K87"/>
  <c r="K85"/>
  <c r="D96"/>
  <c r="G96"/>
  <c r="K96"/>
  <c r="N93"/>
  <c r="I96"/>
  <c r="L96"/>
  <c r="E96"/>
  <c r="E89"/>
  <c r="E94" s="1"/>
  <c r="E86"/>
  <c r="E87" s="1"/>
  <c r="E91"/>
  <c r="E84"/>
  <c r="E88"/>
  <c r="E85"/>
  <c r="B192"/>
  <c r="A209"/>
  <c r="B198"/>
  <c r="B210"/>
  <c r="B204"/>
  <c r="B186"/>
  <c r="I12"/>
  <c r="B106"/>
  <c r="H241"/>
  <c r="I160" s="1"/>
  <c r="I169" s="1"/>
  <c r="N71"/>
  <c r="F162" s="1"/>
  <c r="F182"/>
  <c r="G182" s="1"/>
  <c r="C183" s="1"/>
  <c r="N72"/>
  <c r="F163" s="1"/>
  <c r="C74"/>
  <c r="N74" s="1"/>
  <c r="F164" s="1"/>
  <c r="E255" s="1"/>
  <c r="F102" l="1"/>
  <c r="F107" s="1"/>
  <c r="F104"/>
  <c r="F97"/>
  <c r="F99"/>
  <c r="F100" s="1"/>
  <c r="F101"/>
  <c r="F98"/>
  <c r="H102"/>
  <c r="H107" s="1"/>
  <c r="H98"/>
  <c r="H97"/>
  <c r="H104"/>
  <c r="H101"/>
  <c r="H100"/>
  <c r="H99"/>
  <c r="J102"/>
  <c r="J107" s="1"/>
  <c r="J104"/>
  <c r="J109" s="1"/>
  <c r="J100"/>
  <c r="J98"/>
  <c r="J99"/>
  <c r="J101" s="1"/>
  <c r="J97"/>
  <c r="C104"/>
  <c r="C99"/>
  <c r="C101"/>
  <c r="C98"/>
  <c r="C97"/>
  <c r="C94"/>
  <c r="C100" s="1"/>
  <c r="N89"/>
  <c r="B199"/>
  <c r="A216"/>
  <c r="B205"/>
  <c r="B217"/>
  <c r="B211"/>
  <c r="B193"/>
  <c r="I101"/>
  <c r="I100"/>
  <c r="I102"/>
  <c r="I107" s="1"/>
  <c r="I99"/>
  <c r="I98"/>
  <c r="I104"/>
  <c r="I109" s="1"/>
  <c r="I97"/>
  <c r="L101"/>
  <c r="L104"/>
  <c r="L109" s="1"/>
  <c r="L102"/>
  <c r="L107" s="1"/>
  <c r="L98"/>
  <c r="L97"/>
  <c r="L99"/>
  <c r="L100" s="1"/>
  <c r="B119"/>
  <c r="I241"/>
  <c r="J160" s="1"/>
  <c r="J169" s="1"/>
  <c r="J12"/>
  <c r="F189"/>
  <c r="G189" s="1"/>
  <c r="C190" s="1"/>
  <c r="N84"/>
  <c r="G162" s="1"/>
  <c r="N85"/>
  <c r="G163" s="1"/>
  <c r="E104"/>
  <c r="E100"/>
  <c r="E99"/>
  <c r="E101" s="1"/>
  <c r="E98"/>
  <c r="E97"/>
  <c r="E102"/>
  <c r="E107" s="1"/>
  <c r="D98"/>
  <c r="D97"/>
  <c r="D101"/>
  <c r="D99"/>
  <c r="D100" s="1"/>
  <c r="D102"/>
  <c r="D107" s="1"/>
  <c r="D104"/>
  <c r="B267"/>
  <c r="C176"/>
  <c r="G183"/>
  <c r="C184" s="1"/>
  <c r="E183"/>
  <c r="F183" s="1"/>
  <c r="G101"/>
  <c r="G104"/>
  <c r="G109" s="1"/>
  <c r="G100"/>
  <c r="G99"/>
  <c r="G97"/>
  <c r="G98"/>
  <c r="G102"/>
  <c r="G107" s="1"/>
  <c r="C147"/>
  <c r="C155" s="1"/>
  <c r="N155" s="1"/>
  <c r="L166" s="1"/>
  <c r="K262" s="1"/>
  <c r="N142"/>
  <c r="K166" s="1"/>
  <c r="J262" s="1"/>
  <c r="K104"/>
  <c r="K109" s="1"/>
  <c r="K102"/>
  <c r="K107" s="1"/>
  <c r="K97"/>
  <c r="K101"/>
  <c r="K99"/>
  <c r="K100" s="1"/>
  <c r="K98"/>
  <c r="D109"/>
  <c r="H109"/>
  <c r="N106"/>
  <c r="F109"/>
  <c r="C109"/>
  <c r="E109"/>
  <c r="E196"/>
  <c r="G196"/>
  <c r="C197" s="1"/>
  <c r="D196"/>
  <c r="F196" s="1"/>
  <c r="D198"/>
  <c r="D200"/>
  <c r="D197"/>
  <c r="D199"/>
  <c r="N88"/>
  <c r="G165" s="1"/>
  <c r="G170" s="1"/>
  <c r="C203" s="1"/>
  <c r="N86"/>
  <c r="I114" l="1"/>
  <c r="I115"/>
  <c r="I120" s="1"/>
  <c r="I117"/>
  <c r="I122" s="1"/>
  <c r="I110"/>
  <c r="I112"/>
  <c r="I113" s="1"/>
  <c r="I111"/>
  <c r="J115"/>
  <c r="J120" s="1"/>
  <c r="J114"/>
  <c r="J112"/>
  <c r="J113" s="1"/>
  <c r="J111"/>
  <c r="J117"/>
  <c r="J110"/>
  <c r="K115"/>
  <c r="K120" s="1"/>
  <c r="K117"/>
  <c r="K114"/>
  <c r="K111"/>
  <c r="K113"/>
  <c r="K110"/>
  <c r="K112"/>
  <c r="G115"/>
  <c r="G120" s="1"/>
  <c r="G117"/>
  <c r="G122" s="1"/>
  <c r="G113"/>
  <c r="G112"/>
  <c r="G110"/>
  <c r="G114"/>
  <c r="G111"/>
  <c r="L117"/>
  <c r="L111"/>
  <c r="L110"/>
  <c r="L115"/>
  <c r="L120" s="1"/>
  <c r="L112"/>
  <c r="L113" s="1"/>
  <c r="L114"/>
  <c r="N100"/>
  <c r="H164" s="1"/>
  <c r="G255" s="1"/>
  <c r="E197"/>
  <c r="F197" s="1"/>
  <c r="G197" s="1"/>
  <c r="C198" s="1"/>
  <c r="B132"/>
  <c r="J241"/>
  <c r="K160" s="1"/>
  <c r="K169" s="1"/>
  <c r="K12"/>
  <c r="F114"/>
  <c r="F117"/>
  <c r="F122" s="1"/>
  <c r="F115"/>
  <c r="F120" s="1"/>
  <c r="F111"/>
  <c r="F112"/>
  <c r="F113" s="1"/>
  <c r="F110"/>
  <c r="E184"/>
  <c r="F184" s="1"/>
  <c r="G184"/>
  <c r="C185" s="1"/>
  <c r="N119"/>
  <c r="C122"/>
  <c r="J122"/>
  <c r="L122"/>
  <c r="H122"/>
  <c r="K122"/>
  <c r="C102"/>
  <c r="N98"/>
  <c r="H163" s="1"/>
  <c r="N99"/>
  <c r="C112"/>
  <c r="C110"/>
  <c r="C117"/>
  <c r="C115"/>
  <c r="D117"/>
  <c r="D122" s="1"/>
  <c r="D115"/>
  <c r="D120" s="1"/>
  <c r="D111"/>
  <c r="D110"/>
  <c r="D114"/>
  <c r="D112"/>
  <c r="D113" s="1"/>
  <c r="E114"/>
  <c r="E117"/>
  <c r="E122" s="1"/>
  <c r="E112"/>
  <c r="E111"/>
  <c r="E115"/>
  <c r="E120" s="1"/>
  <c r="E113"/>
  <c r="E110"/>
  <c r="H117"/>
  <c r="H114"/>
  <c r="H111"/>
  <c r="H110"/>
  <c r="H115"/>
  <c r="H120" s="1"/>
  <c r="H112"/>
  <c r="H113" s="1"/>
  <c r="E176"/>
  <c r="E203"/>
  <c r="G203"/>
  <c r="C204" s="1"/>
  <c r="D203"/>
  <c r="F203" s="1"/>
  <c r="D204"/>
  <c r="D207"/>
  <c r="D206"/>
  <c r="D205"/>
  <c r="G190"/>
  <c r="C191" s="1"/>
  <c r="E190"/>
  <c r="F190" s="1"/>
  <c r="B206"/>
  <c r="B223"/>
  <c r="B212"/>
  <c r="B218"/>
  <c r="B200"/>
  <c r="A222"/>
  <c r="N97"/>
  <c r="H162" s="1"/>
  <c r="N101"/>
  <c r="H165" s="1"/>
  <c r="H170" s="1"/>
  <c r="C210" s="1"/>
  <c r="E127" l="1"/>
  <c r="E126"/>
  <c r="E130"/>
  <c r="E125"/>
  <c r="E123"/>
  <c r="E128"/>
  <c r="E133" s="1"/>
  <c r="E124"/>
  <c r="D130"/>
  <c r="D124"/>
  <c r="D123"/>
  <c r="D127"/>
  <c r="D126"/>
  <c r="D125"/>
  <c r="D128"/>
  <c r="D133" s="1"/>
  <c r="F127"/>
  <c r="F128"/>
  <c r="F133" s="1"/>
  <c r="F124"/>
  <c r="F126"/>
  <c r="F130"/>
  <c r="F135" s="1"/>
  <c r="F125"/>
  <c r="F123"/>
  <c r="I126"/>
  <c r="I130"/>
  <c r="I127"/>
  <c r="I123"/>
  <c r="I128"/>
  <c r="I133" s="1"/>
  <c r="I125"/>
  <c r="I124"/>
  <c r="G130"/>
  <c r="G126"/>
  <c r="G124"/>
  <c r="G128"/>
  <c r="G133" s="1"/>
  <c r="G125"/>
  <c r="G127"/>
  <c r="G123"/>
  <c r="G198"/>
  <c r="C199" s="1"/>
  <c r="E198"/>
  <c r="F198" s="1"/>
  <c r="C107"/>
  <c r="N102"/>
  <c r="C127"/>
  <c r="C128"/>
  <c r="C123"/>
  <c r="C130"/>
  <c r="C135" s="1"/>
  <c r="C125"/>
  <c r="C124"/>
  <c r="E135"/>
  <c r="H135"/>
  <c r="I135"/>
  <c r="N132"/>
  <c r="G135"/>
  <c r="D135"/>
  <c r="E191"/>
  <c r="F191" s="1"/>
  <c r="G191" s="1"/>
  <c r="C192" s="1"/>
  <c r="N115"/>
  <c r="C120"/>
  <c r="L127"/>
  <c r="L124"/>
  <c r="L123"/>
  <c r="L130"/>
  <c r="L135" s="1"/>
  <c r="L128"/>
  <c r="L133" s="1"/>
  <c r="L126"/>
  <c r="L125"/>
  <c r="B145"/>
  <c r="K241"/>
  <c r="L160" s="1"/>
  <c r="L169" s="1"/>
  <c r="N110"/>
  <c r="I162" s="1"/>
  <c r="E204"/>
  <c r="F204" s="1"/>
  <c r="G204" s="1"/>
  <c r="C205" s="1"/>
  <c r="H128"/>
  <c r="H133" s="1"/>
  <c r="H124"/>
  <c r="H123"/>
  <c r="H127"/>
  <c r="H125"/>
  <c r="H130"/>
  <c r="H126"/>
  <c r="E185"/>
  <c r="F185" s="1"/>
  <c r="G185" s="1"/>
  <c r="C186" s="1"/>
  <c r="E210"/>
  <c r="D214"/>
  <c r="D211"/>
  <c r="D213"/>
  <c r="D210"/>
  <c r="F210" s="1"/>
  <c r="G210" s="1"/>
  <c r="C211" s="1"/>
  <c r="D212"/>
  <c r="C246"/>
  <c r="F176"/>
  <c r="K130"/>
  <c r="K135" s="1"/>
  <c r="K127"/>
  <c r="K124"/>
  <c r="K128"/>
  <c r="K133" s="1"/>
  <c r="K125"/>
  <c r="K126" s="1"/>
  <c r="K123"/>
  <c r="J127"/>
  <c r="J128"/>
  <c r="J133" s="1"/>
  <c r="J126"/>
  <c r="J123"/>
  <c r="J125"/>
  <c r="J124"/>
  <c r="J130"/>
  <c r="J135" s="1"/>
  <c r="B228"/>
  <c r="B213"/>
  <c r="A227"/>
  <c r="B224"/>
  <c r="B219"/>
  <c r="B207"/>
  <c r="N112"/>
  <c r="E205" l="1"/>
  <c r="F205" s="1"/>
  <c r="G205"/>
  <c r="C206" s="1"/>
  <c r="J143"/>
  <c r="J140"/>
  <c r="J136"/>
  <c r="J138"/>
  <c r="J139" s="1"/>
  <c r="J141"/>
  <c r="J146" s="1"/>
  <c r="J137"/>
  <c r="K141"/>
  <c r="K146" s="1"/>
  <c r="K138"/>
  <c r="K139" s="1"/>
  <c r="K143"/>
  <c r="K136"/>
  <c r="K140"/>
  <c r="K137"/>
  <c r="F143"/>
  <c r="F136"/>
  <c r="F141"/>
  <c r="F146" s="1"/>
  <c r="F137"/>
  <c r="F138"/>
  <c r="F139" s="1"/>
  <c r="E186"/>
  <c r="E211"/>
  <c r="F211" s="1"/>
  <c r="G211" s="1"/>
  <c r="C212" s="1"/>
  <c r="L137"/>
  <c r="L136"/>
  <c r="L140"/>
  <c r="L143"/>
  <c r="L148" s="1"/>
  <c r="L141"/>
  <c r="L146" s="1"/>
  <c r="L138"/>
  <c r="L139" s="1"/>
  <c r="C140"/>
  <c r="C138"/>
  <c r="C137"/>
  <c r="C136"/>
  <c r="C143"/>
  <c r="C148" s="1"/>
  <c r="E192"/>
  <c r="F192" s="1"/>
  <c r="G192" s="1"/>
  <c r="C193" s="1"/>
  <c r="I140"/>
  <c r="I141"/>
  <c r="I146" s="1"/>
  <c r="I138"/>
  <c r="I143"/>
  <c r="I137"/>
  <c r="I136"/>
  <c r="I139"/>
  <c r="C133"/>
  <c r="C141" s="1"/>
  <c r="N128"/>
  <c r="D137"/>
  <c r="D136"/>
  <c r="D143"/>
  <c r="D140"/>
  <c r="D141"/>
  <c r="D146" s="1"/>
  <c r="D138"/>
  <c r="D139" s="1"/>
  <c r="E140"/>
  <c r="E141"/>
  <c r="E146" s="1"/>
  <c r="E139"/>
  <c r="E143"/>
  <c r="E148" s="1"/>
  <c r="E138"/>
  <c r="E136"/>
  <c r="E137"/>
  <c r="C256"/>
  <c r="G176"/>
  <c r="K148"/>
  <c r="D148"/>
  <c r="F148"/>
  <c r="N145"/>
  <c r="I148"/>
  <c r="H148"/>
  <c r="J148"/>
  <c r="N125"/>
  <c r="C126"/>
  <c r="N126" s="1"/>
  <c r="J164" s="1"/>
  <c r="I255" s="1"/>
  <c r="A231"/>
  <c r="B220"/>
  <c r="B232"/>
  <c r="B214"/>
  <c r="B229"/>
  <c r="B225"/>
  <c r="G140"/>
  <c r="G138"/>
  <c r="G137"/>
  <c r="G143"/>
  <c r="G148" s="1"/>
  <c r="G139"/>
  <c r="G141"/>
  <c r="G146" s="1"/>
  <c r="G136"/>
  <c r="C114"/>
  <c r="N114" s="1"/>
  <c r="I165" s="1"/>
  <c r="I170" s="1"/>
  <c r="C217" s="1"/>
  <c r="C111"/>
  <c r="N111" s="1"/>
  <c r="I163" s="1"/>
  <c r="C113"/>
  <c r="N113" s="1"/>
  <c r="I164" s="1"/>
  <c r="H255" s="1"/>
  <c r="H143"/>
  <c r="H137"/>
  <c r="H136"/>
  <c r="H140"/>
  <c r="H141"/>
  <c r="H146" s="1"/>
  <c r="H138"/>
  <c r="H139" s="1"/>
  <c r="G199"/>
  <c r="C200" s="1"/>
  <c r="E199"/>
  <c r="F199" s="1"/>
  <c r="N124"/>
  <c r="J163" s="1"/>
  <c r="N123"/>
  <c r="J162" s="1"/>
  <c r="N127"/>
  <c r="J165" s="1"/>
  <c r="J170" s="1"/>
  <c r="C223" s="1"/>
  <c r="G151" l="1"/>
  <c r="G152"/>
  <c r="G156"/>
  <c r="G153"/>
  <c r="G149"/>
  <c r="G154"/>
  <c r="G150"/>
  <c r="E153"/>
  <c r="E151"/>
  <c r="E152" s="1"/>
  <c r="E150"/>
  <c r="E156"/>
  <c r="E149"/>
  <c r="E154"/>
  <c r="C151"/>
  <c r="C156"/>
  <c r="C150"/>
  <c r="C153"/>
  <c r="C149"/>
  <c r="C146"/>
  <c r="C154" s="1"/>
  <c r="N154" s="1"/>
  <c r="N141"/>
  <c r="E193"/>
  <c r="L153"/>
  <c r="L150"/>
  <c r="L149"/>
  <c r="L154"/>
  <c r="L151"/>
  <c r="L152" s="1"/>
  <c r="L156"/>
  <c r="E212"/>
  <c r="F212" s="1"/>
  <c r="G212" s="1"/>
  <c r="C213" s="1"/>
  <c r="E206"/>
  <c r="F206" s="1"/>
  <c r="G206" s="1"/>
  <c r="C207" s="1"/>
  <c r="J150"/>
  <c r="J156"/>
  <c r="J153"/>
  <c r="J149"/>
  <c r="J151"/>
  <c r="J152" s="1"/>
  <c r="J154"/>
  <c r="K153"/>
  <c r="K156"/>
  <c r="K149"/>
  <c r="K151"/>
  <c r="K152" s="1"/>
  <c r="K154"/>
  <c r="K150"/>
  <c r="E200"/>
  <c r="E223"/>
  <c r="D223"/>
  <c r="D225"/>
  <c r="D224"/>
  <c r="F151"/>
  <c r="F152" s="1"/>
  <c r="F149"/>
  <c r="F156"/>
  <c r="F154"/>
  <c r="F153"/>
  <c r="F150"/>
  <c r="N137"/>
  <c r="K163" s="1"/>
  <c r="N140"/>
  <c r="K165" s="1"/>
  <c r="K170" s="1"/>
  <c r="C228" s="1"/>
  <c r="F140"/>
  <c r="C139"/>
  <c r="N139" s="1"/>
  <c r="K164" s="1"/>
  <c r="J255" s="1"/>
  <c r="N138"/>
  <c r="E217"/>
  <c r="D219"/>
  <c r="D218"/>
  <c r="D220"/>
  <c r="D217"/>
  <c r="H153"/>
  <c r="H150"/>
  <c r="H149"/>
  <c r="H154"/>
  <c r="H151"/>
  <c r="H152" s="1"/>
  <c r="H156"/>
  <c r="I153"/>
  <c r="I154"/>
  <c r="I150"/>
  <c r="I151"/>
  <c r="I152" s="1"/>
  <c r="I149"/>
  <c r="I156"/>
  <c r="D153"/>
  <c r="D151"/>
  <c r="D152" s="1"/>
  <c r="D150"/>
  <c r="D149"/>
  <c r="D154"/>
  <c r="D156"/>
  <c r="C177"/>
  <c r="C267"/>
  <c r="G246"/>
  <c r="F186"/>
  <c r="N136"/>
  <c r="K162" s="1"/>
  <c r="E213" l="1"/>
  <c r="F213" s="1"/>
  <c r="G213" s="1"/>
  <c r="C214" s="1"/>
  <c r="E207"/>
  <c r="F200"/>
  <c r="E177"/>
  <c r="F217"/>
  <c r="G217" s="1"/>
  <c r="C218" s="1"/>
  <c r="N151"/>
  <c r="N149"/>
  <c r="L162" s="1"/>
  <c r="C152"/>
  <c r="N152" s="1"/>
  <c r="L164" s="1"/>
  <c r="K255" s="1"/>
  <c r="E228"/>
  <c r="D228"/>
  <c r="D229"/>
  <c r="G256"/>
  <c r="G186"/>
  <c r="G267" s="1"/>
  <c r="H246"/>
  <c r="F193"/>
  <c r="F223"/>
  <c r="G223" s="1"/>
  <c r="C224" s="1"/>
  <c r="N150"/>
  <c r="L163" s="1"/>
  <c r="N153"/>
  <c r="L165" s="1"/>
  <c r="L170" s="1"/>
  <c r="C232" s="1"/>
  <c r="E214" l="1"/>
  <c r="G224"/>
  <c r="C225" s="1"/>
  <c r="E224"/>
  <c r="F224" s="1"/>
  <c r="E218"/>
  <c r="G200"/>
  <c r="F207"/>
  <c r="H256"/>
  <c r="G193"/>
  <c r="H267" s="1"/>
  <c r="F228"/>
  <c r="G228" s="1"/>
  <c r="C229" s="1"/>
  <c r="E232"/>
  <c r="D232"/>
  <c r="F232" s="1"/>
  <c r="G232" s="1"/>
  <c r="D246"/>
  <c r="F177"/>
  <c r="E229" l="1"/>
  <c r="F229" s="1"/>
  <c r="G229" s="1"/>
  <c r="G207"/>
  <c r="F218"/>
  <c r="I246"/>
  <c r="F214"/>
  <c r="D256"/>
  <c r="G177"/>
  <c r="E225"/>
  <c r="F225" s="1"/>
  <c r="G225" s="1"/>
  <c r="D267" l="1"/>
  <c r="C178"/>
  <c r="G214"/>
  <c r="I256"/>
  <c r="G218"/>
  <c r="C219" l="1"/>
  <c r="I267"/>
  <c r="E178"/>
  <c r="E246" l="1"/>
  <c r="F178"/>
  <c r="E219"/>
  <c r="E256" l="1"/>
  <c r="G178"/>
  <c r="F219"/>
  <c r="J246"/>
  <c r="E267" l="1"/>
  <c r="C179"/>
  <c r="J256"/>
  <c r="G219"/>
  <c r="E179" l="1"/>
  <c r="C220"/>
  <c r="J267"/>
  <c r="E220" l="1"/>
  <c r="F246"/>
  <c r="F179"/>
  <c r="F220" l="1"/>
  <c r="K246"/>
  <c r="F256"/>
  <c r="G179"/>
  <c r="F267" s="1"/>
  <c r="K256" l="1"/>
  <c r="G220"/>
  <c r="K267" s="1"/>
</calcChain>
</file>

<file path=xl/sharedStrings.xml><?xml version="1.0" encoding="utf-8"?>
<sst xmlns="http://schemas.openxmlformats.org/spreadsheetml/2006/main" count="163" uniqueCount="74">
  <si>
    <t>James W. Richardson</t>
  </si>
  <si>
    <t>Input Data</t>
  </si>
  <si>
    <t>Cotton Picker</t>
  </si>
  <si>
    <t>Combine</t>
  </si>
  <si>
    <t>Pickup</t>
  </si>
  <si>
    <t>Disc Harrow</t>
  </si>
  <si>
    <t>Planter</t>
  </si>
  <si>
    <t>First Year Simulated</t>
  </si>
  <si>
    <t>No. Years to Simulate</t>
  </si>
  <si>
    <t>Inflation rate New Mach</t>
  </si>
  <si>
    <t>Inflation rate Old Mach</t>
  </si>
  <si>
    <t>Year Placed in Service</t>
  </si>
  <si>
    <t>Purchase Price</t>
  </si>
  <si>
    <t>Current Market Value</t>
  </si>
  <si>
    <t>Cost of a Replacement</t>
  </si>
  <si>
    <t>Tractor</t>
  </si>
  <si>
    <t>Minimum Downpayment for Machinery Loans</t>
  </si>
  <si>
    <t>Int Rates for Mach Loans</t>
  </si>
  <si>
    <t>Minimum Downpayment</t>
  </si>
  <si>
    <t>Actual Cash Difference</t>
  </si>
  <si>
    <t>Bedder</t>
  </si>
  <si>
    <t>Drill</t>
  </si>
  <si>
    <t>Amount Financed</t>
  </si>
  <si>
    <t>Updated Replacement Cost</t>
  </si>
  <si>
    <t>Replace if 1 Not Replaced if 0</t>
  </si>
  <si>
    <t>Update Replacement Year</t>
  </si>
  <si>
    <t>Market Value Jan 1</t>
  </si>
  <si>
    <t>Cost of Replacement Jan 1</t>
  </si>
  <si>
    <t>Income Statement</t>
  </si>
  <si>
    <t>Receipts</t>
  </si>
  <si>
    <t>Expenses</t>
  </si>
  <si>
    <t>Interest New Mach Loans</t>
  </si>
  <si>
    <t xml:space="preserve">Total </t>
  </si>
  <si>
    <t>Cash Flow Statement</t>
  </si>
  <si>
    <t>Inflows</t>
  </si>
  <si>
    <t>Outflows</t>
  </si>
  <si>
    <t>Cash Difference Machinery Purchases</t>
  </si>
  <si>
    <t>Balance Sheet</t>
  </si>
  <si>
    <t>Liabilities</t>
  </si>
  <si>
    <t>Land Debt</t>
  </si>
  <si>
    <t>Assets</t>
  </si>
  <si>
    <t>Land</t>
  </si>
  <si>
    <t>Machinery</t>
  </si>
  <si>
    <t>Demonstrate where machinery enters pro forma financial statements</t>
  </si>
  <si>
    <t>Summarize Machinery Replacement</t>
  </si>
  <si>
    <t>Cash Differences</t>
  </si>
  <si>
    <t>New Loans for Machinery</t>
  </si>
  <si>
    <t>Market Value of Machinery Dec 31</t>
  </si>
  <si>
    <t>Cost of Machinery Purchased</t>
  </si>
  <si>
    <t xml:space="preserve">Value of Trade In </t>
  </si>
  <si>
    <t>Value of Trade In Machinery Jan 1</t>
  </si>
  <si>
    <t>Cost of Replacement Machinery Jan 1</t>
  </si>
  <si>
    <t xml:space="preserve">Update Market Value After Purchase </t>
  </si>
  <si>
    <t>Initial Replacement Year</t>
  </si>
  <si>
    <t>Number of Years for New Machinery Loans</t>
  </si>
  <si>
    <t>Amount Borrowed</t>
  </si>
  <si>
    <t>Length of Loans</t>
  </si>
  <si>
    <t>Interest Rates</t>
  </si>
  <si>
    <t>Year Loan Originated</t>
  </si>
  <si>
    <t>Payment</t>
  </si>
  <si>
    <t xml:space="preserve">Annual Payment </t>
  </si>
  <si>
    <t>Interest</t>
  </si>
  <si>
    <t>Debt Jan 1</t>
  </si>
  <si>
    <t>Principal Pay</t>
  </si>
  <si>
    <t>Debt Dec 31</t>
  </si>
  <si>
    <t>Principal Payments</t>
  </si>
  <si>
    <t>Total Machinery Debt</t>
  </si>
  <si>
    <t>Other Debt</t>
  </si>
  <si>
    <t>Machinery Items</t>
  </si>
  <si>
    <t>Years to be Used on Farm</t>
  </si>
  <si>
    <t>Replace Machinery in</t>
  </si>
  <si>
    <t>Amortize the New Machinery Loans</t>
  </si>
  <si>
    <t>Chapter 13</t>
  </si>
  <si>
    <t>© 2011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</si>
</sst>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5" formatCode="_(* #,##0_);_(* \(#,##0\);_(* &quot;-&quot;??_);_(@_)"/>
    <numFmt numFmtId="167" formatCode="0.000"/>
    <numFmt numFmtId="168" formatCode="_(* #,##0.000_);_(* \(#,##0.000\);_(* &quot;-&quot;??_);_(@_)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1" applyNumberFormat="1" applyFont="1"/>
    <xf numFmtId="1" fontId="0" fillId="0" borderId="0" xfId="1" applyNumberFormat="1" applyFont="1"/>
    <xf numFmtId="0" fontId="0" fillId="0" borderId="0" xfId="0" applyAlignment="1">
      <alignment horizontal="left"/>
    </xf>
    <xf numFmtId="165" fontId="0" fillId="0" borderId="0" xfId="1" applyNumberFormat="1" applyFont="1" applyAlignment="1">
      <alignment horizontal="left"/>
    </xf>
    <xf numFmtId="1" fontId="0" fillId="0" borderId="0" xfId="0" applyNumberFormat="1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/>
    <xf numFmtId="165" fontId="0" fillId="0" borderId="0" xfId="0" applyNumberFormat="1"/>
    <xf numFmtId="0" fontId="2" fillId="0" borderId="1" xfId="0" applyFont="1" applyBorder="1"/>
    <xf numFmtId="1" fontId="0" fillId="0" borderId="1" xfId="1" applyNumberFormat="1" applyFont="1" applyBorder="1"/>
    <xf numFmtId="168" fontId="0" fillId="0" borderId="0" xfId="1" applyNumberFormat="1" applyFont="1"/>
    <xf numFmtId="0" fontId="0" fillId="0" borderId="2" xfId="0" applyBorder="1"/>
    <xf numFmtId="0" fontId="0" fillId="0" borderId="3" xfId="0" applyBorder="1"/>
    <xf numFmtId="165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5" fontId="0" fillId="0" borderId="0" xfId="1" applyNumberFormat="1" applyFont="1" applyBorder="1"/>
    <xf numFmtId="0" fontId="0" fillId="0" borderId="6" xfId="0" applyBorder="1"/>
    <xf numFmtId="165" fontId="0" fillId="0" borderId="5" xfId="1" applyNumberFormat="1" applyFont="1" applyBorder="1"/>
    <xf numFmtId="1" fontId="2" fillId="0" borderId="0" xfId="1" applyNumberFormat="1" applyFont="1" applyBorder="1"/>
    <xf numFmtId="1" fontId="2" fillId="0" borderId="6" xfId="1" applyNumberFormat="1" applyFont="1" applyBorder="1"/>
    <xf numFmtId="167" fontId="0" fillId="0" borderId="0" xfId="0" applyNumberFormat="1" applyBorder="1"/>
    <xf numFmtId="167" fontId="0" fillId="0" borderId="0" xfId="1" applyNumberFormat="1" applyFont="1" applyBorder="1"/>
    <xf numFmtId="167" fontId="0" fillId="0" borderId="6" xfId="0" applyNumberFormat="1" applyBorder="1"/>
    <xf numFmtId="0" fontId="0" fillId="0" borderId="7" xfId="0" applyBorder="1"/>
    <xf numFmtId="167" fontId="0" fillId="0" borderId="1" xfId="0" applyNumberFormat="1" applyBorder="1"/>
    <xf numFmtId="167" fontId="0" fillId="0" borderId="1" xfId="1" applyNumberFormat="1" applyFont="1" applyBorder="1"/>
    <xf numFmtId="167" fontId="0" fillId="0" borderId="8" xfId="0" applyNumberFormat="1" applyBorder="1"/>
    <xf numFmtId="0" fontId="3" fillId="0" borderId="0" xfId="0" applyFont="1"/>
    <xf numFmtId="1" fontId="0" fillId="0" borderId="1" xfId="0" applyNumberFormat="1" applyBorder="1"/>
    <xf numFmtId="165" fontId="0" fillId="0" borderId="1" xfId="1" applyNumberFormat="1" applyFont="1" applyBorder="1"/>
    <xf numFmtId="165" fontId="0" fillId="0" borderId="1" xfId="0" applyNumberFormat="1" applyBorder="1"/>
    <xf numFmtId="1" fontId="0" fillId="0" borderId="3" xfId="1" applyNumberFormat="1" applyFont="1" applyBorder="1"/>
    <xf numFmtId="1" fontId="0" fillId="0" borderId="4" xfId="1" applyNumberFormat="1" applyFont="1" applyBorder="1"/>
    <xf numFmtId="0" fontId="2" fillId="0" borderId="5" xfId="0" applyFont="1" applyBorder="1"/>
    <xf numFmtId="165" fontId="0" fillId="0" borderId="6" xfId="1" applyNumberFormat="1" applyFont="1" applyBorder="1"/>
    <xf numFmtId="0" fontId="0" fillId="0" borderId="5" xfId="0" applyBorder="1" applyAlignment="1">
      <alignment horizontal="left" indent="1"/>
    </xf>
    <xf numFmtId="165" fontId="0" fillId="0" borderId="0" xfId="0" applyNumberFormat="1" applyBorder="1"/>
    <xf numFmtId="165" fontId="0" fillId="0" borderId="6" xfId="0" applyNumberFormat="1" applyBorder="1"/>
    <xf numFmtId="0" fontId="0" fillId="0" borderId="7" xfId="0" applyBorder="1" applyAlignment="1">
      <alignment horizontal="left" indent="1"/>
    </xf>
    <xf numFmtId="0" fontId="0" fillId="0" borderId="8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9"/>
  <sheetViews>
    <sheetView tabSelected="1" workbookViewId="0">
      <selection activeCell="A3" sqref="A3"/>
    </sheetView>
  </sheetViews>
  <sheetFormatPr defaultRowHeight="12.75"/>
  <cols>
    <col min="1" max="1" width="23.140625" customWidth="1"/>
    <col min="2" max="2" width="11.140625" customWidth="1"/>
    <col min="3" max="5" width="11.140625" style="1" customWidth="1"/>
    <col min="6" max="12" width="11.140625" customWidth="1"/>
    <col min="13" max="13" width="5.42578125" customWidth="1"/>
    <col min="14" max="14" width="14.7109375" customWidth="1"/>
  </cols>
  <sheetData>
    <row r="1" spans="1:13">
      <c r="A1" s="10" t="str">
        <f ca="1">_xll.WBNAME()</f>
        <v>Machinery Demo.xls</v>
      </c>
    </row>
    <row r="2" spans="1:13">
      <c r="A2" t="s">
        <v>0</v>
      </c>
    </row>
    <row r="3" spans="1:13">
      <c r="A3" t="s">
        <v>73</v>
      </c>
    </row>
    <row r="4" spans="1:13">
      <c r="A4" t="s">
        <v>72</v>
      </c>
    </row>
    <row r="6" spans="1:13" ht="13.5" thickBot="1">
      <c r="A6" s="10" t="s">
        <v>1</v>
      </c>
    </row>
    <row r="7" spans="1:13">
      <c r="A7" s="15" t="s">
        <v>7</v>
      </c>
      <c r="B7" s="16">
        <v>1999</v>
      </c>
      <c r="C7" s="17"/>
      <c r="D7" s="17"/>
      <c r="E7" s="17"/>
      <c r="F7" s="16"/>
      <c r="G7" s="16"/>
      <c r="H7" s="16"/>
      <c r="I7" s="16"/>
      <c r="J7" s="16"/>
      <c r="K7" s="18"/>
    </row>
    <row r="8" spans="1:13">
      <c r="A8" s="19" t="s">
        <v>8</v>
      </c>
      <c r="B8" s="20">
        <v>10</v>
      </c>
      <c r="C8" s="21"/>
      <c r="D8" s="21"/>
      <c r="E8" s="21"/>
      <c r="F8" s="20"/>
      <c r="G8" s="20"/>
      <c r="H8" s="20"/>
      <c r="I8" s="20"/>
      <c r="J8" s="20"/>
      <c r="K8" s="22"/>
    </row>
    <row r="9" spans="1:13">
      <c r="A9" s="23" t="s">
        <v>16</v>
      </c>
      <c r="B9" s="21"/>
      <c r="C9" s="20"/>
      <c r="D9" s="20">
        <v>0.45</v>
      </c>
      <c r="F9" s="20"/>
      <c r="G9" s="20"/>
      <c r="H9" s="20"/>
      <c r="I9" s="20"/>
      <c r="J9" s="20"/>
      <c r="K9" s="22"/>
    </row>
    <row r="10" spans="1:13">
      <c r="A10" s="23" t="s">
        <v>54</v>
      </c>
      <c r="B10" s="21"/>
      <c r="C10" s="20"/>
      <c r="D10" s="20">
        <v>5</v>
      </c>
      <c r="F10" s="20"/>
      <c r="G10" s="20"/>
      <c r="H10" s="20"/>
      <c r="I10" s="20"/>
      <c r="J10" s="20"/>
      <c r="K10" s="22"/>
    </row>
    <row r="11" spans="1:13">
      <c r="A11" s="19"/>
      <c r="B11" s="20"/>
      <c r="C11" s="21"/>
      <c r="D11" s="21"/>
      <c r="E11" s="21"/>
      <c r="F11" s="20"/>
      <c r="G11" s="20"/>
      <c r="H11" s="20"/>
      <c r="I11" s="20"/>
      <c r="J11" s="20"/>
      <c r="K11" s="22"/>
    </row>
    <row r="12" spans="1:13">
      <c r="A12" s="19"/>
      <c r="B12" s="24">
        <f>$B$7</f>
        <v>1999</v>
      </c>
      <c r="C12" s="24">
        <f t="shared" ref="C12:K12" si="0">1+B12</f>
        <v>2000</v>
      </c>
      <c r="D12" s="24">
        <f t="shared" si="0"/>
        <v>2001</v>
      </c>
      <c r="E12" s="24">
        <f t="shared" si="0"/>
        <v>2002</v>
      </c>
      <c r="F12" s="24">
        <f t="shared" si="0"/>
        <v>2003</v>
      </c>
      <c r="G12" s="24">
        <f t="shared" si="0"/>
        <v>2004</v>
      </c>
      <c r="H12" s="24">
        <f t="shared" si="0"/>
        <v>2005</v>
      </c>
      <c r="I12" s="24">
        <f t="shared" si="0"/>
        <v>2006</v>
      </c>
      <c r="J12" s="24">
        <f t="shared" si="0"/>
        <v>2007</v>
      </c>
      <c r="K12" s="25">
        <f t="shared" si="0"/>
        <v>2008</v>
      </c>
      <c r="L12" s="1"/>
      <c r="M12" s="1"/>
    </row>
    <row r="13" spans="1:13">
      <c r="A13" s="19" t="s">
        <v>9</v>
      </c>
      <c r="B13" s="26">
        <v>0</v>
      </c>
      <c r="C13" s="27">
        <v>0.03</v>
      </c>
      <c r="D13" s="27">
        <v>2.5000000000000001E-2</v>
      </c>
      <c r="E13" s="27">
        <v>2.8000000000000001E-2</v>
      </c>
      <c r="F13" s="26">
        <v>3.3000000000000002E-2</v>
      </c>
      <c r="G13" s="26">
        <v>3.5000000000000003E-2</v>
      </c>
      <c r="H13" s="26">
        <v>3.3000000000000002E-2</v>
      </c>
      <c r="I13" s="26">
        <v>3.1E-2</v>
      </c>
      <c r="J13" s="26">
        <v>2.5000000000000001E-2</v>
      </c>
      <c r="K13" s="28">
        <v>2.5000000000000001E-2</v>
      </c>
    </row>
    <row r="14" spans="1:13">
      <c r="A14" s="19" t="s">
        <v>10</v>
      </c>
      <c r="B14" s="26">
        <v>0</v>
      </c>
      <c r="C14" s="27">
        <v>-0.04</v>
      </c>
      <c r="D14" s="27">
        <v>-0.04</v>
      </c>
      <c r="E14" s="27">
        <v>-0.04</v>
      </c>
      <c r="F14" s="27">
        <v>-0.04</v>
      </c>
      <c r="G14" s="27">
        <v>-0.04</v>
      </c>
      <c r="H14" s="27">
        <v>-0.04</v>
      </c>
      <c r="I14" s="27">
        <v>-0.04</v>
      </c>
      <c r="J14" s="27">
        <v>-0.04</v>
      </c>
      <c r="K14" s="27">
        <v>-0.04</v>
      </c>
    </row>
    <row r="15" spans="1:13" ht="13.5" thickBot="1">
      <c r="A15" s="29" t="s">
        <v>17</v>
      </c>
      <c r="B15" s="30">
        <v>7.0000000000000007E-2</v>
      </c>
      <c r="C15" s="31">
        <v>7.0999999999999994E-2</v>
      </c>
      <c r="D15" s="31">
        <v>7.2999999999999995E-2</v>
      </c>
      <c r="E15" s="31">
        <v>7.0999999999999994E-2</v>
      </c>
      <c r="F15" s="30">
        <v>7.1999999999999995E-2</v>
      </c>
      <c r="G15" s="30">
        <v>7.2999999999999995E-2</v>
      </c>
      <c r="H15" s="30">
        <v>7.3999999999999996E-2</v>
      </c>
      <c r="I15" s="30">
        <v>6.9900000000000004E-2</v>
      </c>
      <c r="J15" s="30">
        <v>6.8000000000000005E-2</v>
      </c>
      <c r="K15" s="32">
        <v>7.0999999999999994E-2</v>
      </c>
    </row>
    <row r="17" spans="1:37">
      <c r="A17" s="10" t="s">
        <v>68</v>
      </c>
      <c r="C17" t="s">
        <v>15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20</v>
      </c>
      <c r="J17" t="s">
        <v>21</v>
      </c>
      <c r="K17" t="s">
        <v>15</v>
      </c>
      <c r="L17" t="s">
        <v>15</v>
      </c>
    </row>
    <row r="18" spans="1:37">
      <c r="A18" s="3" t="s">
        <v>11</v>
      </c>
      <c r="C18">
        <v>1995</v>
      </c>
      <c r="D18">
        <v>1995</v>
      </c>
      <c r="E18">
        <v>1996</v>
      </c>
      <c r="F18">
        <v>1998</v>
      </c>
      <c r="G18">
        <v>1990</v>
      </c>
      <c r="H18">
        <v>1985</v>
      </c>
      <c r="I18">
        <v>1990</v>
      </c>
      <c r="J18">
        <v>1991</v>
      </c>
      <c r="K18">
        <v>1989</v>
      </c>
      <c r="L18">
        <v>1985</v>
      </c>
    </row>
    <row r="19" spans="1:37">
      <c r="A19" s="4" t="s">
        <v>12</v>
      </c>
      <c r="C19" s="1">
        <v>65000</v>
      </c>
      <c r="D19" s="1">
        <v>110000</v>
      </c>
      <c r="E19" s="1">
        <v>125000</v>
      </c>
      <c r="F19" s="1">
        <v>35000</v>
      </c>
      <c r="G19" s="1">
        <v>25000</v>
      </c>
      <c r="H19" s="1">
        <v>8000</v>
      </c>
      <c r="I19">
        <v>12000</v>
      </c>
      <c r="J19">
        <v>23000</v>
      </c>
      <c r="K19">
        <v>29000</v>
      </c>
      <c r="L19">
        <v>35000</v>
      </c>
    </row>
    <row r="20" spans="1:37">
      <c r="A20" s="4" t="s">
        <v>13</v>
      </c>
      <c r="C20" s="1">
        <v>45000</v>
      </c>
      <c r="D20" s="1">
        <v>87000</v>
      </c>
      <c r="E20" s="1">
        <v>20000</v>
      </c>
      <c r="F20" s="1">
        <v>27000</v>
      </c>
      <c r="G20" s="1">
        <v>12000</v>
      </c>
      <c r="H20" s="1">
        <v>2000</v>
      </c>
      <c r="I20">
        <v>6000</v>
      </c>
      <c r="J20">
        <v>5000</v>
      </c>
      <c r="K20">
        <v>13000</v>
      </c>
      <c r="L20">
        <v>10000</v>
      </c>
    </row>
    <row r="21" spans="1:37">
      <c r="A21" s="4" t="s">
        <v>14</v>
      </c>
      <c r="C21" s="1">
        <v>78000</v>
      </c>
      <c r="D21" s="1">
        <v>150000</v>
      </c>
      <c r="E21" s="1">
        <v>150000</v>
      </c>
      <c r="F21" s="1">
        <v>38000</v>
      </c>
      <c r="G21" s="1">
        <v>35000</v>
      </c>
      <c r="H21" s="1">
        <v>19000</v>
      </c>
      <c r="I21">
        <v>23000</v>
      </c>
      <c r="J21">
        <v>65000</v>
      </c>
      <c r="K21">
        <v>50000</v>
      </c>
      <c r="L21">
        <v>65000</v>
      </c>
    </row>
    <row r="22" spans="1:37" ht="13.5" thickBot="1">
      <c r="A22" s="8" t="s">
        <v>69</v>
      </c>
      <c r="B22" s="9"/>
      <c r="C22" s="9">
        <v>5</v>
      </c>
      <c r="D22" s="9">
        <v>7</v>
      </c>
      <c r="E22" s="9">
        <v>8</v>
      </c>
      <c r="F22" s="9">
        <v>9</v>
      </c>
      <c r="G22" s="9">
        <v>10</v>
      </c>
      <c r="H22" s="9">
        <v>11</v>
      </c>
      <c r="I22" s="9">
        <v>12</v>
      </c>
      <c r="J22" s="9">
        <v>13</v>
      </c>
      <c r="K22" s="9">
        <v>15</v>
      </c>
      <c r="L22" s="9">
        <v>12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>
      <c r="A23" s="3"/>
      <c r="C23"/>
      <c r="D23"/>
      <c r="E23"/>
    </row>
    <row r="24" spans="1:37">
      <c r="A24" s="3"/>
      <c r="C24"/>
      <c r="D24"/>
      <c r="E24"/>
    </row>
    <row r="25" spans="1:37">
      <c r="A25" s="3" t="s">
        <v>53</v>
      </c>
      <c r="C25">
        <f t="shared" ref="C25:L25" si="1">C18+C22</f>
        <v>2000</v>
      </c>
      <c r="D25">
        <f t="shared" si="1"/>
        <v>2002</v>
      </c>
      <c r="E25">
        <f t="shared" si="1"/>
        <v>2004</v>
      </c>
      <c r="F25">
        <f t="shared" si="1"/>
        <v>2007</v>
      </c>
      <c r="G25">
        <f t="shared" si="1"/>
        <v>2000</v>
      </c>
      <c r="H25">
        <f t="shared" si="1"/>
        <v>1996</v>
      </c>
      <c r="I25">
        <f t="shared" si="1"/>
        <v>2002</v>
      </c>
      <c r="J25">
        <f t="shared" si="1"/>
        <v>2004</v>
      </c>
      <c r="K25">
        <f t="shared" si="1"/>
        <v>2004</v>
      </c>
      <c r="L25">
        <f t="shared" si="1"/>
        <v>1997</v>
      </c>
    </row>
    <row r="26" spans="1:37">
      <c r="A26" s="3"/>
      <c r="C26"/>
      <c r="D26"/>
      <c r="E26"/>
    </row>
    <row r="27" spans="1:37">
      <c r="A27" s="7"/>
    </row>
    <row r="28" spans="1:37">
      <c r="A28" s="10" t="s">
        <v>70</v>
      </c>
      <c r="B28" s="6">
        <f>B12</f>
        <v>1999</v>
      </c>
      <c r="N28" s="5">
        <f>B28</f>
        <v>1999</v>
      </c>
    </row>
    <row r="29" spans="1:37">
      <c r="A29" t="s">
        <v>26</v>
      </c>
      <c r="C29" s="1">
        <f t="shared" ref="C29:L29" si="2">C20*(1+$B$14)</f>
        <v>45000</v>
      </c>
      <c r="D29" s="1">
        <f t="shared" si="2"/>
        <v>87000</v>
      </c>
      <c r="E29" s="1">
        <f t="shared" si="2"/>
        <v>20000</v>
      </c>
      <c r="F29" s="1">
        <f t="shared" si="2"/>
        <v>27000</v>
      </c>
      <c r="G29" s="1">
        <f t="shared" si="2"/>
        <v>12000</v>
      </c>
      <c r="H29" s="1">
        <f t="shared" si="2"/>
        <v>2000</v>
      </c>
      <c r="I29" s="1">
        <f t="shared" si="2"/>
        <v>6000</v>
      </c>
      <c r="J29" s="1">
        <f t="shared" si="2"/>
        <v>5000</v>
      </c>
      <c r="K29" s="1">
        <f t="shared" si="2"/>
        <v>13000</v>
      </c>
      <c r="L29" s="1">
        <f t="shared" si="2"/>
        <v>10000</v>
      </c>
      <c r="M29" s="1"/>
      <c r="N29" s="11"/>
    </row>
    <row r="30" spans="1:37">
      <c r="A30" t="s">
        <v>27</v>
      </c>
      <c r="C30" s="1">
        <f t="shared" ref="C30:L30" si="3">C21*(1+$B$14)</f>
        <v>78000</v>
      </c>
      <c r="D30" s="1">
        <f t="shared" si="3"/>
        <v>150000</v>
      </c>
      <c r="E30" s="1">
        <f t="shared" si="3"/>
        <v>150000</v>
      </c>
      <c r="F30" s="1">
        <f t="shared" si="3"/>
        <v>38000</v>
      </c>
      <c r="G30" s="1">
        <f t="shared" si="3"/>
        <v>35000</v>
      </c>
      <c r="H30" s="1">
        <f t="shared" si="3"/>
        <v>19000</v>
      </c>
      <c r="I30" s="1">
        <f t="shared" si="3"/>
        <v>23000</v>
      </c>
      <c r="J30" s="1">
        <f t="shared" si="3"/>
        <v>65000</v>
      </c>
      <c r="K30" s="1">
        <f t="shared" si="3"/>
        <v>50000</v>
      </c>
      <c r="L30" s="1">
        <f t="shared" si="3"/>
        <v>65000</v>
      </c>
      <c r="M30" s="1"/>
      <c r="N30" s="11"/>
    </row>
    <row r="31" spans="1:37">
      <c r="A31" t="s">
        <v>24</v>
      </c>
      <c r="C31" s="1">
        <f t="shared" ref="C31:L31" si="4">IF($B$28&gt;=C$25,1,0)</f>
        <v>0</v>
      </c>
      <c r="D31" s="1">
        <f t="shared" si="4"/>
        <v>0</v>
      </c>
      <c r="E31" s="1">
        <f t="shared" si="4"/>
        <v>0</v>
      </c>
      <c r="F31" s="1">
        <f t="shared" si="4"/>
        <v>0</v>
      </c>
      <c r="G31" s="1">
        <f t="shared" si="4"/>
        <v>0</v>
      </c>
      <c r="H31" s="1">
        <f t="shared" si="4"/>
        <v>1</v>
      </c>
      <c r="I31" s="1">
        <f t="shared" si="4"/>
        <v>0</v>
      </c>
      <c r="J31" s="1">
        <f t="shared" si="4"/>
        <v>0</v>
      </c>
      <c r="K31" s="1">
        <f t="shared" si="4"/>
        <v>0</v>
      </c>
      <c r="L31" s="1">
        <f t="shared" si="4"/>
        <v>1</v>
      </c>
      <c r="M31" s="1"/>
      <c r="N31" s="11"/>
    </row>
    <row r="32" spans="1:37">
      <c r="A32" t="s">
        <v>48</v>
      </c>
      <c r="C32" s="1">
        <f t="shared" ref="C32:L32" si="5">IF(C31=1,C30,0)</f>
        <v>0</v>
      </c>
      <c r="D32" s="1">
        <f t="shared" si="5"/>
        <v>0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19000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65000</v>
      </c>
      <c r="M32" s="1"/>
      <c r="N32" s="11">
        <f t="shared" ref="N32:N38" si="6">SUM(C32:L32)</f>
        <v>84000</v>
      </c>
    </row>
    <row r="33" spans="1:14">
      <c r="A33" t="s">
        <v>49</v>
      </c>
      <c r="C33" s="1">
        <f t="shared" ref="C33:L33" si="7">IF(C31=1,C29,0)</f>
        <v>0</v>
      </c>
      <c r="D33" s="1">
        <f t="shared" si="7"/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2000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10000</v>
      </c>
      <c r="M33" s="1"/>
      <c r="N33" s="11">
        <f t="shared" si="6"/>
        <v>12000</v>
      </c>
    </row>
    <row r="34" spans="1:14">
      <c r="A34" t="s">
        <v>18</v>
      </c>
      <c r="C34" s="1">
        <f t="shared" ref="C34:L34" si="8">IF(C31=1,C30*$D$9,0)</f>
        <v>0</v>
      </c>
      <c r="D34" s="1">
        <f t="shared" si="8"/>
        <v>0</v>
      </c>
      <c r="E34" s="1">
        <f t="shared" si="8"/>
        <v>0</v>
      </c>
      <c r="F34" s="1">
        <f t="shared" si="8"/>
        <v>0</v>
      </c>
      <c r="G34" s="1">
        <f t="shared" si="8"/>
        <v>0</v>
      </c>
      <c r="H34" s="1">
        <f t="shared" si="8"/>
        <v>8550</v>
      </c>
      <c r="I34" s="1">
        <f t="shared" si="8"/>
        <v>0</v>
      </c>
      <c r="J34" s="1">
        <f t="shared" si="8"/>
        <v>0</v>
      </c>
      <c r="K34" s="1">
        <f t="shared" si="8"/>
        <v>0</v>
      </c>
      <c r="L34" s="1">
        <f t="shared" si="8"/>
        <v>29250</v>
      </c>
      <c r="M34" s="1"/>
      <c r="N34" s="11">
        <f t="shared" si="6"/>
        <v>37800</v>
      </c>
    </row>
    <row r="35" spans="1:14">
      <c r="A35" t="s">
        <v>19</v>
      </c>
      <c r="C35" s="1">
        <f t="shared" ref="C35:L35" si="9">IF(AND(C31=1,C34&gt;C29),C34-C29,0)</f>
        <v>0</v>
      </c>
      <c r="D35" s="1">
        <f t="shared" si="9"/>
        <v>0</v>
      </c>
      <c r="E35" s="1">
        <f t="shared" si="9"/>
        <v>0</v>
      </c>
      <c r="F35" s="1">
        <f t="shared" si="9"/>
        <v>0</v>
      </c>
      <c r="G35" s="1">
        <f t="shared" si="9"/>
        <v>0</v>
      </c>
      <c r="H35" s="1">
        <f t="shared" si="9"/>
        <v>6550</v>
      </c>
      <c r="I35" s="1">
        <f t="shared" si="9"/>
        <v>0</v>
      </c>
      <c r="J35" s="1">
        <f t="shared" si="9"/>
        <v>0</v>
      </c>
      <c r="K35" s="1">
        <f t="shared" si="9"/>
        <v>0</v>
      </c>
      <c r="L35" s="1">
        <f t="shared" si="9"/>
        <v>19250</v>
      </c>
      <c r="M35" s="1"/>
      <c r="N35" s="11">
        <f t="shared" si="6"/>
        <v>25800</v>
      </c>
    </row>
    <row r="36" spans="1:14">
      <c r="A36" t="s">
        <v>22</v>
      </c>
      <c r="C36" s="1">
        <f t="shared" ref="C36:L36" si="10">IF(C31=1,IF(C29&gt;C34,(C30-C29),(C30-C34)),0)</f>
        <v>0</v>
      </c>
      <c r="D36" s="1">
        <f t="shared" si="10"/>
        <v>0</v>
      </c>
      <c r="E36" s="1">
        <f t="shared" si="10"/>
        <v>0</v>
      </c>
      <c r="F36" s="1">
        <f t="shared" si="10"/>
        <v>0</v>
      </c>
      <c r="G36" s="1">
        <f t="shared" si="10"/>
        <v>0</v>
      </c>
      <c r="H36" s="1">
        <f t="shared" si="10"/>
        <v>10450</v>
      </c>
      <c r="I36" s="1">
        <f t="shared" si="10"/>
        <v>0</v>
      </c>
      <c r="J36" s="1">
        <f t="shared" si="10"/>
        <v>0</v>
      </c>
      <c r="K36" s="1">
        <f t="shared" si="10"/>
        <v>0</v>
      </c>
      <c r="L36" s="1">
        <f t="shared" si="10"/>
        <v>35750</v>
      </c>
      <c r="M36" s="1"/>
      <c r="N36" s="11">
        <f t="shared" si="6"/>
        <v>46200</v>
      </c>
    </row>
    <row r="37" spans="1:14">
      <c r="A37" t="s">
        <v>52</v>
      </c>
      <c r="C37" s="1">
        <f t="shared" ref="C37:L37" si="11">IF(C31=1,C30,C29)</f>
        <v>45000</v>
      </c>
      <c r="D37" s="1">
        <f t="shared" si="11"/>
        <v>87000</v>
      </c>
      <c r="E37" s="1">
        <f t="shared" si="11"/>
        <v>20000</v>
      </c>
      <c r="F37" s="1">
        <f t="shared" si="11"/>
        <v>27000</v>
      </c>
      <c r="G37" s="1">
        <f t="shared" si="11"/>
        <v>12000</v>
      </c>
      <c r="H37" s="1">
        <f t="shared" si="11"/>
        <v>19000</v>
      </c>
      <c r="I37" s="1">
        <f t="shared" si="11"/>
        <v>6000</v>
      </c>
      <c r="J37" s="1">
        <f t="shared" si="11"/>
        <v>5000</v>
      </c>
      <c r="K37" s="1">
        <f t="shared" si="11"/>
        <v>13000</v>
      </c>
      <c r="L37" s="1">
        <f t="shared" si="11"/>
        <v>65000</v>
      </c>
      <c r="M37" s="1"/>
      <c r="N37" s="11">
        <f t="shared" si="6"/>
        <v>299000</v>
      </c>
    </row>
    <row r="38" spans="1:14">
      <c r="A38" t="s">
        <v>23</v>
      </c>
      <c r="C38" s="1">
        <f t="shared" ref="C38:L38" si="12">C30</f>
        <v>78000</v>
      </c>
      <c r="D38" s="1">
        <f t="shared" si="12"/>
        <v>150000</v>
      </c>
      <c r="E38" s="1">
        <f t="shared" si="12"/>
        <v>150000</v>
      </c>
      <c r="F38" s="1">
        <f t="shared" si="12"/>
        <v>38000</v>
      </c>
      <c r="G38" s="1">
        <f t="shared" si="12"/>
        <v>35000</v>
      </c>
      <c r="H38" s="1">
        <f t="shared" si="12"/>
        <v>19000</v>
      </c>
      <c r="I38" s="1">
        <f t="shared" si="12"/>
        <v>23000</v>
      </c>
      <c r="J38" s="1">
        <f t="shared" si="12"/>
        <v>65000</v>
      </c>
      <c r="K38" s="1">
        <f t="shared" si="12"/>
        <v>50000</v>
      </c>
      <c r="L38" s="1">
        <f t="shared" si="12"/>
        <v>65000</v>
      </c>
      <c r="M38" s="1"/>
      <c r="N38" s="11">
        <f t="shared" si="6"/>
        <v>673000</v>
      </c>
    </row>
    <row r="39" spans="1:14">
      <c r="A39" t="s">
        <v>25</v>
      </c>
      <c r="C39" s="2">
        <f t="shared" ref="C39:L39" si="13">IF(C31=1,$B28+C$22,C25)</f>
        <v>2000</v>
      </c>
      <c r="D39" s="2">
        <f t="shared" si="13"/>
        <v>2002</v>
      </c>
      <c r="E39" s="2">
        <f t="shared" si="13"/>
        <v>2004</v>
      </c>
      <c r="F39" s="2">
        <f t="shared" si="13"/>
        <v>2007</v>
      </c>
      <c r="G39" s="2">
        <f t="shared" si="13"/>
        <v>2000</v>
      </c>
      <c r="H39" s="2">
        <f t="shared" si="13"/>
        <v>2010</v>
      </c>
      <c r="I39" s="2">
        <f t="shared" si="13"/>
        <v>2002</v>
      </c>
      <c r="J39" s="2">
        <f t="shared" si="13"/>
        <v>2004</v>
      </c>
      <c r="K39" s="2">
        <f t="shared" si="13"/>
        <v>2004</v>
      </c>
      <c r="L39" s="2">
        <f t="shared" si="13"/>
        <v>2011</v>
      </c>
      <c r="M39" s="2"/>
    </row>
    <row r="40" spans="1:14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4">
      <c r="A41" s="10" t="str">
        <f t="shared" ref="A41:A52" si="14">A28</f>
        <v>Replace Machinery in</v>
      </c>
      <c r="B41" s="6">
        <f>C12</f>
        <v>2000</v>
      </c>
      <c r="N41" s="5">
        <f>B41</f>
        <v>2000</v>
      </c>
    </row>
    <row r="42" spans="1:14">
      <c r="A42" t="str">
        <f t="shared" si="14"/>
        <v>Market Value Jan 1</v>
      </c>
      <c r="C42" s="1">
        <f t="shared" ref="C42:L42" si="15">C37*(1+$C$14)</f>
        <v>43200</v>
      </c>
      <c r="D42" s="1">
        <f t="shared" si="15"/>
        <v>83520</v>
      </c>
      <c r="E42" s="1">
        <f t="shared" si="15"/>
        <v>19200</v>
      </c>
      <c r="F42" s="1">
        <f t="shared" si="15"/>
        <v>25920</v>
      </c>
      <c r="G42" s="1">
        <f t="shared" si="15"/>
        <v>11520</v>
      </c>
      <c r="H42" s="1">
        <f t="shared" si="15"/>
        <v>18240</v>
      </c>
      <c r="I42" s="1">
        <f t="shared" si="15"/>
        <v>5760</v>
      </c>
      <c r="J42" s="1">
        <f t="shared" si="15"/>
        <v>4800</v>
      </c>
      <c r="K42" s="1">
        <f t="shared" si="15"/>
        <v>12480</v>
      </c>
      <c r="L42" s="1">
        <f t="shared" si="15"/>
        <v>62400</v>
      </c>
      <c r="M42" s="1"/>
      <c r="N42" s="11"/>
    </row>
    <row r="43" spans="1:14">
      <c r="A43" t="str">
        <f t="shared" si="14"/>
        <v>Cost of Replacement Jan 1</v>
      </c>
      <c r="C43" s="1">
        <f t="shared" ref="C43:L43" si="16">C38*(1+$C$13)</f>
        <v>80340</v>
      </c>
      <c r="D43" s="1">
        <f t="shared" si="16"/>
        <v>154500</v>
      </c>
      <c r="E43" s="1">
        <f t="shared" si="16"/>
        <v>154500</v>
      </c>
      <c r="F43" s="1">
        <f t="shared" si="16"/>
        <v>39140</v>
      </c>
      <c r="G43" s="1">
        <f t="shared" si="16"/>
        <v>36050</v>
      </c>
      <c r="H43" s="1">
        <f t="shared" si="16"/>
        <v>19570</v>
      </c>
      <c r="I43" s="1">
        <f t="shared" si="16"/>
        <v>23690</v>
      </c>
      <c r="J43" s="1">
        <f t="shared" si="16"/>
        <v>66950</v>
      </c>
      <c r="K43" s="1">
        <f t="shared" si="16"/>
        <v>51500</v>
      </c>
      <c r="L43" s="1">
        <f t="shared" si="16"/>
        <v>66950</v>
      </c>
      <c r="M43" s="1"/>
      <c r="N43" s="11"/>
    </row>
    <row r="44" spans="1:14">
      <c r="A44" t="str">
        <f t="shared" si="14"/>
        <v>Replace if 1 Not Replaced if 0</v>
      </c>
      <c r="C44" s="1">
        <f t="shared" ref="C44:L44" si="17">IF($B41=C39,1,0)</f>
        <v>1</v>
      </c>
      <c r="D44" s="1">
        <f t="shared" si="17"/>
        <v>0</v>
      </c>
      <c r="E44" s="1">
        <f t="shared" si="17"/>
        <v>0</v>
      </c>
      <c r="F44" s="1">
        <f t="shared" si="17"/>
        <v>0</v>
      </c>
      <c r="G44" s="1">
        <f t="shared" si="17"/>
        <v>1</v>
      </c>
      <c r="H44" s="1">
        <f t="shared" si="17"/>
        <v>0</v>
      </c>
      <c r="I44" s="1">
        <f t="shared" si="17"/>
        <v>0</v>
      </c>
      <c r="J44" s="1">
        <f t="shared" si="17"/>
        <v>0</v>
      </c>
      <c r="K44" s="1">
        <f t="shared" si="17"/>
        <v>0</v>
      </c>
      <c r="L44" s="1">
        <f t="shared" si="17"/>
        <v>0</v>
      </c>
      <c r="M44" s="1"/>
      <c r="N44" s="11"/>
    </row>
    <row r="45" spans="1:14">
      <c r="A45" t="str">
        <f t="shared" si="14"/>
        <v>Cost of Machinery Purchased</v>
      </c>
      <c r="C45" s="1">
        <f t="shared" ref="C45:L45" si="18">IF(C44=1,C43,0)</f>
        <v>80340</v>
      </c>
      <c r="D45" s="1">
        <f t="shared" si="18"/>
        <v>0</v>
      </c>
      <c r="E45" s="1">
        <f t="shared" si="18"/>
        <v>0</v>
      </c>
      <c r="F45" s="1">
        <f t="shared" si="18"/>
        <v>0</v>
      </c>
      <c r="G45" s="1">
        <f t="shared" si="18"/>
        <v>36050</v>
      </c>
      <c r="H45" s="1">
        <f t="shared" si="18"/>
        <v>0</v>
      </c>
      <c r="I45" s="1">
        <f t="shared" si="18"/>
        <v>0</v>
      </c>
      <c r="J45" s="1">
        <f t="shared" si="18"/>
        <v>0</v>
      </c>
      <c r="K45" s="1">
        <f t="shared" si="18"/>
        <v>0</v>
      </c>
      <c r="L45" s="1">
        <f t="shared" si="18"/>
        <v>0</v>
      </c>
      <c r="M45" s="1"/>
      <c r="N45" s="11">
        <f t="shared" ref="N45:N51" si="19">SUM(C45:L45)</f>
        <v>116390</v>
      </c>
    </row>
    <row r="46" spans="1:14">
      <c r="A46" t="str">
        <f t="shared" si="14"/>
        <v xml:space="preserve">Value of Trade In </v>
      </c>
      <c r="C46" s="1">
        <f t="shared" ref="C46:L46" si="20">IF(C44=1,C42,0)</f>
        <v>43200</v>
      </c>
      <c r="D46" s="1">
        <f t="shared" si="20"/>
        <v>0</v>
      </c>
      <c r="E46" s="1">
        <f t="shared" si="20"/>
        <v>0</v>
      </c>
      <c r="F46" s="1">
        <f t="shared" si="20"/>
        <v>0</v>
      </c>
      <c r="G46" s="1">
        <f t="shared" si="20"/>
        <v>11520</v>
      </c>
      <c r="H46" s="1">
        <f t="shared" si="20"/>
        <v>0</v>
      </c>
      <c r="I46" s="1">
        <f t="shared" si="20"/>
        <v>0</v>
      </c>
      <c r="J46" s="1">
        <f t="shared" si="20"/>
        <v>0</v>
      </c>
      <c r="K46" s="1">
        <f t="shared" si="20"/>
        <v>0</v>
      </c>
      <c r="L46" s="1">
        <f t="shared" si="20"/>
        <v>0</v>
      </c>
      <c r="M46" s="1"/>
      <c r="N46" s="11">
        <f t="shared" si="19"/>
        <v>54720</v>
      </c>
    </row>
    <row r="47" spans="1:14">
      <c r="A47" t="str">
        <f t="shared" si="14"/>
        <v>Minimum Downpayment</v>
      </c>
      <c r="C47" s="1">
        <f t="shared" ref="C47:L47" si="21">IF(C44=1,C43*$D$9,0)</f>
        <v>36153</v>
      </c>
      <c r="D47" s="1">
        <f t="shared" si="21"/>
        <v>0</v>
      </c>
      <c r="E47" s="1">
        <f t="shared" si="21"/>
        <v>0</v>
      </c>
      <c r="F47" s="1">
        <f t="shared" si="21"/>
        <v>0</v>
      </c>
      <c r="G47" s="1">
        <f t="shared" si="21"/>
        <v>16222.5</v>
      </c>
      <c r="H47" s="1">
        <f t="shared" si="21"/>
        <v>0</v>
      </c>
      <c r="I47" s="1">
        <f t="shared" si="21"/>
        <v>0</v>
      </c>
      <c r="J47" s="1">
        <f t="shared" si="21"/>
        <v>0</v>
      </c>
      <c r="K47" s="1">
        <f t="shared" si="21"/>
        <v>0</v>
      </c>
      <c r="L47" s="1">
        <f t="shared" si="21"/>
        <v>0</v>
      </c>
      <c r="M47" s="1"/>
      <c r="N47" s="11">
        <f t="shared" si="19"/>
        <v>52375.5</v>
      </c>
    </row>
    <row r="48" spans="1:14">
      <c r="A48" t="str">
        <f t="shared" si="14"/>
        <v>Actual Cash Difference</v>
      </c>
      <c r="C48" s="1">
        <f t="shared" ref="C48:L48" si="22">IF(AND(C44=1,C47&gt;C42),C47-C42,0)</f>
        <v>0</v>
      </c>
      <c r="D48" s="1">
        <f t="shared" si="22"/>
        <v>0</v>
      </c>
      <c r="E48" s="1">
        <f t="shared" si="22"/>
        <v>0</v>
      </c>
      <c r="F48" s="1">
        <f t="shared" si="22"/>
        <v>0</v>
      </c>
      <c r="G48" s="1">
        <f t="shared" si="22"/>
        <v>4702.5</v>
      </c>
      <c r="H48" s="1">
        <f t="shared" si="22"/>
        <v>0</v>
      </c>
      <c r="I48" s="1">
        <f t="shared" si="22"/>
        <v>0</v>
      </c>
      <c r="J48" s="1">
        <f t="shared" si="22"/>
        <v>0</v>
      </c>
      <c r="K48" s="1">
        <f t="shared" si="22"/>
        <v>0</v>
      </c>
      <c r="L48" s="1">
        <f t="shared" si="22"/>
        <v>0</v>
      </c>
      <c r="M48" s="1"/>
      <c r="N48" s="11">
        <f t="shared" si="19"/>
        <v>4702.5</v>
      </c>
    </row>
    <row r="49" spans="1:14">
      <c r="A49" t="str">
        <f t="shared" si="14"/>
        <v>Amount Financed</v>
      </c>
      <c r="C49" s="1">
        <f t="shared" ref="C49:L49" si="23">IF(C44=1,IF(C42&gt;C47,(C43-C42),(C43-C47)),0)</f>
        <v>37140</v>
      </c>
      <c r="D49" s="1">
        <f t="shared" si="23"/>
        <v>0</v>
      </c>
      <c r="E49" s="1">
        <f t="shared" si="23"/>
        <v>0</v>
      </c>
      <c r="F49" s="1">
        <f t="shared" si="23"/>
        <v>0</v>
      </c>
      <c r="G49" s="1">
        <f t="shared" si="23"/>
        <v>19827.5</v>
      </c>
      <c r="H49" s="1">
        <f t="shared" si="23"/>
        <v>0</v>
      </c>
      <c r="I49" s="1">
        <f t="shared" si="23"/>
        <v>0</v>
      </c>
      <c r="J49" s="1">
        <f t="shared" si="23"/>
        <v>0</v>
      </c>
      <c r="K49" s="1">
        <f t="shared" si="23"/>
        <v>0</v>
      </c>
      <c r="L49" s="1">
        <f t="shared" si="23"/>
        <v>0</v>
      </c>
      <c r="M49" s="1"/>
      <c r="N49" s="11">
        <f t="shared" si="19"/>
        <v>56967.5</v>
      </c>
    </row>
    <row r="50" spans="1:14">
      <c r="A50" t="str">
        <f t="shared" si="14"/>
        <v xml:space="preserve">Update Market Value After Purchase </v>
      </c>
      <c r="C50" s="1">
        <f t="shared" ref="C50:L50" si="24">IF(C44=1,C43,C42)</f>
        <v>80340</v>
      </c>
      <c r="D50" s="1">
        <f t="shared" si="24"/>
        <v>83520</v>
      </c>
      <c r="E50" s="1">
        <f t="shared" si="24"/>
        <v>19200</v>
      </c>
      <c r="F50" s="1">
        <f t="shared" si="24"/>
        <v>25920</v>
      </c>
      <c r="G50" s="1">
        <f t="shared" si="24"/>
        <v>36050</v>
      </c>
      <c r="H50" s="1">
        <f t="shared" si="24"/>
        <v>18240</v>
      </c>
      <c r="I50" s="1">
        <f t="shared" si="24"/>
        <v>5760</v>
      </c>
      <c r="J50" s="1">
        <f t="shared" si="24"/>
        <v>4800</v>
      </c>
      <c r="K50" s="1">
        <f t="shared" si="24"/>
        <v>12480</v>
      </c>
      <c r="L50" s="1">
        <f t="shared" si="24"/>
        <v>62400</v>
      </c>
      <c r="M50" s="1"/>
      <c r="N50" s="11">
        <f t="shared" si="19"/>
        <v>348710</v>
      </c>
    </row>
    <row r="51" spans="1:14">
      <c r="A51" t="str">
        <f t="shared" si="14"/>
        <v>Updated Replacement Cost</v>
      </c>
      <c r="C51" s="1">
        <f t="shared" ref="C51:L51" si="25">C43</f>
        <v>80340</v>
      </c>
      <c r="D51" s="1">
        <f t="shared" si="25"/>
        <v>154500</v>
      </c>
      <c r="E51" s="1">
        <f t="shared" si="25"/>
        <v>154500</v>
      </c>
      <c r="F51" s="1">
        <f t="shared" si="25"/>
        <v>39140</v>
      </c>
      <c r="G51" s="1">
        <f t="shared" si="25"/>
        <v>36050</v>
      </c>
      <c r="H51" s="1">
        <f t="shared" si="25"/>
        <v>19570</v>
      </c>
      <c r="I51" s="1">
        <f t="shared" si="25"/>
        <v>23690</v>
      </c>
      <c r="J51" s="1">
        <f t="shared" si="25"/>
        <v>66950</v>
      </c>
      <c r="K51" s="1">
        <f t="shared" si="25"/>
        <v>51500</v>
      </c>
      <c r="L51" s="1">
        <f t="shared" si="25"/>
        <v>66950</v>
      </c>
      <c r="M51" s="1"/>
      <c r="N51" s="11">
        <f t="shared" si="19"/>
        <v>693190</v>
      </c>
    </row>
    <row r="52" spans="1:14">
      <c r="A52" t="str">
        <f t="shared" si="14"/>
        <v>Update Replacement Year</v>
      </c>
      <c r="C52" s="2">
        <f t="shared" ref="C52:L52" si="26">IF(C44=1,$B41+C$22,C39)</f>
        <v>2005</v>
      </c>
      <c r="D52" s="2">
        <f t="shared" si="26"/>
        <v>2002</v>
      </c>
      <c r="E52" s="2">
        <f t="shared" si="26"/>
        <v>2004</v>
      </c>
      <c r="F52" s="2">
        <f t="shared" si="26"/>
        <v>2007</v>
      </c>
      <c r="G52" s="2">
        <f t="shared" si="26"/>
        <v>2010</v>
      </c>
      <c r="H52" s="2">
        <f t="shared" si="26"/>
        <v>2010</v>
      </c>
      <c r="I52" s="2">
        <f t="shared" si="26"/>
        <v>2002</v>
      </c>
      <c r="J52" s="2">
        <f t="shared" si="26"/>
        <v>2004</v>
      </c>
      <c r="K52" s="2">
        <f t="shared" si="26"/>
        <v>2004</v>
      </c>
      <c r="L52" s="2">
        <f t="shared" si="26"/>
        <v>2011</v>
      </c>
      <c r="M52" s="2"/>
    </row>
    <row r="53" spans="1:14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4">
      <c r="A54" s="10" t="str">
        <f>A28</f>
        <v>Replace Machinery in</v>
      </c>
      <c r="B54" s="6">
        <f>D12</f>
        <v>2001</v>
      </c>
      <c r="N54" s="5">
        <f>B54</f>
        <v>2001</v>
      </c>
    </row>
    <row r="55" spans="1:14">
      <c r="A55" t="str">
        <f t="shared" ref="A55:A65" si="27">A42</f>
        <v>Market Value Jan 1</v>
      </c>
      <c r="C55" s="1">
        <f t="shared" ref="C55:L55" si="28">C50*(1+$D$14)</f>
        <v>77126.399999999994</v>
      </c>
      <c r="D55" s="1">
        <f t="shared" si="28"/>
        <v>80179.199999999997</v>
      </c>
      <c r="E55" s="1">
        <f t="shared" si="28"/>
        <v>18432</v>
      </c>
      <c r="F55" s="1">
        <f t="shared" si="28"/>
        <v>24883.200000000001</v>
      </c>
      <c r="G55" s="1">
        <f t="shared" si="28"/>
        <v>34608</v>
      </c>
      <c r="H55" s="1">
        <f t="shared" si="28"/>
        <v>17510.399999999998</v>
      </c>
      <c r="I55" s="1">
        <f t="shared" si="28"/>
        <v>5529.5999999999995</v>
      </c>
      <c r="J55" s="1">
        <f t="shared" si="28"/>
        <v>4608</v>
      </c>
      <c r="K55" s="1">
        <f t="shared" si="28"/>
        <v>11980.8</v>
      </c>
      <c r="L55" s="1">
        <f t="shared" si="28"/>
        <v>59904</v>
      </c>
      <c r="M55" s="1"/>
      <c r="N55" s="11"/>
    </row>
    <row r="56" spans="1:14">
      <c r="A56" t="str">
        <f t="shared" si="27"/>
        <v>Cost of Replacement Jan 1</v>
      </c>
      <c r="C56" s="1">
        <f t="shared" ref="C56:L56" si="29">C51*(1+$D$13)</f>
        <v>82348.5</v>
      </c>
      <c r="D56" s="1">
        <f t="shared" si="29"/>
        <v>158362.5</v>
      </c>
      <c r="E56" s="1">
        <f t="shared" si="29"/>
        <v>158362.5</v>
      </c>
      <c r="F56" s="1">
        <f t="shared" si="29"/>
        <v>40118.5</v>
      </c>
      <c r="G56" s="1">
        <f t="shared" si="29"/>
        <v>36951.25</v>
      </c>
      <c r="H56" s="1">
        <f t="shared" si="29"/>
        <v>20059.25</v>
      </c>
      <c r="I56" s="1">
        <f t="shared" si="29"/>
        <v>24282.249999999996</v>
      </c>
      <c r="J56" s="1">
        <f t="shared" si="29"/>
        <v>68623.75</v>
      </c>
      <c r="K56" s="1">
        <f t="shared" si="29"/>
        <v>52787.499999999993</v>
      </c>
      <c r="L56" s="1">
        <f t="shared" si="29"/>
        <v>68623.75</v>
      </c>
      <c r="M56" s="1"/>
      <c r="N56" s="11"/>
    </row>
    <row r="57" spans="1:14">
      <c r="A57" t="str">
        <f t="shared" si="27"/>
        <v>Replace if 1 Not Replaced if 0</v>
      </c>
      <c r="C57" s="1">
        <f t="shared" ref="C57:L57" si="30">IF($B54=C52,1,0)</f>
        <v>0</v>
      </c>
      <c r="D57" s="1">
        <f t="shared" si="30"/>
        <v>0</v>
      </c>
      <c r="E57" s="1">
        <f t="shared" si="30"/>
        <v>0</v>
      </c>
      <c r="F57" s="1">
        <f t="shared" si="30"/>
        <v>0</v>
      </c>
      <c r="G57" s="1">
        <f t="shared" si="30"/>
        <v>0</v>
      </c>
      <c r="H57" s="1">
        <f t="shared" si="30"/>
        <v>0</v>
      </c>
      <c r="I57" s="1">
        <f t="shared" si="30"/>
        <v>0</v>
      </c>
      <c r="J57" s="1">
        <f t="shared" si="30"/>
        <v>0</v>
      </c>
      <c r="K57" s="1">
        <f t="shared" si="30"/>
        <v>0</v>
      </c>
      <c r="L57" s="1">
        <f t="shared" si="30"/>
        <v>0</v>
      </c>
      <c r="M57" s="1"/>
      <c r="N57" s="11"/>
    </row>
    <row r="58" spans="1:14">
      <c r="A58" t="str">
        <f t="shared" si="27"/>
        <v>Cost of Machinery Purchased</v>
      </c>
      <c r="C58" s="1">
        <f t="shared" ref="C58:L58" si="31">IF(C57=1,C56,0)</f>
        <v>0</v>
      </c>
      <c r="D58" s="1">
        <f t="shared" si="31"/>
        <v>0</v>
      </c>
      <c r="E58" s="1">
        <f t="shared" si="31"/>
        <v>0</v>
      </c>
      <c r="F58" s="1">
        <f t="shared" si="31"/>
        <v>0</v>
      </c>
      <c r="G58" s="1">
        <f t="shared" si="31"/>
        <v>0</v>
      </c>
      <c r="H58" s="1">
        <f t="shared" si="31"/>
        <v>0</v>
      </c>
      <c r="I58" s="1">
        <f t="shared" si="31"/>
        <v>0</v>
      </c>
      <c r="J58" s="1">
        <f t="shared" si="31"/>
        <v>0</v>
      </c>
      <c r="K58" s="1">
        <f t="shared" si="31"/>
        <v>0</v>
      </c>
      <c r="L58" s="1">
        <f t="shared" si="31"/>
        <v>0</v>
      </c>
      <c r="M58" s="1"/>
      <c r="N58" s="11">
        <f t="shared" ref="N58:N64" si="32">SUM(C58:L58)</f>
        <v>0</v>
      </c>
    </row>
    <row r="59" spans="1:14">
      <c r="A59" t="str">
        <f t="shared" si="27"/>
        <v xml:space="preserve">Value of Trade In </v>
      </c>
      <c r="C59" s="1">
        <f t="shared" ref="C59:L59" si="33">IF(C57=1,C55,0)</f>
        <v>0</v>
      </c>
      <c r="D59" s="1">
        <f t="shared" si="33"/>
        <v>0</v>
      </c>
      <c r="E59" s="1">
        <f t="shared" si="33"/>
        <v>0</v>
      </c>
      <c r="F59" s="1">
        <f t="shared" si="33"/>
        <v>0</v>
      </c>
      <c r="G59" s="1">
        <f t="shared" si="33"/>
        <v>0</v>
      </c>
      <c r="H59" s="1">
        <f t="shared" si="33"/>
        <v>0</v>
      </c>
      <c r="I59" s="1">
        <f t="shared" si="33"/>
        <v>0</v>
      </c>
      <c r="J59" s="1">
        <f t="shared" si="33"/>
        <v>0</v>
      </c>
      <c r="K59" s="1">
        <f t="shared" si="33"/>
        <v>0</v>
      </c>
      <c r="L59" s="1">
        <f t="shared" si="33"/>
        <v>0</v>
      </c>
      <c r="M59" s="1"/>
      <c r="N59" s="11">
        <f t="shared" si="32"/>
        <v>0</v>
      </c>
    </row>
    <row r="60" spans="1:14">
      <c r="A60" t="str">
        <f t="shared" si="27"/>
        <v>Minimum Downpayment</v>
      </c>
      <c r="C60" s="1">
        <f t="shared" ref="C60:L60" si="34">IF(C57=1,C56*$D$9,0)</f>
        <v>0</v>
      </c>
      <c r="D60" s="1">
        <f t="shared" si="34"/>
        <v>0</v>
      </c>
      <c r="E60" s="1">
        <f t="shared" si="34"/>
        <v>0</v>
      </c>
      <c r="F60" s="1">
        <f t="shared" si="34"/>
        <v>0</v>
      </c>
      <c r="G60" s="1">
        <f t="shared" si="34"/>
        <v>0</v>
      </c>
      <c r="H60" s="1">
        <f t="shared" si="34"/>
        <v>0</v>
      </c>
      <c r="I60" s="1">
        <f t="shared" si="34"/>
        <v>0</v>
      </c>
      <c r="J60" s="1">
        <f t="shared" si="34"/>
        <v>0</v>
      </c>
      <c r="K60" s="1">
        <f t="shared" si="34"/>
        <v>0</v>
      </c>
      <c r="L60" s="1">
        <f t="shared" si="34"/>
        <v>0</v>
      </c>
      <c r="M60" s="1"/>
      <c r="N60" s="11">
        <f t="shared" si="32"/>
        <v>0</v>
      </c>
    </row>
    <row r="61" spans="1:14">
      <c r="A61" t="str">
        <f t="shared" si="27"/>
        <v>Actual Cash Difference</v>
      </c>
      <c r="C61" s="1">
        <f t="shared" ref="C61:L61" si="35">IF(AND(C57=1,C60&gt;C55),C60-C55,0)</f>
        <v>0</v>
      </c>
      <c r="D61" s="1">
        <f t="shared" si="35"/>
        <v>0</v>
      </c>
      <c r="E61" s="1">
        <f t="shared" si="35"/>
        <v>0</v>
      </c>
      <c r="F61" s="1">
        <f t="shared" si="35"/>
        <v>0</v>
      </c>
      <c r="G61" s="1">
        <f t="shared" si="35"/>
        <v>0</v>
      </c>
      <c r="H61" s="1">
        <f t="shared" si="35"/>
        <v>0</v>
      </c>
      <c r="I61" s="1">
        <f t="shared" si="35"/>
        <v>0</v>
      </c>
      <c r="J61" s="1">
        <f t="shared" si="35"/>
        <v>0</v>
      </c>
      <c r="K61" s="1">
        <f t="shared" si="35"/>
        <v>0</v>
      </c>
      <c r="L61" s="1">
        <f t="shared" si="35"/>
        <v>0</v>
      </c>
      <c r="M61" s="1"/>
      <c r="N61" s="11">
        <f t="shared" si="32"/>
        <v>0</v>
      </c>
    </row>
    <row r="62" spans="1:14">
      <c r="A62" t="str">
        <f t="shared" si="27"/>
        <v>Amount Financed</v>
      </c>
      <c r="C62" s="1">
        <f t="shared" ref="C62:L62" si="36">IF(C57=1,IF(C55&gt;C60,(C56-C55),(C56-C60)),0)</f>
        <v>0</v>
      </c>
      <c r="D62" s="1">
        <f t="shared" si="36"/>
        <v>0</v>
      </c>
      <c r="E62" s="1">
        <f t="shared" si="36"/>
        <v>0</v>
      </c>
      <c r="F62" s="1">
        <f t="shared" si="36"/>
        <v>0</v>
      </c>
      <c r="G62" s="1">
        <f t="shared" si="36"/>
        <v>0</v>
      </c>
      <c r="H62" s="1">
        <f t="shared" si="36"/>
        <v>0</v>
      </c>
      <c r="I62" s="1">
        <f t="shared" si="36"/>
        <v>0</v>
      </c>
      <c r="J62" s="1">
        <f t="shared" si="36"/>
        <v>0</v>
      </c>
      <c r="K62" s="1">
        <f t="shared" si="36"/>
        <v>0</v>
      </c>
      <c r="L62" s="1">
        <f t="shared" si="36"/>
        <v>0</v>
      </c>
      <c r="M62" s="1"/>
      <c r="N62" s="11">
        <f t="shared" si="32"/>
        <v>0</v>
      </c>
    </row>
    <row r="63" spans="1:14">
      <c r="A63" t="str">
        <f t="shared" si="27"/>
        <v xml:space="preserve">Update Market Value After Purchase </v>
      </c>
      <c r="C63" s="1">
        <f t="shared" ref="C63:L63" si="37">IF(C57=1,C56,C55)</f>
        <v>77126.399999999994</v>
      </c>
      <c r="D63" s="1">
        <f t="shared" si="37"/>
        <v>80179.199999999997</v>
      </c>
      <c r="E63" s="1">
        <f t="shared" si="37"/>
        <v>18432</v>
      </c>
      <c r="F63" s="1">
        <f t="shared" si="37"/>
        <v>24883.200000000001</v>
      </c>
      <c r="G63" s="1">
        <f t="shared" si="37"/>
        <v>34608</v>
      </c>
      <c r="H63" s="1">
        <f t="shared" si="37"/>
        <v>17510.399999999998</v>
      </c>
      <c r="I63" s="1">
        <f t="shared" si="37"/>
        <v>5529.5999999999995</v>
      </c>
      <c r="J63" s="1">
        <f t="shared" si="37"/>
        <v>4608</v>
      </c>
      <c r="K63" s="1">
        <f t="shared" si="37"/>
        <v>11980.8</v>
      </c>
      <c r="L63" s="1">
        <f t="shared" si="37"/>
        <v>59904</v>
      </c>
      <c r="M63" s="1"/>
      <c r="N63" s="11">
        <f t="shared" si="32"/>
        <v>334761.59999999998</v>
      </c>
    </row>
    <row r="64" spans="1:14">
      <c r="A64" t="str">
        <f t="shared" si="27"/>
        <v>Updated Replacement Cost</v>
      </c>
      <c r="C64" s="1">
        <f t="shared" ref="C64:L64" si="38">C56</f>
        <v>82348.5</v>
      </c>
      <c r="D64" s="1">
        <f t="shared" si="38"/>
        <v>158362.5</v>
      </c>
      <c r="E64" s="1">
        <f t="shared" si="38"/>
        <v>158362.5</v>
      </c>
      <c r="F64" s="1">
        <f t="shared" si="38"/>
        <v>40118.5</v>
      </c>
      <c r="G64" s="1">
        <f t="shared" si="38"/>
        <v>36951.25</v>
      </c>
      <c r="H64" s="1">
        <f t="shared" si="38"/>
        <v>20059.25</v>
      </c>
      <c r="I64" s="1">
        <f t="shared" si="38"/>
        <v>24282.249999999996</v>
      </c>
      <c r="J64" s="1">
        <f t="shared" si="38"/>
        <v>68623.75</v>
      </c>
      <c r="K64" s="1">
        <f t="shared" si="38"/>
        <v>52787.499999999993</v>
      </c>
      <c r="L64" s="1">
        <f t="shared" si="38"/>
        <v>68623.75</v>
      </c>
      <c r="M64" s="1"/>
      <c r="N64" s="11">
        <f t="shared" si="32"/>
        <v>710519.75</v>
      </c>
    </row>
    <row r="65" spans="1:14">
      <c r="A65" t="str">
        <f t="shared" si="27"/>
        <v>Update Replacement Year</v>
      </c>
      <c r="C65" s="2">
        <f t="shared" ref="C65:L65" si="39">IF(C57=1,$B54+C$22,C52)</f>
        <v>2005</v>
      </c>
      <c r="D65" s="2">
        <f t="shared" si="39"/>
        <v>2002</v>
      </c>
      <c r="E65" s="2">
        <f t="shared" si="39"/>
        <v>2004</v>
      </c>
      <c r="F65" s="2">
        <f t="shared" si="39"/>
        <v>2007</v>
      </c>
      <c r="G65" s="2">
        <f t="shared" si="39"/>
        <v>2010</v>
      </c>
      <c r="H65" s="2">
        <f t="shared" si="39"/>
        <v>2010</v>
      </c>
      <c r="I65" s="2">
        <f t="shared" si="39"/>
        <v>2002</v>
      </c>
      <c r="J65" s="2">
        <f t="shared" si="39"/>
        <v>2004</v>
      </c>
      <c r="K65" s="2">
        <f t="shared" si="39"/>
        <v>2004</v>
      </c>
      <c r="L65" s="2">
        <f t="shared" si="39"/>
        <v>2011</v>
      </c>
      <c r="M65" s="2"/>
    </row>
    <row r="66" spans="1:14">
      <c r="F66" s="1"/>
      <c r="G66" s="1"/>
      <c r="H66" s="1"/>
      <c r="I66" s="1"/>
      <c r="J66" s="1"/>
      <c r="K66" s="1"/>
      <c r="L66" s="1"/>
      <c r="M66" s="1"/>
    </row>
    <row r="67" spans="1:14">
      <c r="A67" s="10" t="str">
        <f>A28</f>
        <v>Replace Machinery in</v>
      </c>
      <c r="B67" s="6">
        <f>E12</f>
        <v>2002</v>
      </c>
      <c r="N67" s="5">
        <f>B67</f>
        <v>2002</v>
      </c>
    </row>
    <row r="68" spans="1:14">
      <c r="A68" t="str">
        <f t="shared" ref="A68:A78" si="40">A55</f>
        <v>Market Value Jan 1</v>
      </c>
      <c r="B68" s="10"/>
      <c r="C68" s="1">
        <f t="shared" ref="C68:L68" si="41">C63*(1+$E$14)</f>
        <v>74041.343999999997</v>
      </c>
      <c r="D68" s="1">
        <f t="shared" si="41"/>
        <v>76972.031999999992</v>
      </c>
      <c r="E68" s="1">
        <f t="shared" si="41"/>
        <v>17694.72</v>
      </c>
      <c r="F68" s="1">
        <f t="shared" si="41"/>
        <v>23887.871999999999</v>
      </c>
      <c r="G68" s="1">
        <f t="shared" si="41"/>
        <v>33223.68</v>
      </c>
      <c r="H68" s="1">
        <f t="shared" si="41"/>
        <v>16809.983999999997</v>
      </c>
      <c r="I68" s="1">
        <f t="shared" si="41"/>
        <v>5308.4159999999993</v>
      </c>
      <c r="J68" s="1">
        <f t="shared" si="41"/>
        <v>4423.68</v>
      </c>
      <c r="K68" s="1">
        <f t="shared" si="41"/>
        <v>11501.567999999999</v>
      </c>
      <c r="L68" s="1">
        <f t="shared" si="41"/>
        <v>57507.839999999997</v>
      </c>
      <c r="M68" s="1"/>
      <c r="N68" s="11"/>
    </row>
    <row r="69" spans="1:14">
      <c r="A69" t="str">
        <f t="shared" si="40"/>
        <v>Cost of Replacement Jan 1</v>
      </c>
      <c r="B69" s="10"/>
      <c r="C69" s="1">
        <f t="shared" ref="C69:L69" si="42">C64*(1+$E$13)</f>
        <v>84654.258000000002</v>
      </c>
      <c r="D69" s="1">
        <f t="shared" si="42"/>
        <v>162796.65</v>
      </c>
      <c r="E69" s="1">
        <f t="shared" si="42"/>
        <v>162796.65</v>
      </c>
      <c r="F69" s="1">
        <f t="shared" si="42"/>
        <v>41241.817999999999</v>
      </c>
      <c r="G69" s="1">
        <f t="shared" si="42"/>
        <v>37985.885000000002</v>
      </c>
      <c r="H69" s="1">
        <f t="shared" si="42"/>
        <v>20620.909</v>
      </c>
      <c r="I69" s="1">
        <f t="shared" si="42"/>
        <v>24962.152999999998</v>
      </c>
      <c r="J69" s="1">
        <f t="shared" si="42"/>
        <v>70545.214999999997</v>
      </c>
      <c r="K69" s="1">
        <f t="shared" si="42"/>
        <v>54265.549999999996</v>
      </c>
      <c r="L69" s="1">
        <f t="shared" si="42"/>
        <v>70545.214999999997</v>
      </c>
      <c r="M69" s="1"/>
      <c r="N69" s="11"/>
    </row>
    <row r="70" spans="1:14">
      <c r="A70" t="str">
        <f t="shared" si="40"/>
        <v>Replace if 1 Not Replaced if 0</v>
      </c>
      <c r="B70" s="10"/>
      <c r="C70" s="1">
        <f t="shared" ref="C70:L70" si="43">IF($B67=C65,1,0)</f>
        <v>0</v>
      </c>
      <c r="D70" s="1">
        <f t="shared" si="43"/>
        <v>1</v>
      </c>
      <c r="E70" s="1">
        <f t="shared" si="43"/>
        <v>0</v>
      </c>
      <c r="F70" s="1">
        <f t="shared" si="43"/>
        <v>0</v>
      </c>
      <c r="G70" s="1">
        <f t="shared" si="43"/>
        <v>0</v>
      </c>
      <c r="H70" s="1">
        <f t="shared" si="43"/>
        <v>0</v>
      </c>
      <c r="I70" s="1">
        <f t="shared" si="43"/>
        <v>1</v>
      </c>
      <c r="J70" s="1">
        <f t="shared" si="43"/>
        <v>0</v>
      </c>
      <c r="K70" s="1">
        <f t="shared" si="43"/>
        <v>0</v>
      </c>
      <c r="L70" s="1">
        <f t="shared" si="43"/>
        <v>0</v>
      </c>
      <c r="M70" s="1"/>
      <c r="N70" s="11"/>
    </row>
    <row r="71" spans="1:14">
      <c r="A71" t="str">
        <f t="shared" si="40"/>
        <v>Cost of Machinery Purchased</v>
      </c>
      <c r="C71" s="1">
        <f t="shared" ref="C71:L71" si="44">IF(C70=1,C69,0)</f>
        <v>0</v>
      </c>
      <c r="D71" s="1">
        <f t="shared" si="44"/>
        <v>162796.65</v>
      </c>
      <c r="E71" s="1">
        <f t="shared" si="44"/>
        <v>0</v>
      </c>
      <c r="F71" s="1">
        <f t="shared" si="44"/>
        <v>0</v>
      </c>
      <c r="G71" s="1">
        <f t="shared" si="44"/>
        <v>0</v>
      </c>
      <c r="H71" s="1">
        <f t="shared" si="44"/>
        <v>0</v>
      </c>
      <c r="I71" s="1">
        <f t="shared" si="44"/>
        <v>24962.152999999998</v>
      </c>
      <c r="J71" s="1">
        <f t="shared" si="44"/>
        <v>0</v>
      </c>
      <c r="K71" s="1">
        <f t="shared" si="44"/>
        <v>0</v>
      </c>
      <c r="L71" s="1">
        <f t="shared" si="44"/>
        <v>0</v>
      </c>
      <c r="M71" s="1"/>
      <c r="N71" s="11">
        <f t="shared" ref="N71:N77" si="45">SUM(C71:L71)</f>
        <v>187758.80299999999</v>
      </c>
    </row>
    <row r="72" spans="1:14">
      <c r="A72" t="str">
        <f t="shared" si="40"/>
        <v xml:space="preserve">Value of Trade In </v>
      </c>
      <c r="C72" s="1">
        <f t="shared" ref="C72:L72" si="46">IF(C70=1,C68,0)</f>
        <v>0</v>
      </c>
      <c r="D72" s="1">
        <f t="shared" si="46"/>
        <v>76972.031999999992</v>
      </c>
      <c r="E72" s="1">
        <f t="shared" si="46"/>
        <v>0</v>
      </c>
      <c r="F72" s="1">
        <f t="shared" si="46"/>
        <v>0</v>
      </c>
      <c r="G72" s="1">
        <f t="shared" si="46"/>
        <v>0</v>
      </c>
      <c r="H72" s="1">
        <f t="shared" si="46"/>
        <v>0</v>
      </c>
      <c r="I72" s="1">
        <f t="shared" si="46"/>
        <v>5308.4159999999993</v>
      </c>
      <c r="J72" s="1">
        <f t="shared" si="46"/>
        <v>0</v>
      </c>
      <c r="K72" s="1">
        <f t="shared" si="46"/>
        <v>0</v>
      </c>
      <c r="L72" s="1">
        <f t="shared" si="46"/>
        <v>0</v>
      </c>
      <c r="M72" s="1"/>
      <c r="N72" s="11">
        <f t="shared" si="45"/>
        <v>82280.447999999989</v>
      </c>
    </row>
    <row r="73" spans="1:14">
      <c r="A73" t="str">
        <f t="shared" si="40"/>
        <v>Minimum Downpayment</v>
      </c>
      <c r="B73" s="10"/>
      <c r="C73" s="1">
        <f t="shared" ref="C73:L73" si="47">IF(C70=1,C69*$D$9,0)</f>
        <v>0</v>
      </c>
      <c r="D73" s="1">
        <f t="shared" si="47"/>
        <v>73258.492499999993</v>
      </c>
      <c r="E73" s="1">
        <f t="shared" si="47"/>
        <v>0</v>
      </c>
      <c r="F73" s="1">
        <f t="shared" si="47"/>
        <v>0</v>
      </c>
      <c r="G73" s="1">
        <f t="shared" si="47"/>
        <v>0</v>
      </c>
      <c r="H73" s="1">
        <f t="shared" si="47"/>
        <v>0</v>
      </c>
      <c r="I73" s="1">
        <f t="shared" si="47"/>
        <v>11232.968849999999</v>
      </c>
      <c r="J73" s="1">
        <f t="shared" si="47"/>
        <v>0</v>
      </c>
      <c r="K73" s="1">
        <f t="shared" si="47"/>
        <v>0</v>
      </c>
      <c r="L73" s="1">
        <f t="shared" si="47"/>
        <v>0</v>
      </c>
      <c r="M73" s="1"/>
      <c r="N73" s="11">
        <f t="shared" si="45"/>
        <v>84491.461349999998</v>
      </c>
    </row>
    <row r="74" spans="1:14">
      <c r="A74" t="str">
        <f t="shared" si="40"/>
        <v>Actual Cash Difference</v>
      </c>
      <c r="B74" s="10"/>
      <c r="C74" s="1">
        <f t="shared" ref="C74:L74" si="48">IF(AND(C70=1,C73&gt;C68),C73-C68,0)</f>
        <v>0</v>
      </c>
      <c r="D74" s="1">
        <f t="shared" si="48"/>
        <v>0</v>
      </c>
      <c r="E74" s="1">
        <f t="shared" si="48"/>
        <v>0</v>
      </c>
      <c r="F74" s="1">
        <f t="shared" si="48"/>
        <v>0</v>
      </c>
      <c r="G74" s="1">
        <f t="shared" si="48"/>
        <v>0</v>
      </c>
      <c r="H74" s="1">
        <f t="shared" si="48"/>
        <v>0</v>
      </c>
      <c r="I74" s="1">
        <f t="shared" si="48"/>
        <v>5924.55285</v>
      </c>
      <c r="J74" s="1">
        <f t="shared" si="48"/>
        <v>0</v>
      </c>
      <c r="K74" s="1">
        <f t="shared" si="48"/>
        <v>0</v>
      </c>
      <c r="L74" s="1">
        <f t="shared" si="48"/>
        <v>0</v>
      </c>
      <c r="M74" s="1"/>
      <c r="N74" s="11">
        <f t="shared" si="45"/>
        <v>5924.55285</v>
      </c>
    </row>
    <row r="75" spans="1:14">
      <c r="A75" t="str">
        <f t="shared" si="40"/>
        <v>Amount Financed</v>
      </c>
      <c r="C75" s="1">
        <f t="shared" ref="C75:L75" si="49">IF(C70=1,IF(C68&gt;C73,(C69-C68),(C69-C73)),0)</f>
        <v>0</v>
      </c>
      <c r="D75" s="1">
        <f t="shared" si="49"/>
        <v>85824.618000000002</v>
      </c>
      <c r="E75" s="1">
        <f t="shared" si="49"/>
        <v>0</v>
      </c>
      <c r="F75" s="1">
        <f t="shared" si="49"/>
        <v>0</v>
      </c>
      <c r="G75" s="1">
        <f t="shared" si="49"/>
        <v>0</v>
      </c>
      <c r="H75" s="1">
        <f t="shared" si="49"/>
        <v>0</v>
      </c>
      <c r="I75" s="1">
        <f t="shared" si="49"/>
        <v>13729.184149999999</v>
      </c>
      <c r="J75" s="1">
        <f t="shared" si="49"/>
        <v>0</v>
      </c>
      <c r="K75" s="1">
        <f t="shared" si="49"/>
        <v>0</v>
      </c>
      <c r="L75" s="1">
        <f t="shared" si="49"/>
        <v>0</v>
      </c>
      <c r="M75" s="1"/>
      <c r="N75" s="11">
        <f t="shared" si="45"/>
        <v>99553.802150000003</v>
      </c>
    </row>
    <row r="76" spans="1:14">
      <c r="A76" t="str">
        <f t="shared" si="40"/>
        <v xml:space="preserve">Update Market Value After Purchase </v>
      </c>
      <c r="C76" s="1">
        <f t="shared" ref="C76:L76" si="50">IF(C70=1,C69,C68)</f>
        <v>74041.343999999997</v>
      </c>
      <c r="D76" s="1">
        <f t="shared" si="50"/>
        <v>162796.65</v>
      </c>
      <c r="E76" s="1">
        <f t="shared" si="50"/>
        <v>17694.72</v>
      </c>
      <c r="F76" s="1">
        <f t="shared" si="50"/>
        <v>23887.871999999999</v>
      </c>
      <c r="G76" s="1">
        <f t="shared" si="50"/>
        <v>33223.68</v>
      </c>
      <c r="H76" s="1">
        <f t="shared" si="50"/>
        <v>16809.983999999997</v>
      </c>
      <c r="I76" s="1">
        <f t="shared" si="50"/>
        <v>24962.152999999998</v>
      </c>
      <c r="J76" s="1">
        <f t="shared" si="50"/>
        <v>4423.68</v>
      </c>
      <c r="K76" s="1">
        <f t="shared" si="50"/>
        <v>11501.567999999999</v>
      </c>
      <c r="L76" s="1">
        <f t="shared" si="50"/>
        <v>57507.839999999997</v>
      </c>
      <c r="M76" s="1"/>
      <c r="N76" s="11">
        <f t="shared" si="45"/>
        <v>426849.49099999992</v>
      </c>
    </row>
    <row r="77" spans="1:14">
      <c r="A77" t="str">
        <f t="shared" si="40"/>
        <v>Updated Replacement Cost</v>
      </c>
      <c r="C77" s="1">
        <f t="shared" ref="C77:L77" si="51">C69</f>
        <v>84654.258000000002</v>
      </c>
      <c r="D77" s="1">
        <f t="shared" si="51"/>
        <v>162796.65</v>
      </c>
      <c r="E77" s="1">
        <f t="shared" si="51"/>
        <v>162796.65</v>
      </c>
      <c r="F77" s="1">
        <f t="shared" si="51"/>
        <v>41241.817999999999</v>
      </c>
      <c r="G77" s="1">
        <f t="shared" si="51"/>
        <v>37985.885000000002</v>
      </c>
      <c r="H77" s="1">
        <f t="shared" si="51"/>
        <v>20620.909</v>
      </c>
      <c r="I77" s="1">
        <f t="shared" si="51"/>
        <v>24962.152999999998</v>
      </c>
      <c r="J77" s="1">
        <f t="shared" si="51"/>
        <v>70545.214999999997</v>
      </c>
      <c r="K77" s="1">
        <f t="shared" si="51"/>
        <v>54265.549999999996</v>
      </c>
      <c r="L77" s="1">
        <f t="shared" si="51"/>
        <v>70545.214999999997</v>
      </c>
      <c r="M77" s="1"/>
      <c r="N77" s="11">
        <f t="shared" si="45"/>
        <v>730414.30299999996</v>
      </c>
    </row>
    <row r="78" spans="1:14">
      <c r="A78" t="str">
        <f t="shared" si="40"/>
        <v>Update Replacement Year</v>
      </c>
      <c r="B78" s="10"/>
      <c r="C78" s="2">
        <f t="shared" ref="C78:L78" si="52">IF(C70=1,$B67+C$22,C65)</f>
        <v>2005</v>
      </c>
      <c r="D78" s="2">
        <f t="shared" si="52"/>
        <v>2009</v>
      </c>
      <c r="E78" s="2">
        <f t="shared" si="52"/>
        <v>2004</v>
      </c>
      <c r="F78" s="2">
        <f t="shared" si="52"/>
        <v>2007</v>
      </c>
      <c r="G78" s="2">
        <f t="shared" si="52"/>
        <v>2010</v>
      </c>
      <c r="H78" s="2">
        <f t="shared" si="52"/>
        <v>2010</v>
      </c>
      <c r="I78" s="2">
        <f t="shared" si="52"/>
        <v>2014</v>
      </c>
      <c r="J78" s="2">
        <f t="shared" si="52"/>
        <v>2004</v>
      </c>
      <c r="K78" s="2">
        <f t="shared" si="52"/>
        <v>2004</v>
      </c>
      <c r="L78" s="2">
        <f t="shared" si="52"/>
        <v>2011</v>
      </c>
      <c r="M78" s="2"/>
    </row>
    <row r="79" spans="1:14"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>
      <c r="A80" s="10" t="str">
        <f>A28</f>
        <v>Replace Machinery in</v>
      </c>
      <c r="B80" s="6">
        <f>F12</f>
        <v>2003</v>
      </c>
      <c r="N80" s="5">
        <f>B80</f>
        <v>2003</v>
      </c>
    </row>
    <row r="81" spans="1:14">
      <c r="A81" t="str">
        <f t="shared" ref="A81:A91" si="53">A68</f>
        <v>Market Value Jan 1</v>
      </c>
      <c r="B81" s="10"/>
      <c r="C81" s="1">
        <f t="shared" ref="C81:L81" si="54">C76*(1+$F$14)</f>
        <v>71079.690239999996</v>
      </c>
      <c r="D81" s="1">
        <f t="shared" si="54"/>
        <v>156284.78399999999</v>
      </c>
      <c r="E81" s="1">
        <f t="shared" si="54"/>
        <v>16986.931199999999</v>
      </c>
      <c r="F81" s="1">
        <f t="shared" si="54"/>
        <v>22932.357119999997</v>
      </c>
      <c r="G81" s="1">
        <f t="shared" si="54"/>
        <v>31894.732799999998</v>
      </c>
      <c r="H81" s="1">
        <f t="shared" si="54"/>
        <v>16137.584639999995</v>
      </c>
      <c r="I81" s="1">
        <f t="shared" si="54"/>
        <v>23963.666879999997</v>
      </c>
      <c r="J81" s="1">
        <f t="shared" si="54"/>
        <v>4246.7327999999998</v>
      </c>
      <c r="K81" s="1">
        <f t="shared" si="54"/>
        <v>11041.505279999999</v>
      </c>
      <c r="L81" s="1">
        <f t="shared" si="54"/>
        <v>55207.526399999995</v>
      </c>
      <c r="M81" s="1"/>
      <c r="N81" s="11"/>
    </row>
    <row r="82" spans="1:14">
      <c r="A82" t="str">
        <f t="shared" si="53"/>
        <v>Cost of Replacement Jan 1</v>
      </c>
      <c r="B82" s="10"/>
      <c r="C82" s="1">
        <f t="shared" ref="C82:L82" si="55">C77*(1+$F$13)</f>
        <v>87447.848513999998</v>
      </c>
      <c r="D82" s="1">
        <f t="shared" si="55"/>
        <v>168168.93944999998</v>
      </c>
      <c r="E82" s="1">
        <f t="shared" si="55"/>
        <v>168168.93944999998</v>
      </c>
      <c r="F82" s="1">
        <f t="shared" si="55"/>
        <v>42602.797993999993</v>
      </c>
      <c r="G82" s="1">
        <f t="shared" si="55"/>
        <v>39239.419204999998</v>
      </c>
      <c r="H82" s="1">
        <f t="shared" si="55"/>
        <v>21301.398996999997</v>
      </c>
      <c r="I82" s="1">
        <f t="shared" si="55"/>
        <v>25785.904048999997</v>
      </c>
      <c r="J82" s="1">
        <f t="shared" si="55"/>
        <v>72873.207094999991</v>
      </c>
      <c r="K82" s="1">
        <f t="shared" si="55"/>
        <v>56056.313149999994</v>
      </c>
      <c r="L82" s="1">
        <f t="shared" si="55"/>
        <v>72873.207094999991</v>
      </c>
      <c r="M82" s="1"/>
      <c r="N82" s="11"/>
    </row>
    <row r="83" spans="1:14">
      <c r="A83" t="str">
        <f t="shared" si="53"/>
        <v>Replace if 1 Not Replaced if 0</v>
      </c>
      <c r="B83" s="10"/>
      <c r="C83" s="1">
        <f t="shared" ref="C83:L83" si="56">IF($B80=C78,1,0)</f>
        <v>0</v>
      </c>
      <c r="D83" s="1">
        <f t="shared" si="56"/>
        <v>0</v>
      </c>
      <c r="E83" s="1">
        <f t="shared" si="56"/>
        <v>0</v>
      </c>
      <c r="F83" s="1">
        <f t="shared" si="56"/>
        <v>0</v>
      </c>
      <c r="G83" s="1">
        <f t="shared" si="56"/>
        <v>0</v>
      </c>
      <c r="H83" s="1">
        <f t="shared" si="56"/>
        <v>0</v>
      </c>
      <c r="I83" s="1">
        <f t="shared" si="56"/>
        <v>0</v>
      </c>
      <c r="J83" s="1">
        <f t="shared" si="56"/>
        <v>0</v>
      </c>
      <c r="K83" s="1">
        <f t="shared" si="56"/>
        <v>0</v>
      </c>
      <c r="L83" s="1">
        <f t="shared" si="56"/>
        <v>0</v>
      </c>
      <c r="M83" s="1"/>
      <c r="N83" s="11"/>
    </row>
    <row r="84" spans="1:14">
      <c r="A84" t="str">
        <f t="shared" si="53"/>
        <v>Cost of Machinery Purchased</v>
      </c>
      <c r="C84" s="1">
        <f t="shared" ref="C84:L84" si="57">IF(C83=1,C82,0)</f>
        <v>0</v>
      </c>
      <c r="D84" s="1">
        <f t="shared" si="57"/>
        <v>0</v>
      </c>
      <c r="E84" s="1">
        <f t="shared" si="57"/>
        <v>0</v>
      </c>
      <c r="F84" s="1">
        <f t="shared" si="57"/>
        <v>0</v>
      </c>
      <c r="G84" s="1">
        <f t="shared" si="57"/>
        <v>0</v>
      </c>
      <c r="H84" s="1">
        <f t="shared" si="57"/>
        <v>0</v>
      </c>
      <c r="I84" s="1">
        <f t="shared" si="57"/>
        <v>0</v>
      </c>
      <c r="J84" s="1">
        <f t="shared" si="57"/>
        <v>0</v>
      </c>
      <c r="K84" s="1">
        <f t="shared" si="57"/>
        <v>0</v>
      </c>
      <c r="L84" s="1">
        <f t="shared" si="57"/>
        <v>0</v>
      </c>
      <c r="M84" s="1"/>
      <c r="N84" s="11">
        <f t="shared" ref="N84:N90" si="58">SUM(C84:L84)</f>
        <v>0</v>
      </c>
    </row>
    <row r="85" spans="1:14">
      <c r="A85" t="str">
        <f t="shared" si="53"/>
        <v xml:space="preserve">Value of Trade In </v>
      </c>
      <c r="C85" s="1">
        <f t="shared" ref="C85:L85" si="59">IF(C83=1,C81,0)</f>
        <v>0</v>
      </c>
      <c r="D85" s="1">
        <f t="shared" si="59"/>
        <v>0</v>
      </c>
      <c r="E85" s="1">
        <f t="shared" si="59"/>
        <v>0</v>
      </c>
      <c r="F85" s="1">
        <f t="shared" si="59"/>
        <v>0</v>
      </c>
      <c r="G85" s="1">
        <f t="shared" si="59"/>
        <v>0</v>
      </c>
      <c r="H85" s="1">
        <f t="shared" si="59"/>
        <v>0</v>
      </c>
      <c r="I85" s="1">
        <f t="shared" si="59"/>
        <v>0</v>
      </c>
      <c r="J85" s="1">
        <f t="shared" si="59"/>
        <v>0</v>
      </c>
      <c r="K85" s="1">
        <f t="shared" si="59"/>
        <v>0</v>
      </c>
      <c r="L85" s="1">
        <f t="shared" si="59"/>
        <v>0</v>
      </c>
      <c r="M85" s="1"/>
      <c r="N85" s="11">
        <f t="shared" si="58"/>
        <v>0</v>
      </c>
    </row>
    <row r="86" spans="1:14">
      <c r="A86" t="str">
        <f t="shared" si="53"/>
        <v>Minimum Downpayment</v>
      </c>
      <c r="B86" s="10"/>
      <c r="C86" s="1">
        <f t="shared" ref="C86:L86" si="60">IF(C83=1,C82*$D$9,0)</f>
        <v>0</v>
      </c>
      <c r="D86" s="1">
        <f t="shared" si="60"/>
        <v>0</v>
      </c>
      <c r="E86" s="1">
        <f t="shared" si="60"/>
        <v>0</v>
      </c>
      <c r="F86" s="1">
        <f t="shared" si="60"/>
        <v>0</v>
      </c>
      <c r="G86" s="1">
        <f t="shared" si="60"/>
        <v>0</v>
      </c>
      <c r="H86" s="1">
        <f t="shared" si="60"/>
        <v>0</v>
      </c>
      <c r="I86" s="1">
        <f t="shared" si="60"/>
        <v>0</v>
      </c>
      <c r="J86" s="1">
        <f t="shared" si="60"/>
        <v>0</v>
      </c>
      <c r="K86" s="1">
        <f t="shared" si="60"/>
        <v>0</v>
      </c>
      <c r="L86" s="1">
        <f t="shared" si="60"/>
        <v>0</v>
      </c>
      <c r="M86" s="1"/>
      <c r="N86" s="11">
        <f t="shared" si="58"/>
        <v>0</v>
      </c>
    </row>
    <row r="87" spans="1:14">
      <c r="A87" t="str">
        <f t="shared" si="53"/>
        <v>Actual Cash Difference</v>
      </c>
      <c r="B87" s="10"/>
      <c r="C87" s="1">
        <f t="shared" ref="C87:L87" si="61">IF(AND(C83=1,C86&gt;C81),C86-C81,0)</f>
        <v>0</v>
      </c>
      <c r="D87" s="1">
        <f t="shared" si="61"/>
        <v>0</v>
      </c>
      <c r="E87" s="1">
        <f t="shared" si="61"/>
        <v>0</v>
      </c>
      <c r="F87" s="1">
        <f t="shared" si="61"/>
        <v>0</v>
      </c>
      <c r="G87" s="1">
        <f t="shared" si="61"/>
        <v>0</v>
      </c>
      <c r="H87" s="1">
        <f t="shared" si="61"/>
        <v>0</v>
      </c>
      <c r="I87" s="1">
        <f t="shared" si="61"/>
        <v>0</v>
      </c>
      <c r="J87" s="1">
        <f t="shared" si="61"/>
        <v>0</v>
      </c>
      <c r="K87" s="1">
        <f t="shared" si="61"/>
        <v>0</v>
      </c>
      <c r="L87" s="1">
        <f t="shared" si="61"/>
        <v>0</v>
      </c>
      <c r="M87" s="1"/>
      <c r="N87" s="11">
        <f t="shared" si="58"/>
        <v>0</v>
      </c>
    </row>
    <row r="88" spans="1:14">
      <c r="A88" t="str">
        <f t="shared" si="53"/>
        <v>Amount Financed</v>
      </c>
      <c r="C88" s="1">
        <f t="shared" ref="C88:L88" si="62">IF(C83=1,IF(C81&gt;C86,(C82-C81),(C82-C86)),0)</f>
        <v>0</v>
      </c>
      <c r="D88" s="1">
        <f t="shared" si="62"/>
        <v>0</v>
      </c>
      <c r="E88" s="1">
        <f t="shared" si="62"/>
        <v>0</v>
      </c>
      <c r="F88" s="1">
        <f t="shared" si="62"/>
        <v>0</v>
      </c>
      <c r="G88" s="1">
        <f t="shared" si="62"/>
        <v>0</v>
      </c>
      <c r="H88" s="1">
        <f t="shared" si="62"/>
        <v>0</v>
      </c>
      <c r="I88" s="1">
        <f t="shared" si="62"/>
        <v>0</v>
      </c>
      <c r="J88" s="1">
        <f t="shared" si="62"/>
        <v>0</v>
      </c>
      <c r="K88" s="1">
        <f t="shared" si="62"/>
        <v>0</v>
      </c>
      <c r="L88" s="1">
        <f t="shared" si="62"/>
        <v>0</v>
      </c>
      <c r="M88" s="1"/>
      <c r="N88" s="11">
        <f t="shared" si="58"/>
        <v>0</v>
      </c>
    </row>
    <row r="89" spans="1:14">
      <c r="A89" t="str">
        <f t="shared" si="53"/>
        <v xml:space="preserve">Update Market Value After Purchase </v>
      </c>
      <c r="C89" s="1">
        <f t="shared" ref="C89:L89" si="63">IF(C83=1,C82,C81)</f>
        <v>71079.690239999996</v>
      </c>
      <c r="D89" s="1">
        <f t="shared" si="63"/>
        <v>156284.78399999999</v>
      </c>
      <c r="E89" s="1">
        <f t="shared" si="63"/>
        <v>16986.931199999999</v>
      </c>
      <c r="F89" s="1">
        <f t="shared" si="63"/>
        <v>22932.357119999997</v>
      </c>
      <c r="G89" s="1">
        <f t="shared" si="63"/>
        <v>31894.732799999998</v>
      </c>
      <c r="H89" s="1">
        <f t="shared" si="63"/>
        <v>16137.584639999995</v>
      </c>
      <c r="I89" s="1">
        <f t="shared" si="63"/>
        <v>23963.666879999997</v>
      </c>
      <c r="J89" s="1">
        <f t="shared" si="63"/>
        <v>4246.7327999999998</v>
      </c>
      <c r="K89" s="1">
        <f t="shared" si="63"/>
        <v>11041.505279999999</v>
      </c>
      <c r="L89" s="1">
        <f t="shared" si="63"/>
        <v>55207.526399999995</v>
      </c>
      <c r="M89" s="1"/>
      <c r="N89" s="11">
        <f t="shared" si="58"/>
        <v>409775.51135999989</v>
      </c>
    </row>
    <row r="90" spans="1:14">
      <c r="A90" t="str">
        <f t="shared" si="53"/>
        <v>Updated Replacement Cost</v>
      </c>
      <c r="C90" s="1">
        <f t="shared" ref="C90:L90" si="64">C82</f>
        <v>87447.848513999998</v>
      </c>
      <c r="D90" s="1">
        <f t="shared" si="64"/>
        <v>168168.93944999998</v>
      </c>
      <c r="E90" s="1">
        <f t="shared" si="64"/>
        <v>168168.93944999998</v>
      </c>
      <c r="F90" s="1">
        <f t="shared" si="64"/>
        <v>42602.797993999993</v>
      </c>
      <c r="G90" s="1">
        <f t="shared" si="64"/>
        <v>39239.419204999998</v>
      </c>
      <c r="H90" s="1">
        <f t="shared" si="64"/>
        <v>21301.398996999997</v>
      </c>
      <c r="I90" s="1">
        <f t="shared" si="64"/>
        <v>25785.904048999997</v>
      </c>
      <c r="J90" s="1">
        <f t="shared" si="64"/>
        <v>72873.207094999991</v>
      </c>
      <c r="K90" s="1">
        <f t="shared" si="64"/>
        <v>56056.313149999994</v>
      </c>
      <c r="L90" s="1">
        <f t="shared" si="64"/>
        <v>72873.207094999991</v>
      </c>
      <c r="M90" s="1"/>
      <c r="N90" s="11">
        <f t="shared" si="58"/>
        <v>754517.97499899985</v>
      </c>
    </row>
    <row r="91" spans="1:14">
      <c r="A91" t="str">
        <f t="shared" si="53"/>
        <v>Update Replacement Year</v>
      </c>
      <c r="B91" s="10"/>
      <c r="C91" s="2">
        <f t="shared" ref="C91:L91" si="65">IF(C83=1,$B80+C$22,C78)</f>
        <v>2005</v>
      </c>
      <c r="D91" s="2">
        <f t="shared" si="65"/>
        <v>2009</v>
      </c>
      <c r="E91" s="2">
        <f t="shared" si="65"/>
        <v>2004</v>
      </c>
      <c r="F91" s="2">
        <f t="shared" si="65"/>
        <v>2007</v>
      </c>
      <c r="G91" s="2">
        <f t="shared" si="65"/>
        <v>2010</v>
      </c>
      <c r="H91" s="2">
        <f t="shared" si="65"/>
        <v>2010</v>
      </c>
      <c r="I91" s="2">
        <f t="shared" si="65"/>
        <v>2014</v>
      </c>
      <c r="J91" s="2">
        <f t="shared" si="65"/>
        <v>2004</v>
      </c>
      <c r="K91" s="2">
        <f t="shared" si="65"/>
        <v>2004</v>
      </c>
      <c r="L91" s="2">
        <f t="shared" si="65"/>
        <v>2011</v>
      </c>
      <c r="M91" s="2"/>
    </row>
    <row r="92" spans="1:14">
      <c r="F92" s="1"/>
      <c r="G92" s="1"/>
      <c r="H92" s="1"/>
      <c r="I92" s="1"/>
      <c r="J92" s="1"/>
      <c r="K92" s="1"/>
      <c r="L92" s="1"/>
      <c r="M92" s="1"/>
    </row>
    <row r="93" spans="1:14">
      <c r="A93" s="10" t="str">
        <f>A28</f>
        <v>Replace Machinery in</v>
      </c>
      <c r="B93" s="6">
        <f>G12</f>
        <v>2004</v>
      </c>
      <c r="N93" s="5">
        <f>B93</f>
        <v>2004</v>
      </c>
    </row>
    <row r="94" spans="1:14">
      <c r="A94" t="str">
        <f t="shared" ref="A94:A104" si="66">A81</f>
        <v>Market Value Jan 1</v>
      </c>
      <c r="B94" s="10"/>
      <c r="C94" s="1">
        <f t="shared" ref="C94:L94" si="67">C89*(1+$G$14)</f>
        <v>68236.502630399991</v>
      </c>
      <c r="D94" s="1">
        <f t="shared" si="67"/>
        <v>150033.39263999998</v>
      </c>
      <c r="E94" s="1">
        <f t="shared" si="67"/>
        <v>16307.453951999998</v>
      </c>
      <c r="F94" s="1">
        <f t="shared" si="67"/>
        <v>22015.062835199995</v>
      </c>
      <c r="G94" s="1">
        <f t="shared" si="67"/>
        <v>30618.943487999997</v>
      </c>
      <c r="H94" s="1">
        <f t="shared" si="67"/>
        <v>15492.081254399995</v>
      </c>
      <c r="I94" s="1">
        <f t="shared" si="67"/>
        <v>23005.120204799998</v>
      </c>
      <c r="J94" s="1">
        <f t="shared" si="67"/>
        <v>4076.8634879999995</v>
      </c>
      <c r="K94" s="1">
        <f t="shared" si="67"/>
        <v>10599.845068799999</v>
      </c>
      <c r="L94" s="1">
        <f t="shared" si="67"/>
        <v>52999.225343999991</v>
      </c>
      <c r="M94" s="1"/>
      <c r="N94" s="11"/>
    </row>
    <row r="95" spans="1:14">
      <c r="A95" t="str">
        <f t="shared" si="66"/>
        <v>Cost of Replacement Jan 1</v>
      </c>
      <c r="B95" s="10"/>
      <c r="C95" s="1">
        <f t="shared" ref="C95:L95" si="68">C90*(1+$G$13)</f>
        <v>90508.523211989988</v>
      </c>
      <c r="D95" s="1">
        <f t="shared" si="68"/>
        <v>174054.85233074997</v>
      </c>
      <c r="E95" s="1">
        <f t="shared" si="68"/>
        <v>174054.85233074997</v>
      </c>
      <c r="F95" s="1">
        <f t="shared" si="68"/>
        <v>44093.895923789991</v>
      </c>
      <c r="G95" s="1">
        <f t="shared" si="68"/>
        <v>40612.798877174995</v>
      </c>
      <c r="H95" s="1">
        <f t="shared" si="68"/>
        <v>22046.947961894995</v>
      </c>
      <c r="I95" s="1">
        <f t="shared" si="68"/>
        <v>26688.410690714994</v>
      </c>
      <c r="J95" s="1">
        <f t="shared" si="68"/>
        <v>75423.769343324981</v>
      </c>
      <c r="K95" s="1">
        <f t="shared" si="68"/>
        <v>58018.284110249988</v>
      </c>
      <c r="L95" s="1">
        <f t="shared" si="68"/>
        <v>75423.769343324981</v>
      </c>
      <c r="M95" s="1"/>
      <c r="N95" s="11"/>
    </row>
    <row r="96" spans="1:14">
      <c r="A96" t="str">
        <f t="shared" si="66"/>
        <v>Replace if 1 Not Replaced if 0</v>
      </c>
      <c r="B96" s="10"/>
      <c r="C96" s="1">
        <f t="shared" ref="C96:L96" si="69">IF($B93=C91,1,0)</f>
        <v>0</v>
      </c>
      <c r="D96" s="1">
        <f t="shared" si="69"/>
        <v>0</v>
      </c>
      <c r="E96" s="1">
        <f t="shared" si="69"/>
        <v>1</v>
      </c>
      <c r="F96" s="1">
        <f t="shared" si="69"/>
        <v>0</v>
      </c>
      <c r="G96" s="1">
        <f t="shared" si="69"/>
        <v>0</v>
      </c>
      <c r="H96" s="1">
        <f t="shared" si="69"/>
        <v>0</v>
      </c>
      <c r="I96" s="1">
        <f t="shared" si="69"/>
        <v>0</v>
      </c>
      <c r="J96" s="1">
        <f t="shared" si="69"/>
        <v>1</v>
      </c>
      <c r="K96" s="1">
        <f t="shared" si="69"/>
        <v>1</v>
      </c>
      <c r="L96" s="1">
        <f t="shared" si="69"/>
        <v>0</v>
      </c>
      <c r="M96" s="1"/>
      <c r="N96" s="11"/>
    </row>
    <row r="97" spans="1:14">
      <c r="A97" t="str">
        <f t="shared" si="66"/>
        <v>Cost of Machinery Purchased</v>
      </c>
      <c r="C97" s="1">
        <f t="shared" ref="C97:L97" si="70">IF(C96=1,C95,0)</f>
        <v>0</v>
      </c>
      <c r="D97" s="1">
        <f t="shared" si="70"/>
        <v>0</v>
      </c>
      <c r="E97" s="1">
        <f t="shared" si="70"/>
        <v>174054.85233074997</v>
      </c>
      <c r="F97" s="1">
        <f t="shared" si="70"/>
        <v>0</v>
      </c>
      <c r="G97" s="1">
        <f t="shared" si="70"/>
        <v>0</v>
      </c>
      <c r="H97" s="1">
        <f t="shared" si="70"/>
        <v>0</v>
      </c>
      <c r="I97" s="1">
        <f t="shared" si="70"/>
        <v>0</v>
      </c>
      <c r="J97" s="1">
        <f t="shared" si="70"/>
        <v>75423.769343324981</v>
      </c>
      <c r="K97" s="1">
        <f t="shared" si="70"/>
        <v>58018.284110249988</v>
      </c>
      <c r="L97" s="1">
        <f t="shared" si="70"/>
        <v>0</v>
      </c>
      <c r="M97" s="1"/>
      <c r="N97" s="11">
        <f t="shared" ref="N97:N103" si="71">SUM(C97:L97)</f>
        <v>307496.90578432498</v>
      </c>
    </row>
    <row r="98" spans="1:14">
      <c r="A98" t="str">
        <f t="shared" si="66"/>
        <v xml:space="preserve">Value of Trade In </v>
      </c>
      <c r="C98" s="1">
        <f t="shared" ref="C98:L98" si="72">IF(C96=1,C94,0)</f>
        <v>0</v>
      </c>
      <c r="D98" s="1">
        <f t="shared" si="72"/>
        <v>0</v>
      </c>
      <c r="E98" s="1">
        <f t="shared" si="72"/>
        <v>16307.453951999998</v>
      </c>
      <c r="F98" s="1">
        <f t="shared" si="72"/>
        <v>0</v>
      </c>
      <c r="G98" s="1">
        <f t="shared" si="72"/>
        <v>0</v>
      </c>
      <c r="H98" s="1">
        <f t="shared" si="72"/>
        <v>0</v>
      </c>
      <c r="I98" s="1">
        <f t="shared" si="72"/>
        <v>0</v>
      </c>
      <c r="J98" s="1">
        <f t="shared" si="72"/>
        <v>4076.8634879999995</v>
      </c>
      <c r="K98" s="1">
        <f t="shared" si="72"/>
        <v>10599.845068799999</v>
      </c>
      <c r="L98" s="1">
        <f t="shared" si="72"/>
        <v>0</v>
      </c>
      <c r="M98" s="1"/>
      <c r="N98" s="11">
        <f t="shared" si="71"/>
        <v>30984.1625088</v>
      </c>
    </row>
    <row r="99" spans="1:14">
      <c r="A99" t="str">
        <f t="shared" si="66"/>
        <v>Minimum Downpayment</v>
      </c>
      <c r="B99" s="10"/>
      <c r="C99" s="1">
        <f t="shared" ref="C99:L99" si="73">IF(C96=1,C95*$D$9,0)</f>
        <v>0</v>
      </c>
      <c r="D99" s="1">
        <f t="shared" si="73"/>
        <v>0</v>
      </c>
      <c r="E99" s="1">
        <f t="shared" si="73"/>
        <v>78324.683548837493</v>
      </c>
      <c r="F99" s="1">
        <f t="shared" si="73"/>
        <v>0</v>
      </c>
      <c r="G99" s="1">
        <f t="shared" si="73"/>
        <v>0</v>
      </c>
      <c r="H99" s="1">
        <f t="shared" si="73"/>
        <v>0</v>
      </c>
      <c r="I99" s="1">
        <f t="shared" si="73"/>
        <v>0</v>
      </c>
      <c r="J99" s="1">
        <f t="shared" si="73"/>
        <v>33940.696204496242</v>
      </c>
      <c r="K99" s="1">
        <f t="shared" si="73"/>
        <v>26108.227849612496</v>
      </c>
      <c r="L99" s="1">
        <f t="shared" si="73"/>
        <v>0</v>
      </c>
      <c r="M99" s="1"/>
      <c r="N99" s="11">
        <f t="shared" si="71"/>
        <v>138373.60760294623</v>
      </c>
    </row>
    <row r="100" spans="1:14">
      <c r="A100" t="str">
        <f t="shared" si="66"/>
        <v>Actual Cash Difference</v>
      </c>
      <c r="B100" s="10"/>
      <c r="C100" s="1">
        <f t="shared" ref="C100:L100" si="74">IF(AND(C96=1,C99&gt;C94),C99-C94,0)</f>
        <v>0</v>
      </c>
      <c r="D100" s="1">
        <f t="shared" si="74"/>
        <v>0</v>
      </c>
      <c r="E100" s="1">
        <f t="shared" si="74"/>
        <v>62017.229596837497</v>
      </c>
      <c r="F100" s="1">
        <f t="shared" si="74"/>
        <v>0</v>
      </c>
      <c r="G100" s="1">
        <f t="shared" si="74"/>
        <v>0</v>
      </c>
      <c r="H100" s="1">
        <f t="shared" si="74"/>
        <v>0</v>
      </c>
      <c r="I100" s="1">
        <f t="shared" si="74"/>
        <v>0</v>
      </c>
      <c r="J100" s="1">
        <f t="shared" si="74"/>
        <v>29863.832716496243</v>
      </c>
      <c r="K100" s="1">
        <f t="shared" si="74"/>
        <v>15508.382780812497</v>
      </c>
      <c r="L100" s="1">
        <f t="shared" si="74"/>
        <v>0</v>
      </c>
      <c r="M100" s="1"/>
      <c r="N100" s="11">
        <f t="shared" si="71"/>
        <v>107389.44509414623</v>
      </c>
    </row>
    <row r="101" spans="1:14">
      <c r="A101" t="str">
        <f t="shared" si="66"/>
        <v>Amount Financed</v>
      </c>
      <c r="C101" s="1">
        <f t="shared" ref="C101:L101" si="75">IF(C96=1,IF(C94&gt;C99,(C95-C94),(C95-C99)),0)</f>
        <v>0</v>
      </c>
      <c r="D101" s="1">
        <f t="shared" si="75"/>
        <v>0</v>
      </c>
      <c r="E101" s="1">
        <f t="shared" si="75"/>
        <v>95730.168781912478</v>
      </c>
      <c r="F101" s="1">
        <f t="shared" si="75"/>
        <v>0</v>
      </c>
      <c r="G101" s="1">
        <f t="shared" si="75"/>
        <v>0</v>
      </c>
      <c r="H101" s="1">
        <f t="shared" si="75"/>
        <v>0</v>
      </c>
      <c r="I101" s="1">
        <f t="shared" si="75"/>
        <v>0</v>
      </c>
      <c r="J101" s="1">
        <f t="shared" si="75"/>
        <v>41483.073138828739</v>
      </c>
      <c r="K101" s="1">
        <f t="shared" si="75"/>
        <v>31910.056260637492</v>
      </c>
      <c r="L101" s="1">
        <f t="shared" si="75"/>
        <v>0</v>
      </c>
      <c r="M101" s="1"/>
      <c r="N101" s="11">
        <f t="shared" si="71"/>
        <v>169123.29818137872</v>
      </c>
    </row>
    <row r="102" spans="1:14">
      <c r="A102" t="str">
        <f t="shared" si="66"/>
        <v xml:space="preserve">Update Market Value After Purchase </v>
      </c>
      <c r="C102" s="1">
        <f t="shared" ref="C102:L102" si="76">IF(C96=1,C95,C94)</f>
        <v>68236.502630399991</v>
      </c>
      <c r="D102" s="1">
        <f t="shared" si="76"/>
        <v>150033.39263999998</v>
      </c>
      <c r="E102" s="1">
        <f t="shared" si="76"/>
        <v>174054.85233074997</v>
      </c>
      <c r="F102" s="1">
        <f t="shared" si="76"/>
        <v>22015.062835199995</v>
      </c>
      <c r="G102" s="1">
        <f t="shared" si="76"/>
        <v>30618.943487999997</v>
      </c>
      <c r="H102" s="1">
        <f t="shared" si="76"/>
        <v>15492.081254399995</v>
      </c>
      <c r="I102" s="1">
        <f t="shared" si="76"/>
        <v>23005.120204799998</v>
      </c>
      <c r="J102" s="1">
        <f t="shared" si="76"/>
        <v>75423.769343324981</v>
      </c>
      <c r="K102" s="1">
        <f t="shared" si="76"/>
        <v>58018.284110249988</v>
      </c>
      <c r="L102" s="1">
        <f t="shared" si="76"/>
        <v>52999.225343999991</v>
      </c>
      <c r="M102" s="1"/>
      <c r="N102" s="11">
        <f t="shared" si="71"/>
        <v>669897.23418112495</v>
      </c>
    </row>
    <row r="103" spans="1:14">
      <c r="A103" t="str">
        <f t="shared" si="66"/>
        <v>Updated Replacement Cost</v>
      </c>
      <c r="C103" s="1">
        <f t="shared" ref="C103:L103" si="77">C95</f>
        <v>90508.523211989988</v>
      </c>
      <c r="D103" s="1">
        <f t="shared" si="77"/>
        <v>174054.85233074997</v>
      </c>
      <c r="E103" s="1">
        <f t="shared" si="77"/>
        <v>174054.85233074997</v>
      </c>
      <c r="F103" s="1">
        <f t="shared" si="77"/>
        <v>44093.895923789991</v>
      </c>
      <c r="G103" s="1">
        <f t="shared" si="77"/>
        <v>40612.798877174995</v>
      </c>
      <c r="H103" s="1">
        <f t="shared" si="77"/>
        <v>22046.947961894995</v>
      </c>
      <c r="I103" s="1">
        <f t="shared" si="77"/>
        <v>26688.410690714994</v>
      </c>
      <c r="J103" s="1">
        <f t="shared" si="77"/>
        <v>75423.769343324981</v>
      </c>
      <c r="K103" s="1">
        <f t="shared" si="77"/>
        <v>58018.284110249988</v>
      </c>
      <c r="L103" s="1">
        <f t="shared" si="77"/>
        <v>75423.769343324981</v>
      </c>
      <c r="M103" s="1"/>
      <c r="N103" s="11">
        <f t="shared" si="71"/>
        <v>780926.10412396479</v>
      </c>
    </row>
    <row r="104" spans="1:14">
      <c r="A104" t="str">
        <f t="shared" si="66"/>
        <v>Update Replacement Year</v>
      </c>
      <c r="B104" s="10"/>
      <c r="C104" s="2">
        <f t="shared" ref="C104:L104" si="78">IF(C96=1,$B93+C$22,C91)</f>
        <v>2005</v>
      </c>
      <c r="D104" s="2">
        <f t="shared" si="78"/>
        <v>2009</v>
      </c>
      <c r="E104" s="2">
        <f t="shared" si="78"/>
        <v>2012</v>
      </c>
      <c r="F104" s="2">
        <f t="shared" si="78"/>
        <v>2007</v>
      </c>
      <c r="G104" s="2">
        <f t="shared" si="78"/>
        <v>2010</v>
      </c>
      <c r="H104" s="2">
        <f t="shared" si="78"/>
        <v>2010</v>
      </c>
      <c r="I104" s="2">
        <f t="shared" si="78"/>
        <v>2014</v>
      </c>
      <c r="J104" s="2">
        <f t="shared" si="78"/>
        <v>2017</v>
      </c>
      <c r="K104" s="2">
        <f t="shared" si="78"/>
        <v>2019</v>
      </c>
      <c r="L104" s="2">
        <f t="shared" si="78"/>
        <v>2011</v>
      </c>
      <c r="M104" s="2"/>
    </row>
    <row r="105" spans="1:14">
      <c r="F105" s="1"/>
      <c r="G105" s="1"/>
      <c r="H105" s="1"/>
      <c r="I105" s="1"/>
      <c r="J105" s="1"/>
      <c r="K105" s="1"/>
      <c r="L105" s="1"/>
      <c r="M105" s="1"/>
    </row>
    <row r="106" spans="1:14">
      <c r="A106" s="10" t="str">
        <f>A28</f>
        <v>Replace Machinery in</v>
      </c>
      <c r="B106" s="6">
        <f>H12</f>
        <v>2005</v>
      </c>
      <c r="N106" s="5">
        <f>B106</f>
        <v>2005</v>
      </c>
    </row>
    <row r="107" spans="1:14">
      <c r="A107" t="str">
        <f t="shared" ref="A107:A117" si="79">A94</f>
        <v>Market Value Jan 1</v>
      </c>
      <c r="B107" s="10"/>
      <c r="C107" s="1">
        <f t="shared" ref="C107:L107" si="80">C102*(1+$H$14)</f>
        <v>65507.042525183992</v>
      </c>
      <c r="D107" s="1">
        <f t="shared" si="80"/>
        <v>144032.05693439997</v>
      </c>
      <c r="E107" s="1">
        <f t="shared" si="80"/>
        <v>167092.65823751997</v>
      </c>
      <c r="F107" s="1">
        <f t="shared" si="80"/>
        <v>21134.460321791994</v>
      </c>
      <c r="G107" s="1">
        <f t="shared" si="80"/>
        <v>29394.185748479995</v>
      </c>
      <c r="H107" s="1">
        <f t="shared" si="80"/>
        <v>14872.398004223995</v>
      </c>
      <c r="I107" s="1">
        <f t="shared" si="80"/>
        <v>22084.915396607998</v>
      </c>
      <c r="J107" s="1">
        <f t="shared" si="80"/>
        <v>72406.818569591982</v>
      </c>
      <c r="K107" s="1">
        <f t="shared" si="80"/>
        <v>55697.552745839988</v>
      </c>
      <c r="L107" s="1">
        <f t="shared" si="80"/>
        <v>50879.256330239987</v>
      </c>
      <c r="M107" s="1"/>
      <c r="N107" s="11"/>
    </row>
    <row r="108" spans="1:14">
      <c r="A108" t="str">
        <f t="shared" si="79"/>
        <v>Cost of Replacement Jan 1</v>
      </c>
      <c r="B108" s="10"/>
      <c r="C108" s="1">
        <f t="shared" ref="C108:L108" si="81">C103*(1+$H$13)</f>
        <v>93495.304477985657</v>
      </c>
      <c r="D108" s="1">
        <f t="shared" si="81"/>
        <v>179798.6624576647</v>
      </c>
      <c r="E108" s="1">
        <f t="shared" si="81"/>
        <v>179798.6624576647</v>
      </c>
      <c r="F108" s="1">
        <f t="shared" si="81"/>
        <v>45548.994489275057</v>
      </c>
      <c r="G108" s="1">
        <f t="shared" si="81"/>
        <v>41953.021240121765</v>
      </c>
      <c r="H108" s="1">
        <f t="shared" si="81"/>
        <v>22774.497244637529</v>
      </c>
      <c r="I108" s="1">
        <f t="shared" si="81"/>
        <v>27569.128243508589</v>
      </c>
      <c r="J108" s="1">
        <f t="shared" si="81"/>
        <v>77912.753731654695</v>
      </c>
      <c r="K108" s="1">
        <f t="shared" si="81"/>
        <v>59932.887485888234</v>
      </c>
      <c r="L108" s="1">
        <f t="shared" si="81"/>
        <v>77912.753731654695</v>
      </c>
      <c r="M108" s="1"/>
      <c r="N108" s="11"/>
    </row>
    <row r="109" spans="1:14">
      <c r="A109" t="str">
        <f t="shared" si="79"/>
        <v>Replace if 1 Not Replaced if 0</v>
      </c>
      <c r="B109" s="10"/>
      <c r="C109" s="1">
        <f t="shared" ref="C109:L109" si="82">IF($B106=C104,1,0)</f>
        <v>1</v>
      </c>
      <c r="D109" s="1">
        <f t="shared" si="82"/>
        <v>0</v>
      </c>
      <c r="E109" s="1">
        <f t="shared" si="82"/>
        <v>0</v>
      </c>
      <c r="F109" s="1">
        <f t="shared" si="82"/>
        <v>0</v>
      </c>
      <c r="G109" s="1">
        <f t="shared" si="82"/>
        <v>0</v>
      </c>
      <c r="H109" s="1">
        <f t="shared" si="82"/>
        <v>0</v>
      </c>
      <c r="I109" s="1">
        <f t="shared" si="82"/>
        <v>0</v>
      </c>
      <c r="J109" s="1">
        <f t="shared" si="82"/>
        <v>0</v>
      </c>
      <c r="K109" s="1">
        <f t="shared" si="82"/>
        <v>0</v>
      </c>
      <c r="L109" s="1">
        <f t="shared" si="82"/>
        <v>0</v>
      </c>
      <c r="M109" s="1"/>
      <c r="N109" s="11"/>
    </row>
    <row r="110" spans="1:14">
      <c r="A110" t="str">
        <f t="shared" si="79"/>
        <v>Cost of Machinery Purchased</v>
      </c>
      <c r="C110" s="1">
        <f t="shared" ref="C110:L110" si="83">IF(C109=1,C108,0)</f>
        <v>93495.304477985657</v>
      </c>
      <c r="D110" s="1">
        <f t="shared" si="83"/>
        <v>0</v>
      </c>
      <c r="E110" s="1">
        <f t="shared" si="83"/>
        <v>0</v>
      </c>
      <c r="F110" s="1">
        <f t="shared" si="83"/>
        <v>0</v>
      </c>
      <c r="G110" s="1">
        <f t="shared" si="83"/>
        <v>0</v>
      </c>
      <c r="H110" s="1">
        <f t="shared" si="83"/>
        <v>0</v>
      </c>
      <c r="I110" s="1">
        <f t="shared" si="83"/>
        <v>0</v>
      </c>
      <c r="J110" s="1">
        <f t="shared" si="83"/>
        <v>0</v>
      </c>
      <c r="K110" s="1">
        <f t="shared" si="83"/>
        <v>0</v>
      </c>
      <c r="L110" s="1">
        <f t="shared" si="83"/>
        <v>0</v>
      </c>
      <c r="M110" s="1"/>
      <c r="N110" s="11">
        <f t="shared" ref="N110:N116" si="84">SUM(C110:L110)</f>
        <v>93495.304477985657</v>
      </c>
    </row>
    <row r="111" spans="1:14">
      <c r="A111" t="str">
        <f t="shared" si="79"/>
        <v xml:space="preserve">Value of Trade In </v>
      </c>
      <c r="C111" s="1">
        <f t="shared" ref="C111:L111" si="85">IF(C109=1,C107,0)</f>
        <v>65507.042525183992</v>
      </c>
      <c r="D111" s="1">
        <f t="shared" si="85"/>
        <v>0</v>
      </c>
      <c r="E111" s="1">
        <f t="shared" si="85"/>
        <v>0</v>
      </c>
      <c r="F111" s="1">
        <f t="shared" si="85"/>
        <v>0</v>
      </c>
      <c r="G111" s="1">
        <f t="shared" si="85"/>
        <v>0</v>
      </c>
      <c r="H111" s="1">
        <f t="shared" si="85"/>
        <v>0</v>
      </c>
      <c r="I111" s="1">
        <f t="shared" si="85"/>
        <v>0</v>
      </c>
      <c r="J111" s="1">
        <f t="shared" si="85"/>
        <v>0</v>
      </c>
      <c r="K111" s="1">
        <f t="shared" si="85"/>
        <v>0</v>
      </c>
      <c r="L111" s="1">
        <f t="shared" si="85"/>
        <v>0</v>
      </c>
      <c r="M111" s="1"/>
      <c r="N111" s="11">
        <f t="shared" si="84"/>
        <v>65507.042525183992</v>
      </c>
    </row>
    <row r="112" spans="1:14">
      <c r="A112" t="str">
        <f t="shared" si="79"/>
        <v>Minimum Downpayment</v>
      </c>
      <c r="B112" s="10"/>
      <c r="C112" s="1">
        <f t="shared" ref="C112:L112" si="86">IF(C109=1,C108*$D$9,0)</f>
        <v>42072.887015093547</v>
      </c>
      <c r="D112" s="1">
        <f t="shared" si="86"/>
        <v>0</v>
      </c>
      <c r="E112" s="1">
        <f t="shared" si="86"/>
        <v>0</v>
      </c>
      <c r="F112" s="1">
        <f t="shared" si="86"/>
        <v>0</v>
      </c>
      <c r="G112" s="1">
        <f t="shared" si="86"/>
        <v>0</v>
      </c>
      <c r="H112" s="1">
        <f t="shared" si="86"/>
        <v>0</v>
      </c>
      <c r="I112" s="1">
        <f t="shared" si="86"/>
        <v>0</v>
      </c>
      <c r="J112" s="1">
        <f t="shared" si="86"/>
        <v>0</v>
      </c>
      <c r="K112" s="1">
        <f t="shared" si="86"/>
        <v>0</v>
      </c>
      <c r="L112" s="1">
        <f t="shared" si="86"/>
        <v>0</v>
      </c>
      <c r="M112" s="1"/>
      <c r="N112" s="11">
        <f t="shared" si="84"/>
        <v>42072.887015093547</v>
      </c>
    </row>
    <row r="113" spans="1:14">
      <c r="A113" t="str">
        <f t="shared" si="79"/>
        <v>Actual Cash Difference</v>
      </c>
      <c r="B113" s="10"/>
      <c r="C113" s="1">
        <f t="shared" ref="C113:L113" si="87">IF(AND(C109=1,C112&gt;C107),C112-C107,0)</f>
        <v>0</v>
      </c>
      <c r="D113" s="1">
        <f t="shared" si="87"/>
        <v>0</v>
      </c>
      <c r="E113" s="1">
        <f t="shared" si="87"/>
        <v>0</v>
      </c>
      <c r="F113" s="1">
        <f t="shared" si="87"/>
        <v>0</v>
      </c>
      <c r="G113" s="1">
        <f t="shared" si="87"/>
        <v>0</v>
      </c>
      <c r="H113" s="1">
        <f t="shared" si="87"/>
        <v>0</v>
      </c>
      <c r="I113" s="1">
        <f t="shared" si="87"/>
        <v>0</v>
      </c>
      <c r="J113" s="1">
        <f t="shared" si="87"/>
        <v>0</v>
      </c>
      <c r="K113" s="1">
        <f t="shared" si="87"/>
        <v>0</v>
      </c>
      <c r="L113" s="1">
        <f t="shared" si="87"/>
        <v>0</v>
      </c>
      <c r="M113" s="1"/>
      <c r="N113" s="11">
        <f t="shared" si="84"/>
        <v>0</v>
      </c>
    </row>
    <row r="114" spans="1:14">
      <c r="A114" t="str">
        <f t="shared" si="79"/>
        <v>Amount Financed</v>
      </c>
      <c r="C114" s="1">
        <f t="shared" ref="C114:L114" si="88">IF(C109=1,IF(C107&gt;C112,(C108-C107),(C108-C112)),0)</f>
        <v>27988.261952801666</v>
      </c>
      <c r="D114" s="1">
        <f t="shared" si="88"/>
        <v>0</v>
      </c>
      <c r="E114" s="1">
        <f t="shared" si="88"/>
        <v>0</v>
      </c>
      <c r="F114" s="1">
        <f t="shared" si="88"/>
        <v>0</v>
      </c>
      <c r="G114" s="1">
        <f t="shared" si="88"/>
        <v>0</v>
      </c>
      <c r="H114" s="1">
        <f t="shared" si="88"/>
        <v>0</v>
      </c>
      <c r="I114" s="1">
        <f t="shared" si="88"/>
        <v>0</v>
      </c>
      <c r="J114" s="1">
        <f t="shared" si="88"/>
        <v>0</v>
      </c>
      <c r="K114" s="1">
        <f t="shared" si="88"/>
        <v>0</v>
      </c>
      <c r="L114" s="1">
        <f t="shared" si="88"/>
        <v>0</v>
      </c>
      <c r="M114" s="1"/>
      <c r="N114" s="11">
        <f t="shared" si="84"/>
        <v>27988.261952801666</v>
      </c>
    </row>
    <row r="115" spans="1:14">
      <c r="A115" t="str">
        <f t="shared" si="79"/>
        <v xml:space="preserve">Update Market Value After Purchase </v>
      </c>
      <c r="C115" s="1">
        <f t="shared" ref="C115:L115" si="89">IF(C109=1,C108,C107)</f>
        <v>93495.304477985657</v>
      </c>
      <c r="D115" s="1">
        <f t="shared" si="89"/>
        <v>144032.05693439997</v>
      </c>
      <c r="E115" s="1">
        <f t="shared" si="89"/>
        <v>167092.65823751997</v>
      </c>
      <c r="F115" s="1">
        <f t="shared" si="89"/>
        <v>21134.460321791994</v>
      </c>
      <c r="G115" s="1">
        <f t="shared" si="89"/>
        <v>29394.185748479995</v>
      </c>
      <c r="H115" s="1">
        <f t="shared" si="89"/>
        <v>14872.398004223995</v>
      </c>
      <c r="I115" s="1">
        <f t="shared" si="89"/>
        <v>22084.915396607998</v>
      </c>
      <c r="J115" s="1">
        <f t="shared" si="89"/>
        <v>72406.818569591982</v>
      </c>
      <c r="K115" s="1">
        <f t="shared" si="89"/>
        <v>55697.552745839988</v>
      </c>
      <c r="L115" s="1">
        <f t="shared" si="89"/>
        <v>50879.256330239987</v>
      </c>
      <c r="M115" s="1"/>
      <c r="N115" s="11">
        <f t="shared" si="84"/>
        <v>671089.60676668154</v>
      </c>
    </row>
    <row r="116" spans="1:14">
      <c r="A116" t="str">
        <f t="shared" si="79"/>
        <v>Updated Replacement Cost</v>
      </c>
      <c r="C116" s="1">
        <f t="shared" ref="C116:L116" si="90">C108</f>
        <v>93495.304477985657</v>
      </c>
      <c r="D116" s="1">
        <f t="shared" si="90"/>
        <v>179798.6624576647</v>
      </c>
      <c r="E116" s="1">
        <f t="shared" si="90"/>
        <v>179798.6624576647</v>
      </c>
      <c r="F116" s="1">
        <f t="shared" si="90"/>
        <v>45548.994489275057</v>
      </c>
      <c r="G116" s="1">
        <f t="shared" si="90"/>
        <v>41953.021240121765</v>
      </c>
      <c r="H116" s="1">
        <f t="shared" si="90"/>
        <v>22774.497244637529</v>
      </c>
      <c r="I116" s="1">
        <f t="shared" si="90"/>
        <v>27569.128243508589</v>
      </c>
      <c r="J116" s="1">
        <f t="shared" si="90"/>
        <v>77912.753731654695</v>
      </c>
      <c r="K116" s="1">
        <f t="shared" si="90"/>
        <v>59932.887485888234</v>
      </c>
      <c r="L116" s="1">
        <f t="shared" si="90"/>
        <v>77912.753731654695</v>
      </c>
      <c r="M116" s="1"/>
      <c r="N116" s="11">
        <f t="shared" si="84"/>
        <v>806696.66556005576</v>
      </c>
    </row>
    <row r="117" spans="1:14">
      <c r="A117" t="str">
        <f t="shared" si="79"/>
        <v>Update Replacement Year</v>
      </c>
      <c r="B117" s="10"/>
      <c r="C117" s="2">
        <f t="shared" ref="C117:L117" si="91">IF(C109=1,$B106+C$22,C104)</f>
        <v>2010</v>
      </c>
      <c r="D117" s="2">
        <f t="shared" si="91"/>
        <v>2009</v>
      </c>
      <c r="E117" s="2">
        <f t="shared" si="91"/>
        <v>2012</v>
      </c>
      <c r="F117" s="2">
        <f t="shared" si="91"/>
        <v>2007</v>
      </c>
      <c r="G117" s="2">
        <f t="shared" si="91"/>
        <v>2010</v>
      </c>
      <c r="H117" s="2">
        <f t="shared" si="91"/>
        <v>2010</v>
      </c>
      <c r="I117" s="2">
        <f t="shared" si="91"/>
        <v>2014</v>
      </c>
      <c r="J117" s="2">
        <f t="shared" si="91"/>
        <v>2017</v>
      </c>
      <c r="K117" s="2">
        <f t="shared" si="91"/>
        <v>2019</v>
      </c>
      <c r="L117" s="2">
        <f t="shared" si="91"/>
        <v>2011</v>
      </c>
      <c r="M117" s="2"/>
    </row>
    <row r="118" spans="1:14">
      <c r="F118" s="1"/>
      <c r="G118" s="1"/>
      <c r="H118" s="1"/>
      <c r="I118" s="1"/>
      <c r="J118" s="1"/>
      <c r="K118" s="1"/>
      <c r="L118" s="1"/>
      <c r="M118" s="1"/>
    </row>
    <row r="119" spans="1:14">
      <c r="A119" s="10" t="str">
        <f>A28</f>
        <v>Replace Machinery in</v>
      </c>
      <c r="B119" s="6">
        <f>I12</f>
        <v>2006</v>
      </c>
      <c r="N119" s="5">
        <f>B119</f>
        <v>2006</v>
      </c>
    </row>
    <row r="120" spans="1:14">
      <c r="A120" t="str">
        <f t="shared" ref="A120:A130" si="92">A107</f>
        <v>Market Value Jan 1</v>
      </c>
      <c r="B120" s="10"/>
      <c r="C120" s="1">
        <f t="shared" ref="C120:L120" si="93">C115*(1+$I$14)</f>
        <v>89755.492298866229</v>
      </c>
      <c r="D120" s="1">
        <f t="shared" si="93"/>
        <v>138270.77465702395</v>
      </c>
      <c r="E120" s="1">
        <f t="shared" si="93"/>
        <v>160408.95190801917</v>
      </c>
      <c r="F120" s="1">
        <f t="shared" si="93"/>
        <v>20289.081908920314</v>
      </c>
      <c r="G120" s="1">
        <f t="shared" si="93"/>
        <v>28218.418318540793</v>
      </c>
      <c r="H120" s="1">
        <f t="shared" si="93"/>
        <v>14277.502084055035</v>
      </c>
      <c r="I120" s="1">
        <f t="shared" si="93"/>
        <v>21201.518780743678</v>
      </c>
      <c r="J120" s="1">
        <f t="shared" si="93"/>
        <v>69510.545826808302</v>
      </c>
      <c r="K120" s="1">
        <f t="shared" si="93"/>
        <v>53469.650636006387</v>
      </c>
      <c r="L120" s="1">
        <f t="shared" si="93"/>
        <v>48844.086077030384</v>
      </c>
      <c r="M120" s="1"/>
      <c r="N120" s="11"/>
    </row>
    <row r="121" spans="1:14">
      <c r="A121" t="str">
        <f t="shared" si="92"/>
        <v>Cost of Replacement Jan 1</v>
      </c>
      <c r="B121" s="10"/>
      <c r="C121" s="1">
        <f t="shared" ref="C121:L121" si="94">C116*(1+$I$13)</f>
        <v>96393.658916803208</v>
      </c>
      <c r="D121" s="1">
        <f t="shared" si="94"/>
        <v>185372.42099385228</v>
      </c>
      <c r="E121" s="1">
        <f t="shared" si="94"/>
        <v>185372.42099385228</v>
      </c>
      <c r="F121" s="1">
        <f t="shared" si="94"/>
        <v>46961.013318442579</v>
      </c>
      <c r="G121" s="1">
        <f t="shared" si="94"/>
        <v>43253.564898565535</v>
      </c>
      <c r="H121" s="1">
        <f t="shared" si="94"/>
        <v>23480.50665922129</v>
      </c>
      <c r="I121" s="1">
        <f t="shared" si="94"/>
        <v>28423.771219057351</v>
      </c>
      <c r="J121" s="1">
        <f t="shared" si="94"/>
        <v>80328.049097335985</v>
      </c>
      <c r="K121" s="1">
        <f t="shared" si="94"/>
        <v>61790.806997950764</v>
      </c>
      <c r="L121" s="1">
        <f t="shared" si="94"/>
        <v>80328.049097335985</v>
      </c>
      <c r="M121" s="1"/>
      <c r="N121" s="11"/>
    </row>
    <row r="122" spans="1:14">
      <c r="A122" t="str">
        <f t="shared" si="92"/>
        <v>Replace if 1 Not Replaced if 0</v>
      </c>
      <c r="B122" s="10"/>
      <c r="C122" s="1">
        <f t="shared" ref="C122:L122" si="95">IF($B119=C117,1,0)</f>
        <v>0</v>
      </c>
      <c r="D122" s="1">
        <f t="shared" si="95"/>
        <v>0</v>
      </c>
      <c r="E122" s="1">
        <f t="shared" si="95"/>
        <v>0</v>
      </c>
      <c r="F122" s="1">
        <f t="shared" si="95"/>
        <v>0</v>
      </c>
      <c r="G122" s="1">
        <f t="shared" si="95"/>
        <v>0</v>
      </c>
      <c r="H122" s="1">
        <f t="shared" si="95"/>
        <v>0</v>
      </c>
      <c r="I122" s="1">
        <f t="shared" si="95"/>
        <v>0</v>
      </c>
      <c r="J122" s="1">
        <f t="shared" si="95"/>
        <v>0</v>
      </c>
      <c r="K122" s="1">
        <f t="shared" si="95"/>
        <v>0</v>
      </c>
      <c r="L122" s="1">
        <f t="shared" si="95"/>
        <v>0</v>
      </c>
      <c r="M122" s="1"/>
      <c r="N122" s="11"/>
    </row>
    <row r="123" spans="1:14">
      <c r="A123" t="str">
        <f t="shared" si="92"/>
        <v>Cost of Machinery Purchased</v>
      </c>
      <c r="C123" s="1">
        <f t="shared" ref="C123:L123" si="96">IF(C122=1,C121,0)</f>
        <v>0</v>
      </c>
      <c r="D123" s="1">
        <f t="shared" si="96"/>
        <v>0</v>
      </c>
      <c r="E123" s="1">
        <f t="shared" si="96"/>
        <v>0</v>
      </c>
      <c r="F123" s="1">
        <f t="shared" si="96"/>
        <v>0</v>
      </c>
      <c r="G123" s="1">
        <f t="shared" si="96"/>
        <v>0</v>
      </c>
      <c r="H123" s="1">
        <f t="shared" si="96"/>
        <v>0</v>
      </c>
      <c r="I123" s="1">
        <f t="shared" si="96"/>
        <v>0</v>
      </c>
      <c r="J123" s="1">
        <f t="shared" si="96"/>
        <v>0</v>
      </c>
      <c r="K123" s="1">
        <f t="shared" si="96"/>
        <v>0</v>
      </c>
      <c r="L123" s="1">
        <f t="shared" si="96"/>
        <v>0</v>
      </c>
      <c r="M123" s="1"/>
      <c r="N123" s="11">
        <f t="shared" ref="N123:N129" si="97">SUM(C123:L123)</f>
        <v>0</v>
      </c>
    </row>
    <row r="124" spans="1:14">
      <c r="A124" t="str">
        <f t="shared" si="92"/>
        <v xml:space="preserve">Value of Trade In </v>
      </c>
      <c r="C124" s="1">
        <f t="shared" ref="C124:L124" si="98">IF(C122=1,C120,0)</f>
        <v>0</v>
      </c>
      <c r="D124" s="1">
        <f t="shared" si="98"/>
        <v>0</v>
      </c>
      <c r="E124" s="1">
        <f t="shared" si="98"/>
        <v>0</v>
      </c>
      <c r="F124" s="1">
        <f t="shared" si="98"/>
        <v>0</v>
      </c>
      <c r="G124" s="1">
        <f t="shared" si="98"/>
        <v>0</v>
      </c>
      <c r="H124" s="1">
        <f t="shared" si="98"/>
        <v>0</v>
      </c>
      <c r="I124" s="1">
        <f t="shared" si="98"/>
        <v>0</v>
      </c>
      <c r="J124" s="1">
        <f t="shared" si="98"/>
        <v>0</v>
      </c>
      <c r="K124" s="1">
        <f t="shared" si="98"/>
        <v>0</v>
      </c>
      <c r="L124" s="1">
        <f t="shared" si="98"/>
        <v>0</v>
      </c>
      <c r="M124" s="1"/>
      <c r="N124" s="11">
        <f t="shared" si="97"/>
        <v>0</v>
      </c>
    </row>
    <row r="125" spans="1:14">
      <c r="A125" t="str">
        <f t="shared" si="92"/>
        <v>Minimum Downpayment</v>
      </c>
      <c r="B125" s="10"/>
      <c r="C125" s="1">
        <f t="shared" ref="C125:L125" si="99">IF(C122=1,C121*$D$9,0)</f>
        <v>0</v>
      </c>
      <c r="D125" s="1">
        <f t="shared" si="99"/>
        <v>0</v>
      </c>
      <c r="E125" s="1">
        <f t="shared" si="99"/>
        <v>0</v>
      </c>
      <c r="F125" s="1">
        <f t="shared" si="99"/>
        <v>0</v>
      </c>
      <c r="G125" s="1">
        <f t="shared" si="99"/>
        <v>0</v>
      </c>
      <c r="H125" s="1">
        <f t="shared" si="99"/>
        <v>0</v>
      </c>
      <c r="I125" s="1">
        <f t="shared" si="99"/>
        <v>0</v>
      </c>
      <c r="J125" s="1">
        <f t="shared" si="99"/>
        <v>0</v>
      </c>
      <c r="K125" s="1">
        <f t="shared" si="99"/>
        <v>0</v>
      </c>
      <c r="L125" s="1">
        <f t="shared" si="99"/>
        <v>0</v>
      </c>
      <c r="M125" s="1"/>
      <c r="N125" s="11">
        <f t="shared" si="97"/>
        <v>0</v>
      </c>
    </row>
    <row r="126" spans="1:14">
      <c r="A126" t="str">
        <f t="shared" si="92"/>
        <v>Actual Cash Difference</v>
      </c>
      <c r="B126" s="10"/>
      <c r="C126" s="1">
        <f t="shared" ref="C126:L126" si="100">IF(AND(C122=1,C125&gt;C120),C125-C120,0)</f>
        <v>0</v>
      </c>
      <c r="D126" s="1">
        <f t="shared" si="100"/>
        <v>0</v>
      </c>
      <c r="E126" s="1">
        <f t="shared" si="100"/>
        <v>0</v>
      </c>
      <c r="F126" s="1">
        <f t="shared" si="100"/>
        <v>0</v>
      </c>
      <c r="G126" s="1">
        <f t="shared" si="100"/>
        <v>0</v>
      </c>
      <c r="H126" s="1">
        <f t="shared" si="100"/>
        <v>0</v>
      </c>
      <c r="I126" s="1">
        <f t="shared" si="100"/>
        <v>0</v>
      </c>
      <c r="J126" s="1">
        <f t="shared" si="100"/>
        <v>0</v>
      </c>
      <c r="K126" s="1">
        <f t="shared" si="100"/>
        <v>0</v>
      </c>
      <c r="L126" s="1">
        <f t="shared" si="100"/>
        <v>0</v>
      </c>
      <c r="M126" s="1"/>
      <c r="N126" s="11">
        <f t="shared" si="97"/>
        <v>0</v>
      </c>
    </row>
    <row r="127" spans="1:14">
      <c r="A127" t="str">
        <f t="shared" si="92"/>
        <v>Amount Financed</v>
      </c>
      <c r="C127" s="1">
        <f t="shared" ref="C127:L127" si="101">IF(C122=1,IF(C120&gt;C125,(C121-C120),(C121-C125)),0)</f>
        <v>0</v>
      </c>
      <c r="D127" s="1">
        <f t="shared" si="101"/>
        <v>0</v>
      </c>
      <c r="E127" s="1">
        <f t="shared" si="101"/>
        <v>0</v>
      </c>
      <c r="F127" s="1">
        <f t="shared" si="101"/>
        <v>0</v>
      </c>
      <c r="G127" s="1">
        <f t="shared" si="101"/>
        <v>0</v>
      </c>
      <c r="H127" s="1">
        <f t="shared" si="101"/>
        <v>0</v>
      </c>
      <c r="I127" s="1">
        <f t="shared" si="101"/>
        <v>0</v>
      </c>
      <c r="J127" s="1">
        <f t="shared" si="101"/>
        <v>0</v>
      </c>
      <c r="K127" s="1">
        <f t="shared" si="101"/>
        <v>0</v>
      </c>
      <c r="L127" s="1">
        <f t="shared" si="101"/>
        <v>0</v>
      </c>
      <c r="M127" s="1"/>
      <c r="N127" s="11">
        <f t="shared" si="97"/>
        <v>0</v>
      </c>
    </row>
    <row r="128" spans="1:14">
      <c r="A128" t="str">
        <f t="shared" si="92"/>
        <v xml:space="preserve">Update Market Value After Purchase </v>
      </c>
      <c r="C128" s="1">
        <f t="shared" ref="C128:L128" si="102">IF(C122=1,C121,C120)</f>
        <v>89755.492298866229</v>
      </c>
      <c r="D128" s="1">
        <f t="shared" si="102"/>
        <v>138270.77465702395</v>
      </c>
      <c r="E128" s="1">
        <f t="shared" si="102"/>
        <v>160408.95190801917</v>
      </c>
      <c r="F128" s="1">
        <f t="shared" si="102"/>
        <v>20289.081908920314</v>
      </c>
      <c r="G128" s="1">
        <f t="shared" si="102"/>
        <v>28218.418318540793</v>
      </c>
      <c r="H128" s="1">
        <f t="shared" si="102"/>
        <v>14277.502084055035</v>
      </c>
      <c r="I128" s="1">
        <f t="shared" si="102"/>
        <v>21201.518780743678</v>
      </c>
      <c r="J128" s="1">
        <f t="shared" si="102"/>
        <v>69510.545826808302</v>
      </c>
      <c r="K128" s="1">
        <f t="shared" si="102"/>
        <v>53469.650636006387</v>
      </c>
      <c r="L128" s="1">
        <f t="shared" si="102"/>
        <v>48844.086077030384</v>
      </c>
      <c r="M128" s="1"/>
      <c r="N128" s="11">
        <f t="shared" si="97"/>
        <v>644246.02249601425</v>
      </c>
    </row>
    <row r="129" spans="1:14">
      <c r="A129" t="str">
        <f t="shared" si="92"/>
        <v>Updated Replacement Cost</v>
      </c>
      <c r="C129" s="1">
        <f t="shared" ref="C129:L129" si="103">C121</f>
        <v>96393.658916803208</v>
      </c>
      <c r="D129" s="1">
        <f t="shared" si="103"/>
        <v>185372.42099385228</v>
      </c>
      <c r="E129" s="1">
        <f t="shared" si="103"/>
        <v>185372.42099385228</v>
      </c>
      <c r="F129" s="1">
        <f t="shared" si="103"/>
        <v>46961.013318442579</v>
      </c>
      <c r="G129" s="1">
        <f t="shared" si="103"/>
        <v>43253.564898565535</v>
      </c>
      <c r="H129" s="1">
        <f t="shared" si="103"/>
        <v>23480.50665922129</v>
      </c>
      <c r="I129" s="1">
        <f t="shared" si="103"/>
        <v>28423.771219057351</v>
      </c>
      <c r="J129" s="1">
        <f t="shared" si="103"/>
        <v>80328.049097335985</v>
      </c>
      <c r="K129" s="1">
        <f t="shared" si="103"/>
        <v>61790.806997950764</v>
      </c>
      <c r="L129" s="1">
        <f t="shared" si="103"/>
        <v>80328.049097335985</v>
      </c>
      <c r="M129" s="1"/>
      <c r="N129" s="11">
        <f t="shared" si="97"/>
        <v>831704.2621924174</v>
      </c>
    </row>
    <row r="130" spans="1:14">
      <c r="A130" t="str">
        <f t="shared" si="92"/>
        <v>Update Replacement Year</v>
      </c>
      <c r="B130" s="10"/>
      <c r="C130" s="2">
        <f t="shared" ref="C130:L130" si="104">IF(C122=1,$B119+C$22,C117)</f>
        <v>2010</v>
      </c>
      <c r="D130" s="2">
        <f t="shared" si="104"/>
        <v>2009</v>
      </c>
      <c r="E130" s="2">
        <f t="shared" si="104"/>
        <v>2012</v>
      </c>
      <c r="F130" s="2">
        <f t="shared" si="104"/>
        <v>2007</v>
      </c>
      <c r="G130" s="2">
        <f t="shared" si="104"/>
        <v>2010</v>
      </c>
      <c r="H130" s="2">
        <f t="shared" si="104"/>
        <v>2010</v>
      </c>
      <c r="I130" s="2">
        <f t="shared" si="104"/>
        <v>2014</v>
      </c>
      <c r="J130" s="2">
        <f t="shared" si="104"/>
        <v>2017</v>
      </c>
      <c r="K130" s="2">
        <f t="shared" si="104"/>
        <v>2019</v>
      </c>
      <c r="L130" s="2">
        <f t="shared" si="104"/>
        <v>2011</v>
      </c>
      <c r="M130" s="2"/>
    </row>
    <row r="131" spans="1:14">
      <c r="F131" s="1"/>
      <c r="G131" s="1"/>
      <c r="H131" s="1"/>
      <c r="I131" s="1"/>
      <c r="J131" s="1"/>
      <c r="K131" s="1"/>
      <c r="L131" s="1"/>
      <c r="M131" s="1"/>
    </row>
    <row r="132" spans="1:14">
      <c r="A132" s="10" t="str">
        <f>A28</f>
        <v>Replace Machinery in</v>
      </c>
      <c r="B132" s="6">
        <f>J12</f>
        <v>2007</v>
      </c>
      <c r="N132" s="5">
        <f>B132</f>
        <v>2007</v>
      </c>
    </row>
    <row r="133" spans="1:14">
      <c r="A133" t="str">
        <f t="shared" ref="A133:A143" si="105">A120</f>
        <v>Market Value Jan 1</v>
      </c>
      <c r="B133" s="10"/>
      <c r="C133" s="1">
        <f t="shared" ref="C133:L133" si="106">C128*(1+$J$14)</f>
        <v>86165.272606911574</v>
      </c>
      <c r="D133" s="1">
        <f t="shared" si="106"/>
        <v>132739.943670743</v>
      </c>
      <c r="E133" s="1">
        <f t="shared" si="106"/>
        <v>153992.59383169838</v>
      </c>
      <c r="F133" s="1">
        <f t="shared" si="106"/>
        <v>19477.5186325635</v>
      </c>
      <c r="G133" s="1">
        <f t="shared" si="106"/>
        <v>27089.681585799161</v>
      </c>
      <c r="H133" s="1">
        <f t="shared" si="106"/>
        <v>13706.402000692833</v>
      </c>
      <c r="I133" s="1">
        <f t="shared" si="106"/>
        <v>20353.458029513931</v>
      </c>
      <c r="J133" s="1">
        <f t="shared" si="106"/>
        <v>66730.123993735964</v>
      </c>
      <c r="K133" s="1">
        <f t="shared" si="106"/>
        <v>51330.864610566132</v>
      </c>
      <c r="L133" s="1">
        <f t="shared" si="106"/>
        <v>46890.322633949167</v>
      </c>
      <c r="M133" s="1"/>
      <c r="N133" s="11"/>
    </row>
    <row r="134" spans="1:14">
      <c r="A134" t="str">
        <f t="shared" si="105"/>
        <v>Cost of Replacement Jan 1</v>
      </c>
      <c r="B134" s="10"/>
      <c r="C134" s="1">
        <f t="shared" ref="C134:L134" si="107">C129*(1+$J$13)</f>
        <v>98803.500389723282</v>
      </c>
      <c r="D134" s="1">
        <f t="shared" si="107"/>
        <v>190006.73151869857</v>
      </c>
      <c r="E134" s="1">
        <f t="shared" si="107"/>
        <v>190006.73151869857</v>
      </c>
      <c r="F134" s="1">
        <f t="shared" si="107"/>
        <v>48135.038651403636</v>
      </c>
      <c r="G134" s="1">
        <f t="shared" si="107"/>
        <v>44334.904021029666</v>
      </c>
      <c r="H134" s="1">
        <f t="shared" si="107"/>
        <v>24067.519325701818</v>
      </c>
      <c r="I134" s="1">
        <f t="shared" si="107"/>
        <v>29134.365499533782</v>
      </c>
      <c r="J134" s="1">
        <f t="shared" si="107"/>
        <v>82336.250324769382</v>
      </c>
      <c r="K134" s="1">
        <f t="shared" si="107"/>
        <v>63335.577172899524</v>
      </c>
      <c r="L134" s="1">
        <f t="shared" si="107"/>
        <v>82336.250324769382</v>
      </c>
      <c r="M134" s="1"/>
      <c r="N134" s="11"/>
    </row>
    <row r="135" spans="1:14">
      <c r="A135" t="str">
        <f t="shared" si="105"/>
        <v>Replace if 1 Not Replaced if 0</v>
      </c>
      <c r="B135" s="10"/>
      <c r="C135" s="1">
        <f t="shared" ref="C135:L135" si="108">IF($B132=C130,1,0)</f>
        <v>0</v>
      </c>
      <c r="D135" s="1">
        <f t="shared" si="108"/>
        <v>0</v>
      </c>
      <c r="E135" s="1">
        <f t="shared" si="108"/>
        <v>0</v>
      </c>
      <c r="F135" s="1">
        <f t="shared" si="108"/>
        <v>1</v>
      </c>
      <c r="G135" s="1">
        <f t="shared" si="108"/>
        <v>0</v>
      </c>
      <c r="H135" s="1">
        <f t="shared" si="108"/>
        <v>0</v>
      </c>
      <c r="I135" s="1">
        <f t="shared" si="108"/>
        <v>0</v>
      </c>
      <c r="J135" s="1">
        <f t="shared" si="108"/>
        <v>0</v>
      </c>
      <c r="K135" s="1">
        <f t="shared" si="108"/>
        <v>0</v>
      </c>
      <c r="L135" s="1">
        <f t="shared" si="108"/>
        <v>0</v>
      </c>
      <c r="M135" s="1"/>
      <c r="N135" s="11"/>
    </row>
    <row r="136" spans="1:14">
      <c r="A136" t="str">
        <f t="shared" si="105"/>
        <v>Cost of Machinery Purchased</v>
      </c>
      <c r="C136" s="1">
        <f t="shared" ref="C136:L136" si="109">IF(C135=1,C134,0)</f>
        <v>0</v>
      </c>
      <c r="D136" s="1">
        <f t="shared" si="109"/>
        <v>0</v>
      </c>
      <c r="E136" s="1">
        <f t="shared" si="109"/>
        <v>0</v>
      </c>
      <c r="F136" s="1">
        <f t="shared" si="109"/>
        <v>48135.038651403636</v>
      </c>
      <c r="G136" s="1">
        <f t="shared" si="109"/>
        <v>0</v>
      </c>
      <c r="H136" s="1">
        <f t="shared" si="109"/>
        <v>0</v>
      </c>
      <c r="I136" s="1">
        <f t="shared" si="109"/>
        <v>0</v>
      </c>
      <c r="J136" s="1">
        <f t="shared" si="109"/>
        <v>0</v>
      </c>
      <c r="K136" s="1">
        <f t="shared" si="109"/>
        <v>0</v>
      </c>
      <c r="L136" s="1">
        <f t="shared" si="109"/>
        <v>0</v>
      </c>
      <c r="M136" s="1"/>
      <c r="N136" s="11">
        <f t="shared" ref="N136:N142" si="110">SUM(C136:L136)</f>
        <v>48135.038651403636</v>
      </c>
    </row>
    <row r="137" spans="1:14">
      <c r="A137" t="str">
        <f t="shared" si="105"/>
        <v xml:space="preserve">Value of Trade In </v>
      </c>
      <c r="C137" s="1">
        <f t="shared" ref="C137:L137" si="111">IF(C135=1,C133,0)</f>
        <v>0</v>
      </c>
      <c r="D137" s="1">
        <f t="shared" si="111"/>
        <v>0</v>
      </c>
      <c r="E137" s="1">
        <f t="shared" si="111"/>
        <v>0</v>
      </c>
      <c r="F137" s="1">
        <f t="shared" si="111"/>
        <v>19477.5186325635</v>
      </c>
      <c r="G137" s="1">
        <f t="shared" si="111"/>
        <v>0</v>
      </c>
      <c r="H137" s="1">
        <f t="shared" si="111"/>
        <v>0</v>
      </c>
      <c r="I137" s="1">
        <f t="shared" si="111"/>
        <v>0</v>
      </c>
      <c r="J137" s="1">
        <f t="shared" si="111"/>
        <v>0</v>
      </c>
      <c r="K137" s="1">
        <f t="shared" si="111"/>
        <v>0</v>
      </c>
      <c r="L137" s="1">
        <f t="shared" si="111"/>
        <v>0</v>
      </c>
      <c r="M137" s="1"/>
      <c r="N137" s="11">
        <f t="shared" si="110"/>
        <v>19477.5186325635</v>
      </c>
    </row>
    <row r="138" spans="1:14">
      <c r="A138" t="str">
        <f t="shared" si="105"/>
        <v>Minimum Downpayment</v>
      </c>
      <c r="B138" s="10"/>
      <c r="C138" s="1">
        <f t="shared" ref="C138:L138" si="112">IF(C135=1,C134*$D$9,0)</f>
        <v>0</v>
      </c>
      <c r="D138" s="1">
        <f t="shared" si="112"/>
        <v>0</v>
      </c>
      <c r="E138" s="1">
        <f t="shared" si="112"/>
        <v>0</v>
      </c>
      <c r="F138" s="1">
        <f t="shared" si="112"/>
        <v>21660.767393131639</v>
      </c>
      <c r="G138" s="1">
        <f t="shared" si="112"/>
        <v>0</v>
      </c>
      <c r="H138" s="1">
        <f t="shared" si="112"/>
        <v>0</v>
      </c>
      <c r="I138" s="1">
        <f t="shared" si="112"/>
        <v>0</v>
      </c>
      <c r="J138" s="1">
        <f t="shared" si="112"/>
        <v>0</v>
      </c>
      <c r="K138" s="1">
        <f t="shared" si="112"/>
        <v>0</v>
      </c>
      <c r="L138" s="1">
        <f t="shared" si="112"/>
        <v>0</v>
      </c>
      <c r="M138" s="1"/>
      <c r="N138" s="11">
        <f t="shared" si="110"/>
        <v>21660.767393131639</v>
      </c>
    </row>
    <row r="139" spans="1:14">
      <c r="A139" t="str">
        <f t="shared" si="105"/>
        <v>Actual Cash Difference</v>
      </c>
      <c r="B139" s="10"/>
      <c r="C139" s="1">
        <f t="shared" ref="C139:L139" si="113">IF(AND(C135=1,C138&gt;C133),C138-C133,0)</f>
        <v>0</v>
      </c>
      <c r="D139" s="1">
        <f t="shared" si="113"/>
        <v>0</v>
      </c>
      <c r="E139" s="1">
        <f t="shared" si="113"/>
        <v>0</v>
      </c>
      <c r="F139" s="1">
        <f t="shared" si="113"/>
        <v>2183.2487605681381</v>
      </c>
      <c r="G139" s="1">
        <f t="shared" si="113"/>
        <v>0</v>
      </c>
      <c r="H139" s="1">
        <f t="shared" si="113"/>
        <v>0</v>
      </c>
      <c r="I139" s="1">
        <f t="shared" si="113"/>
        <v>0</v>
      </c>
      <c r="J139" s="1">
        <f t="shared" si="113"/>
        <v>0</v>
      </c>
      <c r="K139" s="1">
        <f t="shared" si="113"/>
        <v>0</v>
      </c>
      <c r="L139" s="1">
        <f t="shared" si="113"/>
        <v>0</v>
      </c>
      <c r="M139" s="1"/>
      <c r="N139" s="11">
        <f t="shared" si="110"/>
        <v>2183.2487605681381</v>
      </c>
    </row>
    <row r="140" spans="1:14">
      <c r="A140" t="str">
        <f t="shared" si="105"/>
        <v>Amount Financed</v>
      </c>
      <c r="C140" s="1">
        <f t="shared" ref="C140:L140" si="114">IF(C135=1,IF(C133&gt;C138,(C134-C133),(C134-C138)),0)</f>
        <v>0</v>
      </c>
      <c r="D140" s="1">
        <f t="shared" si="114"/>
        <v>0</v>
      </c>
      <c r="E140" s="1">
        <f t="shared" si="114"/>
        <v>0</v>
      </c>
      <c r="F140" s="1">
        <f t="shared" si="114"/>
        <v>26474.271258271998</v>
      </c>
      <c r="G140" s="1">
        <f t="shared" si="114"/>
        <v>0</v>
      </c>
      <c r="H140" s="1">
        <f t="shared" si="114"/>
        <v>0</v>
      </c>
      <c r="I140" s="1">
        <f t="shared" si="114"/>
        <v>0</v>
      </c>
      <c r="J140" s="1">
        <f t="shared" si="114"/>
        <v>0</v>
      </c>
      <c r="K140" s="1">
        <f t="shared" si="114"/>
        <v>0</v>
      </c>
      <c r="L140" s="1">
        <f t="shared" si="114"/>
        <v>0</v>
      </c>
      <c r="M140" s="1"/>
      <c r="N140" s="11">
        <f t="shared" si="110"/>
        <v>26474.271258271998</v>
      </c>
    </row>
    <row r="141" spans="1:14">
      <c r="A141" t="str">
        <f t="shared" si="105"/>
        <v xml:space="preserve">Update Market Value After Purchase </v>
      </c>
      <c r="C141" s="1">
        <f t="shared" ref="C141:L141" si="115">IF(C135=1,C134,C133)</f>
        <v>86165.272606911574</v>
      </c>
      <c r="D141" s="1">
        <f t="shared" si="115"/>
        <v>132739.943670743</v>
      </c>
      <c r="E141" s="1">
        <f t="shared" si="115"/>
        <v>153992.59383169838</v>
      </c>
      <c r="F141" s="1">
        <f t="shared" si="115"/>
        <v>48135.038651403636</v>
      </c>
      <c r="G141" s="1">
        <f t="shared" si="115"/>
        <v>27089.681585799161</v>
      </c>
      <c r="H141" s="1">
        <f t="shared" si="115"/>
        <v>13706.402000692833</v>
      </c>
      <c r="I141" s="1">
        <f t="shared" si="115"/>
        <v>20353.458029513931</v>
      </c>
      <c r="J141" s="1">
        <f t="shared" si="115"/>
        <v>66730.123993735964</v>
      </c>
      <c r="K141" s="1">
        <f t="shared" si="115"/>
        <v>51330.864610566132</v>
      </c>
      <c r="L141" s="1">
        <f t="shared" si="115"/>
        <v>46890.322633949167</v>
      </c>
      <c r="M141" s="1"/>
      <c r="N141" s="11">
        <f t="shared" si="110"/>
        <v>647133.70161501388</v>
      </c>
    </row>
    <row r="142" spans="1:14">
      <c r="A142" t="str">
        <f t="shared" si="105"/>
        <v>Updated Replacement Cost</v>
      </c>
      <c r="C142" s="1">
        <f t="shared" ref="C142:L142" si="116">C134</f>
        <v>98803.500389723282</v>
      </c>
      <c r="D142" s="1">
        <f t="shared" si="116"/>
        <v>190006.73151869857</v>
      </c>
      <c r="E142" s="1">
        <f t="shared" si="116"/>
        <v>190006.73151869857</v>
      </c>
      <c r="F142" s="1">
        <f t="shared" si="116"/>
        <v>48135.038651403636</v>
      </c>
      <c r="G142" s="1">
        <f t="shared" si="116"/>
        <v>44334.904021029666</v>
      </c>
      <c r="H142" s="1">
        <f t="shared" si="116"/>
        <v>24067.519325701818</v>
      </c>
      <c r="I142" s="1">
        <f t="shared" si="116"/>
        <v>29134.365499533782</v>
      </c>
      <c r="J142" s="1">
        <f t="shared" si="116"/>
        <v>82336.250324769382</v>
      </c>
      <c r="K142" s="1">
        <f t="shared" si="116"/>
        <v>63335.577172899524</v>
      </c>
      <c r="L142" s="1">
        <f t="shared" si="116"/>
        <v>82336.250324769382</v>
      </c>
      <c r="M142" s="1"/>
      <c r="N142" s="11">
        <f t="shared" si="110"/>
        <v>852496.86874722783</v>
      </c>
    </row>
    <row r="143" spans="1:14">
      <c r="A143" t="str">
        <f t="shared" si="105"/>
        <v>Update Replacement Year</v>
      </c>
      <c r="B143" s="10"/>
      <c r="C143" s="2">
        <f t="shared" ref="C143:L143" si="117">IF(C135=1,$B132+C$22,C130)</f>
        <v>2010</v>
      </c>
      <c r="D143" s="2">
        <f t="shared" si="117"/>
        <v>2009</v>
      </c>
      <c r="E143" s="2">
        <f t="shared" si="117"/>
        <v>2012</v>
      </c>
      <c r="F143" s="2">
        <f t="shared" si="117"/>
        <v>2016</v>
      </c>
      <c r="G143" s="2">
        <f t="shared" si="117"/>
        <v>2010</v>
      </c>
      <c r="H143" s="2">
        <f t="shared" si="117"/>
        <v>2010</v>
      </c>
      <c r="I143" s="2">
        <f t="shared" si="117"/>
        <v>2014</v>
      </c>
      <c r="J143" s="2">
        <f t="shared" si="117"/>
        <v>2017</v>
      </c>
      <c r="K143" s="2">
        <f t="shared" si="117"/>
        <v>2019</v>
      </c>
      <c r="L143" s="2">
        <f t="shared" si="117"/>
        <v>2011</v>
      </c>
      <c r="M143" s="2"/>
    </row>
    <row r="144" spans="1:14">
      <c r="F144" s="1"/>
      <c r="G144" s="1"/>
      <c r="H144" s="1"/>
      <c r="I144" s="1"/>
      <c r="J144" s="1"/>
      <c r="K144" s="1"/>
      <c r="L144" s="1"/>
      <c r="M144" s="1"/>
    </row>
    <row r="145" spans="1:14">
      <c r="A145" s="10" t="str">
        <f>A28</f>
        <v>Replace Machinery in</v>
      </c>
      <c r="B145" s="6">
        <f>K12</f>
        <v>2008</v>
      </c>
      <c r="N145" s="5">
        <f>B145</f>
        <v>2008</v>
      </c>
    </row>
    <row r="146" spans="1:14">
      <c r="A146" t="str">
        <f t="shared" ref="A146:A156" si="118">A133</f>
        <v>Market Value Jan 1</v>
      </c>
      <c r="C146" s="1">
        <f t="shared" ref="C146:L146" si="119">C141*(1+$K$14)</f>
        <v>82718.661702635101</v>
      </c>
      <c r="D146" s="1">
        <f t="shared" si="119"/>
        <v>127430.34592391328</v>
      </c>
      <c r="E146" s="1">
        <f t="shared" si="119"/>
        <v>147832.89007843044</v>
      </c>
      <c r="F146" s="1">
        <f t="shared" si="119"/>
        <v>46209.637105347487</v>
      </c>
      <c r="G146" s="1">
        <f t="shared" si="119"/>
        <v>26006.094322367193</v>
      </c>
      <c r="H146" s="1">
        <f t="shared" si="119"/>
        <v>13158.14592066512</v>
      </c>
      <c r="I146" s="1">
        <f t="shared" si="119"/>
        <v>19539.319708333373</v>
      </c>
      <c r="J146" s="1">
        <f t="shared" si="119"/>
        <v>64060.919033986524</v>
      </c>
      <c r="K146" s="1">
        <f t="shared" si="119"/>
        <v>49277.630026143488</v>
      </c>
      <c r="L146" s="1">
        <f t="shared" si="119"/>
        <v>45014.709728591195</v>
      </c>
      <c r="M146" s="1"/>
      <c r="N146" s="11"/>
    </row>
    <row r="147" spans="1:14">
      <c r="A147" t="str">
        <f t="shared" si="118"/>
        <v>Cost of Replacement Jan 1</v>
      </c>
      <c r="C147" s="1">
        <f t="shared" ref="C147:L147" si="120">C142*(1+$K$13)</f>
        <v>101273.58789946635</v>
      </c>
      <c r="D147" s="1">
        <f t="shared" si="120"/>
        <v>194756.89980666601</v>
      </c>
      <c r="E147" s="1">
        <f t="shared" si="120"/>
        <v>194756.89980666601</v>
      </c>
      <c r="F147" s="1">
        <f t="shared" si="120"/>
        <v>49338.414617688723</v>
      </c>
      <c r="G147" s="1">
        <f t="shared" si="120"/>
        <v>45443.276621555407</v>
      </c>
      <c r="H147" s="1">
        <f t="shared" si="120"/>
        <v>24669.207308844361</v>
      </c>
      <c r="I147" s="1">
        <f t="shared" si="120"/>
        <v>29862.724637022126</v>
      </c>
      <c r="J147" s="1">
        <f t="shared" si="120"/>
        <v>84394.656582888609</v>
      </c>
      <c r="K147" s="1">
        <f t="shared" si="120"/>
        <v>64918.966602222004</v>
      </c>
      <c r="L147" s="1">
        <f t="shared" si="120"/>
        <v>84394.656582888609</v>
      </c>
      <c r="M147" s="1"/>
      <c r="N147" s="11"/>
    </row>
    <row r="148" spans="1:14">
      <c r="A148" t="str">
        <f t="shared" si="118"/>
        <v>Replace if 1 Not Replaced if 0</v>
      </c>
      <c r="C148" s="1">
        <f t="shared" ref="C148:L148" si="121">IF($B145=C143,1,0)</f>
        <v>0</v>
      </c>
      <c r="D148" s="1">
        <f t="shared" si="121"/>
        <v>0</v>
      </c>
      <c r="E148" s="1">
        <f t="shared" si="121"/>
        <v>0</v>
      </c>
      <c r="F148" s="1">
        <f t="shared" si="121"/>
        <v>0</v>
      </c>
      <c r="G148" s="1">
        <f t="shared" si="121"/>
        <v>0</v>
      </c>
      <c r="H148" s="1">
        <f t="shared" si="121"/>
        <v>0</v>
      </c>
      <c r="I148" s="1">
        <f t="shared" si="121"/>
        <v>0</v>
      </c>
      <c r="J148" s="1">
        <f t="shared" si="121"/>
        <v>0</v>
      </c>
      <c r="K148" s="1">
        <f t="shared" si="121"/>
        <v>0</v>
      </c>
      <c r="L148" s="1">
        <f t="shared" si="121"/>
        <v>0</v>
      </c>
      <c r="M148" s="1"/>
      <c r="N148" s="11"/>
    </row>
    <row r="149" spans="1:14">
      <c r="A149" t="str">
        <f t="shared" si="118"/>
        <v>Cost of Machinery Purchased</v>
      </c>
      <c r="C149" s="1">
        <f t="shared" ref="C149:L149" si="122">IF(C148=1,C147,0)</f>
        <v>0</v>
      </c>
      <c r="D149" s="1">
        <f t="shared" si="122"/>
        <v>0</v>
      </c>
      <c r="E149" s="1">
        <f t="shared" si="122"/>
        <v>0</v>
      </c>
      <c r="F149" s="1">
        <f t="shared" si="122"/>
        <v>0</v>
      </c>
      <c r="G149" s="1">
        <f t="shared" si="122"/>
        <v>0</v>
      </c>
      <c r="H149" s="1">
        <f t="shared" si="122"/>
        <v>0</v>
      </c>
      <c r="I149" s="1">
        <f t="shared" si="122"/>
        <v>0</v>
      </c>
      <c r="J149" s="1">
        <f t="shared" si="122"/>
        <v>0</v>
      </c>
      <c r="K149" s="1">
        <f t="shared" si="122"/>
        <v>0</v>
      </c>
      <c r="L149" s="1">
        <f t="shared" si="122"/>
        <v>0</v>
      </c>
      <c r="M149" s="1"/>
      <c r="N149" s="11">
        <f t="shared" ref="N149:N155" si="123">SUM(C149:L149)</f>
        <v>0</v>
      </c>
    </row>
    <row r="150" spans="1:14">
      <c r="A150" t="str">
        <f t="shared" si="118"/>
        <v xml:space="preserve">Value of Trade In </v>
      </c>
      <c r="C150" s="1">
        <f t="shared" ref="C150:L150" si="124">IF(C148=1,C146,0)</f>
        <v>0</v>
      </c>
      <c r="D150" s="1">
        <f t="shared" si="124"/>
        <v>0</v>
      </c>
      <c r="E150" s="1">
        <f t="shared" si="124"/>
        <v>0</v>
      </c>
      <c r="F150" s="1">
        <f t="shared" si="124"/>
        <v>0</v>
      </c>
      <c r="G150" s="1">
        <f t="shared" si="124"/>
        <v>0</v>
      </c>
      <c r="H150" s="1">
        <f t="shared" si="124"/>
        <v>0</v>
      </c>
      <c r="I150" s="1">
        <f t="shared" si="124"/>
        <v>0</v>
      </c>
      <c r="J150" s="1">
        <f t="shared" si="124"/>
        <v>0</v>
      </c>
      <c r="K150" s="1">
        <f t="shared" si="124"/>
        <v>0</v>
      </c>
      <c r="L150" s="1">
        <f t="shared" si="124"/>
        <v>0</v>
      </c>
      <c r="M150" s="1"/>
      <c r="N150" s="11">
        <f t="shared" si="123"/>
        <v>0</v>
      </c>
    </row>
    <row r="151" spans="1:14">
      <c r="A151" t="str">
        <f t="shared" si="118"/>
        <v>Minimum Downpayment</v>
      </c>
      <c r="C151" s="1">
        <f t="shared" ref="C151:L151" si="125">IF(C148=1,C147*$D$9,0)</f>
        <v>0</v>
      </c>
      <c r="D151" s="1">
        <f t="shared" si="125"/>
        <v>0</v>
      </c>
      <c r="E151" s="1">
        <f t="shared" si="125"/>
        <v>0</v>
      </c>
      <c r="F151" s="1">
        <f t="shared" si="125"/>
        <v>0</v>
      </c>
      <c r="G151" s="1">
        <f t="shared" si="125"/>
        <v>0</v>
      </c>
      <c r="H151" s="1">
        <f t="shared" si="125"/>
        <v>0</v>
      </c>
      <c r="I151" s="1">
        <f t="shared" si="125"/>
        <v>0</v>
      </c>
      <c r="J151" s="1">
        <f t="shared" si="125"/>
        <v>0</v>
      </c>
      <c r="K151" s="1">
        <f t="shared" si="125"/>
        <v>0</v>
      </c>
      <c r="L151" s="1">
        <f t="shared" si="125"/>
        <v>0</v>
      </c>
      <c r="M151" s="1"/>
      <c r="N151" s="11">
        <f t="shared" si="123"/>
        <v>0</v>
      </c>
    </row>
    <row r="152" spans="1:14">
      <c r="A152" t="str">
        <f t="shared" si="118"/>
        <v>Actual Cash Difference</v>
      </c>
      <c r="C152" s="1">
        <f t="shared" ref="C152:L152" si="126">IF(AND(C148=1,C151&gt;C146),C151-C146,0)</f>
        <v>0</v>
      </c>
      <c r="D152" s="1">
        <f t="shared" si="126"/>
        <v>0</v>
      </c>
      <c r="E152" s="1">
        <f t="shared" si="126"/>
        <v>0</v>
      </c>
      <c r="F152" s="1">
        <f t="shared" si="126"/>
        <v>0</v>
      </c>
      <c r="G152" s="1">
        <f t="shared" si="126"/>
        <v>0</v>
      </c>
      <c r="H152" s="1">
        <f t="shared" si="126"/>
        <v>0</v>
      </c>
      <c r="I152" s="1">
        <f t="shared" si="126"/>
        <v>0</v>
      </c>
      <c r="J152" s="1">
        <f t="shared" si="126"/>
        <v>0</v>
      </c>
      <c r="K152" s="1">
        <f t="shared" si="126"/>
        <v>0</v>
      </c>
      <c r="L152" s="1">
        <f t="shared" si="126"/>
        <v>0</v>
      </c>
      <c r="M152" s="1"/>
      <c r="N152" s="11">
        <f t="shared" si="123"/>
        <v>0</v>
      </c>
    </row>
    <row r="153" spans="1:14">
      <c r="A153" t="str">
        <f t="shared" si="118"/>
        <v>Amount Financed</v>
      </c>
      <c r="C153" s="1">
        <f t="shared" ref="C153:L153" si="127">IF(C148=1,IF(C146&gt;C151,(C147-C146),(C147-C151)),0)</f>
        <v>0</v>
      </c>
      <c r="D153" s="1">
        <f t="shared" si="127"/>
        <v>0</v>
      </c>
      <c r="E153" s="1">
        <f t="shared" si="127"/>
        <v>0</v>
      </c>
      <c r="F153" s="1">
        <f t="shared" si="127"/>
        <v>0</v>
      </c>
      <c r="G153" s="1">
        <f t="shared" si="127"/>
        <v>0</v>
      </c>
      <c r="H153" s="1">
        <f t="shared" si="127"/>
        <v>0</v>
      </c>
      <c r="I153" s="1">
        <f t="shared" si="127"/>
        <v>0</v>
      </c>
      <c r="J153" s="1">
        <f t="shared" si="127"/>
        <v>0</v>
      </c>
      <c r="K153" s="1">
        <f t="shared" si="127"/>
        <v>0</v>
      </c>
      <c r="L153" s="1">
        <f t="shared" si="127"/>
        <v>0</v>
      </c>
      <c r="M153" s="1"/>
      <c r="N153" s="11">
        <f t="shared" si="123"/>
        <v>0</v>
      </c>
    </row>
    <row r="154" spans="1:14">
      <c r="A154" t="str">
        <f t="shared" si="118"/>
        <v xml:space="preserve">Update Market Value After Purchase </v>
      </c>
      <c r="C154" s="1">
        <f t="shared" ref="C154:L154" si="128">IF(C148=1,C147,C146)</f>
        <v>82718.661702635101</v>
      </c>
      <c r="D154" s="1">
        <f t="shared" si="128"/>
        <v>127430.34592391328</v>
      </c>
      <c r="E154" s="1">
        <f t="shared" si="128"/>
        <v>147832.89007843044</v>
      </c>
      <c r="F154" s="1">
        <f t="shared" si="128"/>
        <v>46209.637105347487</v>
      </c>
      <c r="G154" s="1">
        <f t="shared" si="128"/>
        <v>26006.094322367193</v>
      </c>
      <c r="H154" s="1">
        <f t="shared" si="128"/>
        <v>13158.14592066512</v>
      </c>
      <c r="I154" s="1">
        <f t="shared" si="128"/>
        <v>19539.319708333373</v>
      </c>
      <c r="J154" s="1">
        <f t="shared" si="128"/>
        <v>64060.919033986524</v>
      </c>
      <c r="K154" s="1">
        <f t="shared" si="128"/>
        <v>49277.630026143488</v>
      </c>
      <c r="L154" s="1">
        <f t="shared" si="128"/>
        <v>45014.709728591195</v>
      </c>
      <c r="M154" s="1"/>
      <c r="N154" s="11">
        <f t="shared" si="123"/>
        <v>621248.35355041316</v>
      </c>
    </row>
    <row r="155" spans="1:14">
      <c r="A155" t="str">
        <f t="shared" si="118"/>
        <v>Updated Replacement Cost</v>
      </c>
      <c r="C155" s="1">
        <f t="shared" ref="C155:L155" si="129">C147</f>
        <v>101273.58789946635</v>
      </c>
      <c r="D155" s="1">
        <f t="shared" si="129"/>
        <v>194756.89980666601</v>
      </c>
      <c r="E155" s="1">
        <f t="shared" si="129"/>
        <v>194756.89980666601</v>
      </c>
      <c r="F155" s="1">
        <f t="shared" si="129"/>
        <v>49338.414617688723</v>
      </c>
      <c r="G155" s="1">
        <f t="shared" si="129"/>
        <v>45443.276621555407</v>
      </c>
      <c r="H155" s="1">
        <f t="shared" si="129"/>
        <v>24669.207308844361</v>
      </c>
      <c r="I155" s="1">
        <f t="shared" si="129"/>
        <v>29862.724637022126</v>
      </c>
      <c r="J155" s="1">
        <f t="shared" si="129"/>
        <v>84394.656582888609</v>
      </c>
      <c r="K155" s="1">
        <f t="shared" si="129"/>
        <v>64918.966602222004</v>
      </c>
      <c r="L155" s="1">
        <f t="shared" si="129"/>
        <v>84394.656582888609</v>
      </c>
      <c r="M155" s="1"/>
      <c r="N155" s="11">
        <f t="shared" si="123"/>
        <v>873809.29046590801</v>
      </c>
    </row>
    <row r="156" spans="1:14" ht="13.5" thickBot="1">
      <c r="A156" s="9" t="str">
        <f t="shared" si="118"/>
        <v>Update Replacement Year</v>
      </c>
      <c r="B156" s="12"/>
      <c r="C156" s="13">
        <f t="shared" ref="C156:L156" si="130">IF(C148=1,$B145+C$22,C143)</f>
        <v>2010</v>
      </c>
      <c r="D156" s="13">
        <f t="shared" si="130"/>
        <v>2009</v>
      </c>
      <c r="E156" s="13">
        <f t="shared" si="130"/>
        <v>2012</v>
      </c>
      <c r="F156" s="13">
        <f t="shared" si="130"/>
        <v>2016</v>
      </c>
      <c r="G156" s="13">
        <f t="shared" si="130"/>
        <v>2010</v>
      </c>
      <c r="H156" s="13">
        <f t="shared" si="130"/>
        <v>2010</v>
      </c>
      <c r="I156" s="13">
        <f t="shared" si="130"/>
        <v>2014</v>
      </c>
      <c r="J156" s="13">
        <f t="shared" si="130"/>
        <v>2017</v>
      </c>
      <c r="K156" s="13">
        <f t="shared" si="130"/>
        <v>2019</v>
      </c>
      <c r="L156" s="13">
        <f t="shared" si="130"/>
        <v>2011</v>
      </c>
      <c r="M156" s="13"/>
      <c r="N156" s="9"/>
    </row>
    <row r="160" spans="1:14">
      <c r="A160" s="10" t="s">
        <v>44</v>
      </c>
      <c r="C160" s="2">
        <f t="shared" ref="C160:L160" si="131">B241</f>
        <v>1999</v>
      </c>
      <c r="D160" s="2">
        <f t="shared" si="131"/>
        <v>2000</v>
      </c>
      <c r="E160" s="2">
        <f t="shared" si="131"/>
        <v>2001</v>
      </c>
      <c r="F160" s="2">
        <f t="shared" si="131"/>
        <v>2002</v>
      </c>
      <c r="G160" s="2">
        <f t="shared" si="131"/>
        <v>2003</v>
      </c>
      <c r="H160" s="2">
        <f t="shared" si="131"/>
        <v>2004</v>
      </c>
      <c r="I160" s="2">
        <f t="shared" si="131"/>
        <v>2005</v>
      </c>
      <c r="J160" s="2">
        <f t="shared" si="131"/>
        <v>2006</v>
      </c>
      <c r="K160" s="2">
        <f t="shared" si="131"/>
        <v>2007</v>
      </c>
      <c r="L160" s="2">
        <f t="shared" si="131"/>
        <v>2008</v>
      </c>
      <c r="M160" s="2"/>
    </row>
    <row r="162" spans="1:13">
      <c r="A162" t="s">
        <v>51</v>
      </c>
      <c r="C162" s="1">
        <f>N32</f>
        <v>84000</v>
      </c>
      <c r="D162" s="1">
        <f>N45</f>
        <v>116390</v>
      </c>
      <c r="E162" s="1">
        <f>N58</f>
        <v>0</v>
      </c>
      <c r="F162" s="11">
        <f>N71</f>
        <v>187758.80299999999</v>
      </c>
      <c r="G162" s="11">
        <f>N84</f>
        <v>0</v>
      </c>
      <c r="H162" s="11">
        <f>N97</f>
        <v>307496.90578432498</v>
      </c>
      <c r="I162" s="11">
        <f>N110</f>
        <v>93495.304477985657</v>
      </c>
      <c r="J162" s="11">
        <f>N123</f>
        <v>0</v>
      </c>
      <c r="K162" s="11">
        <f>N136</f>
        <v>48135.038651403636</v>
      </c>
      <c r="L162" s="11">
        <f>N149</f>
        <v>0</v>
      </c>
      <c r="M162" s="11"/>
    </row>
    <row r="163" spans="1:13">
      <c r="A163" t="s">
        <v>50</v>
      </c>
      <c r="C163" s="1">
        <f>N33</f>
        <v>12000</v>
      </c>
      <c r="D163" s="1">
        <f>N46</f>
        <v>54720</v>
      </c>
      <c r="E163" s="1">
        <f>N59</f>
        <v>0</v>
      </c>
      <c r="F163" s="11">
        <f>N72</f>
        <v>82280.447999999989</v>
      </c>
      <c r="G163" s="11">
        <f>N85</f>
        <v>0</v>
      </c>
      <c r="H163" s="11">
        <f>N98</f>
        <v>30984.1625088</v>
      </c>
      <c r="I163" s="11">
        <f>N111</f>
        <v>65507.042525183992</v>
      </c>
      <c r="J163" s="11">
        <f>N124</f>
        <v>0</v>
      </c>
      <c r="K163" s="11">
        <f>N137</f>
        <v>19477.5186325635</v>
      </c>
      <c r="L163" s="11">
        <f>N150</f>
        <v>0</v>
      </c>
      <c r="M163" s="11"/>
    </row>
    <row r="164" spans="1:13">
      <c r="A164" t="s">
        <v>45</v>
      </c>
      <c r="C164" s="1">
        <f>N35</f>
        <v>25800</v>
      </c>
      <c r="D164" s="1">
        <f>N48</f>
        <v>4702.5</v>
      </c>
      <c r="E164" s="1">
        <f>N61</f>
        <v>0</v>
      </c>
      <c r="F164" s="11">
        <f>N74</f>
        <v>5924.55285</v>
      </c>
      <c r="G164" s="11">
        <f>N87</f>
        <v>0</v>
      </c>
      <c r="H164" s="11">
        <f>N100</f>
        <v>107389.44509414623</v>
      </c>
      <c r="I164" s="11">
        <f>N113</f>
        <v>0</v>
      </c>
      <c r="J164" s="11">
        <f>N126</f>
        <v>0</v>
      </c>
      <c r="K164" s="11">
        <f>N139</f>
        <v>2183.2487605681381</v>
      </c>
      <c r="L164" s="11">
        <f>N152</f>
        <v>0</v>
      </c>
      <c r="M164" s="11"/>
    </row>
    <row r="165" spans="1:13">
      <c r="A165" t="s">
        <v>46</v>
      </c>
      <c r="C165" s="1">
        <f>N36</f>
        <v>46200</v>
      </c>
      <c r="D165" s="1">
        <f>N49</f>
        <v>56967.5</v>
      </c>
      <c r="E165" s="1">
        <f>N62</f>
        <v>0</v>
      </c>
      <c r="F165" s="11">
        <f>N75</f>
        <v>99553.802150000003</v>
      </c>
      <c r="G165" s="11">
        <f>N88</f>
        <v>0</v>
      </c>
      <c r="H165" s="11">
        <f>N101</f>
        <v>169123.29818137872</v>
      </c>
      <c r="I165" s="11">
        <f>N114</f>
        <v>27988.261952801666</v>
      </c>
      <c r="J165" s="11">
        <f>N127</f>
        <v>0</v>
      </c>
      <c r="K165" s="11">
        <f>N140</f>
        <v>26474.271258271998</v>
      </c>
      <c r="L165" s="11">
        <f>N153</f>
        <v>0</v>
      </c>
      <c r="M165" s="11"/>
    </row>
    <row r="166" spans="1:13">
      <c r="A166" t="s">
        <v>47</v>
      </c>
      <c r="C166" s="1">
        <f>N37</f>
        <v>299000</v>
      </c>
      <c r="D166" s="1">
        <f>N51</f>
        <v>693190</v>
      </c>
      <c r="E166" s="1">
        <f>N64</f>
        <v>710519.75</v>
      </c>
      <c r="F166" s="11">
        <f>N77</f>
        <v>730414.30299999996</v>
      </c>
      <c r="G166" s="11">
        <f>N90</f>
        <v>754517.97499899985</v>
      </c>
      <c r="H166" s="11">
        <f>N103</f>
        <v>780926.10412396479</v>
      </c>
      <c r="I166" s="11">
        <f>N116</f>
        <v>806696.66556005576</v>
      </c>
      <c r="J166" s="11">
        <f>N129</f>
        <v>831704.2621924174</v>
      </c>
      <c r="K166" s="11">
        <f>N142</f>
        <v>852496.86874722783</v>
      </c>
      <c r="L166" s="11">
        <f>N155</f>
        <v>873809.29046590801</v>
      </c>
      <c r="M166" s="11"/>
    </row>
    <row r="168" spans="1:13">
      <c r="A168" s="10" t="s">
        <v>71</v>
      </c>
    </row>
    <row r="169" spans="1:13">
      <c r="A169" t="s">
        <v>58</v>
      </c>
      <c r="C169" s="2">
        <f t="shared" ref="C169:L169" si="132">C160</f>
        <v>1999</v>
      </c>
      <c r="D169" s="2">
        <f t="shared" si="132"/>
        <v>2000</v>
      </c>
      <c r="E169" s="2">
        <f t="shared" si="132"/>
        <v>2001</v>
      </c>
      <c r="F169" s="2">
        <f t="shared" si="132"/>
        <v>2002</v>
      </c>
      <c r="G169" s="2">
        <f t="shared" si="132"/>
        <v>2003</v>
      </c>
      <c r="H169" s="2">
        <f t="shared" si="132"/>
        <v>2004</v>
      </c>
      <c r="I169" s="2">
        <f t="shared" si="132"/>
        <v>2005</v>
      </c>
      <c r="J169" s="2">
        <f t="shared" si="132"/>
        <v>2006</v>
      </c>
      <c r="K169" s="2">
        <f t="shared" si="132"/>
        <v>2007</v>
      </c>
      <c r="L169" s="2">
        <f t="shared" si="132"/>
        <v>2008</v>
      </c>
    </row>
    <row r="170" spans="1:13">
      <c r="A170" t="s">
        <v>55</v>
      </c>
      <c r="C170" s="1">
        <f t="shared" ref="C170:L170" si="133">C165</f>
        <v>46200</v>
      </c>
      <c r="D170" s="1">
        <f t="shared" si="133"/>
        <v>56967.5</v>
      </c>
      <c r="E170" s="1">
        <f t="shared" si="133"/>
        <v>0</v>
      </c>
      <c r="F170" s="1">
        <f t="shared" si="133"/>
        <v>99553.802150000003</v>
      </c>
      <c r="G170" s="1">
        <f t="shared" si="133"/>
        <v>0</v>
      </c>
      <c r="H170" s="1">
        <f t="shared" si="133"/>
        <v>169123.29818137872</v>
      </c>
      <c r="I170" s="1">
        <f t="shared" si="133"/>
        <v>27988.261952801666</v>
      </c>
      <c r="J170" s="1">
        <f t="shared" si="133"/>
        <v>0</v>
      </c>
      <c r="K170" s="1">
        <f t="shared" si="133"/>
        <v>26474.271258271998</v>
      </c>
      <c r="L170" s="1">
        <f t="shared" si="133"/>
        <v>0</v>
      </c>
    </row>
    <row r="171" spans="1:13">
      <c r="A171" t="s">
        <v>56</v>
      </c>
      <c r="C171" s="1">
        <f t="shared" ref="C171:L171" si="134">$D$10</f>
        <v>5</v>
      </c>
      <c r="D171" s="1">
        <f t="shared" si="134"/>
        <v>5</v>
      </c>
      <c r="E171" s="1">
        <f t="shared" si="134"/>
        <v>5</v>
      </c>
      <c r="F171" s="1">
        <f t="shared" si="134"/>
        <v>5</v>
      </c>
      <c r="G171" s="1">
        <f t="shared" si="134"/>
        <v>5</v>
      </c>
      <c r="H171" s="1">
        <f t="shared" si="134"/>
        <v>5</v>
      </c>
      <c r="I171" s="1">
        <f t="shared" si="134"/>
        <v>5</v>
      </c>
      <c r="J171" s="1">
        <f t="shared" si="134"/>
        <v>5</v>
      </c>
      <c r="K171" s="1">
        <f t="shared" si="134"/>
        <v>5</v>
      </c>
      <c r="L171" s="1">
        <f t="shared" si="134"/>
        <v>5</v>
      </c>
    </row>
    <row r="172" spans="1:13">
      <c r="A172" t="s">
        <v>57</v>
      </c>
      <c r="C172" s="14">
        <f t="shared" ref="C172:L172" si="135">B15</f>
        <v>7.0000000000000007E-2</v>
      </c>
      <c r="D172" s="14">
        <f t="shared" si="135"/>
        <v>7.0999999999999994E-2</v>
      </c>
      <c r="E172" s="14">
        <f t="shared" si="135"/>
        <v>7.2999999999999995E-2</v>
      </c>
      <c r="F172" s="14">
        <f t="shared" si="135"/>
        <v>7.0999999999999994E-2</v>
      </c>
      <c r="G172" s="14">
        <f t="shared" si="135"/>
        <v>7.1999999999999995E-2</v>
      </c>
      <c r="H172" s="14">
        <f t="shared" si="135"/>
        <v>7.2999999999999995E-2</v>
      </c>
      <c r="I172" s="14">
        <f t="shared" si="135"/>
        <v>7.3999999999999996E-2</v>
      </c>
      <c r="J172" s="14">
        <f t="shared" si="135"/>
        <v>6.9900000000000004E-2</v>
      </c>
      <c r="K172" s="14">
        <f t="shared" si="135"/>
        <v>6.8000000000000005E-2</v>
      </c>
      <c r="L172" s="14">
        <f t="shared" si="135"/>
        <v>7.0999999999999994E-2</v>
      </c>
    </row>
    <row r="173" spans="1:13"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3">
      <c r="A174" s="10" t="str">
        <f>"Loan Originated in "&amp;C169</f>
        <v>Loan Originated in 1999</v>
      </c>
      <c r="C174" s="1" t="s">
        <v>62</v>
      </c>
      <c r="D174" s="1" t="s">
        <v>59</v>
      </c>
      <c r="E174" s="1" t="s">
        <v>61</v>
      </c>
      <c r="F174" t="s">
        <v>63</v>
      </c>
      <c r="G174" t="s">
        <v>64</v>
      </c>
    </row>
    <row r="175" spans="1:13">
      <c r="A175" t="s">
        <v>60</v>
      </c>
      <c r="B175" s="5">
        <f>C169</f>
        <v>1999</v>
      </c>
      <c r="C175" s="1">
        <f>C170</f>
        <v>46200</v>
      </c>
      <c r="D175" s="1">
        <f>PMT(C$172,C$171,-$C$175)</f>
        <v>11267.750083191479</v>
      </c>
      <c r="E175" s="1">
        <f>C175*$C$172</f>
        <v>3234.0000000000005</v>
      </c>
      <c r="F175" s="11">
        <f>D175-E175</f>
        <v>8033.7500831914786</v>
      </c>
      <c r="G175" s="11">
        <f>C175-F175</f>
        <v>38166.24991680852</v>
      </c>
    </row>
    <row r="176" spans="1:13">
      <c r="A176" t="s">
        <v>60</v>
      </c>
      <c r="B176" s="5">
        <f>D169</f>
        <v>2000</v>
      </c>
      <c r="C176" s="1">
        <f>G175</f>
        <v>38166.24991680852</v>
      </c>
      <c r="D176" s="1">
        <f>PMT(C$172,C$171,-$C$175)</f>
        <v>11267.750083191479</v>
      </c>
      <c r="E176" s="1">
        <f>C176*$C$172</f>
        <v>2671.6374941765966</v>
      </c>
      <c r="F176" s="11">
        <f>D176-E176</f>
        <v>8596.1125890148815</v>
      </c>
      <c r="G176" s="11">
        <f>C176-F176</f>
        <v>29570.137327793636</v>
      </c>
    </row>
    <row r="177" spans="1:12">
      <c r="A177" t="s">
        <v>60</v>
      </c>
      <c r="B177" s="5">
        <f>E169</f>
        <v>2001</v>
      </c>
      <c r="C177" s="1">
        <f>G176</f>
        <v>29570.137327793636</v>
      </c>
      <c r="D177" s="1">
        <f>PMT(C$172,C$171,-$C$175)</f>
        <v>11267.750083191479</v>
      </c>
      <c r="E177" s="1">
        <f>C177*$C$172</f>
        <v>2069.9096129455547</v>
      </c>
      <c r="F177" s="11">
        <f>D177-E177</f>
        <v>9197.8404702459229</v>
      </c>
      <c r="G177" s="11">
        <f>C177-F177</f>
        <v>20372.296857547713</v>
      </c>
    </row>
    <row r="178" spans="1:12">
      <c r="A178" t="s">
        <v>60</v>
      </c>
      <c r="B178" s="5">
        <f>F169</f>
        <v>2002</v>
      </c>
      <c r="C178" s="1">
        <f>G177</f>
        <v>20372.296857547713</v>
      </c>
      <c r="D178" s="1">
        <f>PMT(C$172,C$171,-$C$175)</f>
        <v>11267.750083191479</v>
      </c>
      <c r="E178" s="1">
        <f>C178*$C$172</f>
        <v>1426.0607800283401</v>
      </c>
      <c r="F178" s="11">
        <f>D178-E178</f>
        <v>9841.6893031631389</v>
      </c>
      <c r="G178" s="11">
        <f>C178-F178</f>
        <v>10530.607554384575</v>
      </c>
    </row>
    <row r="179" spans="1:12">
      <c r="A179" t="s">
        <v>60</v>
      </c>
      <c r="B179" s="5">
        <f>G169</f>
        <v>2003</v>
      </c>
      <c r="C179" s="1">
        <f>G178</f>
        <v>10530.607554384575</v>
      </c>
      <c r="D179" s="1">
        <f>PMT(C$172,C$171,-$C$175)</f>
        <v>11267.750083191479</v>
      </c>
      <c r="E179" s="1">
        <f>C179*$C$172</f>
        <v>737.14252880692027</v>
      </c>
      <c r="F179" s="11">
        <f>D179-E179</f>
        <v>10530.607554384558</v>
      </c>
      <c r="G179" s="11">
        <f>C179-F179</f>
        <v>1.6370904631912708E-11</v>
      </c>
    </row>
    <row r="180" spans="1:12">
      <c r="F180" s="1"/>
      <c r="G180" s="1"/>
      <c r="H180" s="1"/>
    </row>
    <row r="181" spans="1:12">
      <c r="A181" s="10" t="str">
        <f>"Loan Originated in "&amp;D169</f>
        <v>Loan Originated in 2000</v>
      </c>
      <c r="C181" s="1" t="s">
        <v>62</v>
      </c>
      <c r="D181" s="1" t="s">
        <v>59</v>
      </c>
      <c r="E181" s="1" t="s">
        <v>61</v>
      </c>
      <c r="F181" t="s">
        <v>63</v>
      </c>
      <c r="G181" t="s">
        <v>64</v>
      </c>
      <c r="H181" s="1"/>
      <c r="I181" s="1"/>
    </row>
    <row r="182" spans="1:12">
      <c r="A182" t="s">
        <v>60</v>
      </c>
      <c r="B182" s="5">
        <f>D169</f>
        <v>2000</v>
      </c>
      <c r="C182" s="1">
        <f>D170</f>
        <v>56967.5</v>
      </c>
      <c r="D182" s="1">
        <f>PMT(D$172,D$171,-$C$182)</f>
        <v>13931.064574919679</v>
      </c>
      <c r="E182" s="1">
        <f>C182*$D$172</f>
        <v>4044.6924999999997</v>
      </c>
      <c r="F182" s="11">
        <f>D182-E182</f>
        <v>9886.37207491968</v>
      </c>
      <c r="G182" s="11">
        <f>C182-F182</f>
        <v>47081.12792508032</v>
      </c>
      <c r="H182" s="1"/>
      <c r="I182" s="1"/>
      <c r="J182" s="1"/>
    </row>
    <row r="183" spans="1:12">
      <c r="A183" t="s">
        <v>60</v>
      </c>
      <c r="B183" s="5">
        <f>E169</f>
        <v>2001</v>
      </c>
      <c r="C183" s="1">
        <f>G182</f>
        <v>47081.12792508032</v>
      </c>
      <c r="D183" s="1">
        <f>PMT(D$172,D$171,-$C$182)</f>
        <v>13931.064574919679</v>
      </c>
      <c r="E183" s="1">
        <f>C183*$D$172</f>
        <v>3342.7600826807025</v>
      </c>
      <c r="F183" s="11">
        <f>D183-E183</f>
        <v>10588.304492238976</v>
      </c>
      <c r="G183" s="11">
        <f>C183-F183</f>
        <v>36492.823432841345</v>
      </c>
      <c r="H183" s="1"/>
      <c r="I183" s="1"/>
      <c r="J183" s="1"/>
      <c r="K183" s="1"/>
    </row>
    <row r="184" spans="1:12">
      <c r="A184" t="s">
        <v>60</v>
      </c>
      <c r="B184" s="5">
        <f>F169</f>
        <v>2002</v>
      </c>
      <c r="C184" s="1">
        <f>G183</f>
        <v>36492.823432841345</v>
      </c>
      <c r="D184" s="1">
        <f>PMT(D$172,D$171,-$C$182)</f>
        <v>13931.064574919679</v>
      </c>
      <c r="E184" s="1">
        <f>C184*$D$172</f>
        <v>2590.9904637317354</v>
      </c>
      <c r="F184" s="11">
        <f>D184-E184</f>
        <v>11340.074111187943</v>
      </c>
      <c r="G184" s="11">
        <f>C184-F184</f>
        <v>25152.749321653402</v>
      </c>
      <c r="H184" s="1"/>
      <c r="I184" s="1"/>
      <c r="J184" s="1"/>
      <c r="K184" s="1"/>
      <c r="L184" s="1"/>
    </row>
    <row r="185" spans="1:12">
      <c r="A185" t="s">
        <v>60</v>
      </c>
      <c r="B185" s="5">
        <f>G169</f>
        <v>2003</v>
      </c>
      <c r="C185" s="1">
        <f>G184</f>
        <v>25152.749321653402</v>
      </c>
      <c r="D185" s="1">
        <f>PMT(D$172,D$171,-$C$182)</f>
        <v>13931.064574919679</v>
      </c>
      <c r="E185" s="1">
        <f>C185*$D$172</f>
        <v>1785.8452018373914</v>
      </c>
      <c r="F185" s="11">
        <f>D185-E185</f>
        <v>12145.219373082287</v>
      </c>
      <c r="G185" s="11">
        <f>C185-F185</f>
        <v>13007.529948571115</v>
      </c>
      <c r="H185" s="1"/>
      <c r="I185" s="1"/>
      <c r="J185" s="1"/>
      <c r="K185" s="1"/>
      <c r="L185" s="1"/>
    </row>
    <row r="186" spans="1:12">
      <c r="A186" t="s">
        <v>60</v>
      </c>
      <c r="B186" s="5">
        <f>H169</f>
        <v>2004</v>
      </c>
      <c r="C186" s="1">
        <f>G185</f>
        <v>13007.529948571115</v>
      </c>
      <c r="D186" s="1">
        <f>PMT(D$172,D$171,-$C$182)</f>
        <v>13931.064574919679</v>
      </c>
      <c r="E186" s="1">
        <f>C186*$D$172</f>
        <v>923.53462634854907</v>
      </c>
      <c r="F186" s="11">
        <f>D186-E186</f>
        <v>13007.529948571129</v>
      </c>
      <c r="G186" s="11">
        <f>C186-F186</f>
        <v>-1.4551915228366852E-11</v>
      </c>
      <c r="H186" s="1"/>
      <c r="I186" s="1"/>
      <c r="J186" s="1"/>
      <c r="K186" s="1"/>
      <c r="L186" s="1"/>
    </row>
    <row r="187" spans="1:12">
      <c r="B187" s="5"/>
      <c r="H187" s="1"/>
      <c r="I187" s="1"/>
      <c r="J187" s="1"/>
      <c r="K187" s="1"/>
      <c r="L187" s="1"/>
    </row>
    <row r="188" spans="1:12">
      <c r="A188" s="10" t="str">
        <f>"Loan Originated in "&amp;E169</f>
        <v>Loan Originated in 2001</v>
      </c>
      <c r="C188" s="1" t="s">
        <v>62</v>
      </c>
      <c r="D188" s="1" t="s">
        <v>59</v>
      </c>
      <c r="E188" s="1" t="s">
        <v>61</v>
      </c>
      <c r="F188" t="s">
        <v>63</v>
      </c>
      <c r="G188" t="s">
        <v>64</v>
      </c>
      <c r="H188" s="1"/>
      <c r="I188" s="1"/>
      <c r="J188" s="1"/>
      <c r="K188" s="1"/>
      <c r="L188" s="1"/>
    </row>
    <row r="189" spans="1:12">
      <c r="A189" t="s">
        <v>60</v>
      </c>
      <c r="B189" s="5">
        <f>E169</f>
        <v>2001</v>
      </c>
      <c r="C189" s="1">
        <f>E170</f>
        <v>0</v>
      </c>
      <c r="D189" s="1">
        <f>PMT(E$172,E$171,-$C$189)</f>
        <v>0</v>
      </c>
      <c r="E189" s="1">
        <f>C189*$E$172</f>
        <v>0</v>
      </c>
      <c r="F189" s="11">
        <f>D189-E189</f>
        <v>0</v>
      </c>
      <c r="G189" s="11">
        <f>C189-F189</f>
        <v>0</v>
      </c>
      <c r="H189" s="1"/>
      <c r="I189" s="1"/>
      <c r="J189" s="1"/>
      <c r="K189" s="1"/>
      <c r="L189" s="1"/>
    </row>
    <row r="190" spans="1:12">
      <c r="A190" t="s">
        <v>60</v>
      </c>
      <c r="B190" s="5">
        <f>F169</f>
        <v>2002</v>
      </c>
      <c r="C190" s="1">
        <f>G189</f>
        <v>0</v>
      </c>
      <c r="D190" s="1">
        <f>PMT(E$172,E$171,-$C$189)</f>
        <v>0</v>
      </c>
      <c r="E190" s="1">
        <f>C190*$E$172</f>
        <v>0</v>
      </c>
      <c r="F190" s="11">
        <f>D190-E190</f>
        <v>0</v>
      </c>
      <c r="G190" s="11">
        <f>C190-F190</f>
        <v>0</v>
      </c>
      <c r="H190" s="1"/>
      <c r="I190" s="1"/>
      <c r="J190" s="1"/>
      <c r="K190" s="1"/>
      <c r="L190" s="1"/>
    </row>
    <row r="191" spans="1:12">
      <c r="A191" t="s">
        <v>60</v>
      </c>
      <c r="B191" s="5">
        <f>G169</f>
        <v>2003</v>
      </c>
      <c r="C191" s="1">
        <f>G190</f>
        <v>0</v>
      </c>
      <c r="D191" s="1">
        <f>PMT(E$172,E$171,-$C$189)</f>
        <v>0</v>
      </c>
      <c r="E191" s="1">
        <f>C191*$E$172</f>
        <v>0</v>
      </c>
      <c r="F191" s="11">
        <f>D191-E191</f>
        <v>0</v>
      </c>
      <c r="G191" s="11">
        <f>C191-F191</f>
        <v>0</v>
      </c>
      <c r="H191" s="1"/>
      <c r="I191" s="1"/>
      <c r="J191" s="1"/>
      <c r="K191" s="1"/>
      <c r="L191" s="1"/>
    </row>
    <row r="192" spans="1:12">
      <c r="A192" t="s">
        <v>60</v>
      </c>
      <c r="B192" s="5">
        <f>H169</f>
        <v>2004</v>
      </c>
      <c r="C192" s="1">
        <f>G191</f>
        <v>0</v>
      </c>
      <c r="D192" s="1">
        <f>PMT(E$172,E$171,-$C$189)</f>
        <v>0</v>
      </c>
      <c r="E192" s="1">
        <f>C192*$E$172</f>
        <v>0</v>
      </c>
      <c r="F192" s="11">
        <f>D192-E192</f>
        <v>0</v>
      </c>
      <c r="G192" s="11">
        <f>C192-F192</f>
        <v>0</v>
      </c>
    </row>
    <row r="193" spans="1:12">
      <c r="A193" t="s">
        <v>60</v>
      </c>
      <c r="B193" s="5">
        <f>I169</f>
        <v>2005</v>
      </c>
      <c r="C193" s="1">
        <f>G192</f>
        <v>0</v>
      </c>
      <c r="D193" s="1">
        <f>PMT(E$172,E$171,-$C$189)</f>
        <v>0</v>
      </c>
      <c r="E193" s="1">
        <f>C193*$E$172</f>
        <v>0</v>
      </c>
      <c r="F193" s="11">
        <f>D193-E193</f>
        <v>0</v>
      </c>
      <c r="G193" s="11">
        <f>C193-F193</f>
        <v>0</v>
      </c>
    </row>
    <row r="194" spans="1:12">
      <c r="B194" s="5"/>
    </row>
    <row r="195" spans="1:12">
      <c r="A195" s="10" t="str">
        <f>"Loan Originated in "&amp;F169</f>
        <v>Loan Originated in 2002</v>
      </c>
      <c r="C195" s="1" t="s">
        <v>62</v>
      </c>
      <c r="D195" s="1" t="s">
        <v>59</v>
      </c>
      <c r="E195" s="1" t="s">
        <v>61</v>
      </c>
      <c r="F195" t="s">
        <v>63</v>
      </c>
      <c r="G195" t="s">
        <v>64</v>
      </c>
    </row>
    <row r="196" spans="1:12">
      <c r="A196" t="s">
        <v>60</v>
      </c>
      <c r="B196" s="5">
        <f>F169</f>
        <v>2002</v>
      </c>
      <c r="C196" s="1">
        <f>F170</f>
        <v>99553.802150000003</v>
      </c>
      <c r="D196" s="1">
        <f>PMT(F$172,F$171,-$C$196)</f>
        <v>24345.292428672979</v>
      </c>
      <c r="E196" s="1">
        <f>C196*$F$172</f>
        <v>7068.3199526499993</v>
      </c>
      <c r="F196" s="11">
        <f>D196-E196</f>
        <v>17276.97247602298</v>
      </c>
      <c r="G196" s="11">
        <f>C196-F196</f>
        <v>82276.829673977016</v>
      </c>
    </row>
    <row r="197" spans="1:12">
      <c r="A197" t="s">
        <v>60</v>
      </c>
      <c r="B197" s="5">
        <f>G169</f>
        <v>2003</v>
      </c>
      <c r="C197" s="1">
        <f>G196</f>
        <v>82276.829673977016</v>
      </c>
      <c r="D197" s="1">
        <f>PMT(F$172,F$171,-$C$196)</f>
        <v>24345.292428672979</v>
      </c>
      <c r="E197" s="1">
        <f>C197*$F$172</f>
        <v>5841.6549068523673</v>
      </c>
      <c r="F197" s="11">
        <f>D197-E197</f>
        <v>18503.637521820612</v>
      </c>
      <c r="G197" s="11">
        <f>C197-F197</f>
        <v>63773.192152156407</v>
      </c>
    </row>
    <row r="198" spans="1:12">
      <c r="A198" t="s">
        <v>60</v>
      </c>
      <c r="B198" s="5">
        <f>H169</f>
        <v>2004</v>
      </c>
      <c r="C198" s="1">
        <f>G197</f>
        <v>63773.192152156407</v>
      </c>
      <c r="D198" s="1">
        <f>PMT(F$172,F$171,-$C$196)</f>
        <v>24345.292428672979</v>
      </c>
      <c r="E198" s="1">
        <f>C198*$F$172</f>
        <v>4527.8966428031044</v>
      </c>
      <c r="F198" s="11">
        <f>D198-E198</f>
        <v>19817.395785869874</v>
      </c>
      <c r="G198" s="11">
        <f>C198-F198</f>
        <v>43955.796366286537</v>
      </c>
      <c r="H198" s="1"/>
    </row>
    <row r="199" spans="1:12">
      <c r="A199" t="s">
        <v>60</v>
      </c>
      <c r="B199" s="5">
        <f>I169</f>
        <v>2005</v>
      </c>
      <c r="C199" s="1">
        <f>G198</f>
        <v>43955.796366286537</v>
      </c>
      <c r="D199" s="1">
        <f>PMT(F$172,F$171,-$C$196)</f>
        <v>24345.292428672979</v>
      </c>
      <c r="E199" s="1">
        <f>C199*$F$172</f>
        <v>3120.8615420063438</v>
      </c>
      <c r="F199" s="11">
        <f>D199-E199</f>
        <v>21224.430886666636</v>
      </c>
      <c r="G199" s="11">
        <f>C199-F199</f>
        <v>22731.365479619901</v>
      </c>
      <c r="I199" s="1"/>
    </row>
    <row r="200" spans="1:12">
      <c r="A200" t="s">
        <v>60</v>
      </c>
      <c r="B200" s="5">
        <f>J169</f>
        <v>2006</v>
      </c>
      <c r="C200" s="1">
        <f>G199</f>
        <v>22731.365479619901</v>
      </c>
      <c r="D200" s="1">
        <f>PMT(F$172,F$171,-$C$196)</f>
        <v>24345.292428672979</v>
      </c>
      <c r="E200" s="1">
        <f>C200*$F$172</f>
        <v>1613.9269490530128</v>
      </c>
      <c r="F200" s="11">
        <f>D200-E200</f>
        <v>22731.365479619966</v>
      </c>
      <c r="G200" s="11">
        <f>C200-F200</f>
        <v>-6.5483618527650833E-11</v>
      </c>
      <c r="J200" s="1"/>
    </row>
    <row r="201" spans="1:12">
      <c r="B201" s="5"/>
      <c r="K201" s="1"/>
    </row>
    <row r="202" spans="1:12">
      <c r="A202" s="10" t="str">
        <f>"Loan Originated in "&amp;G169</f>
        <v>Loan Originated in 2003</v>
      </c>
      <c r="C202" s="1" t="s">
        <v>62</v>
      </c>
      <c r="D202" s="1" t="s">
        <v>59</v>
      </c>
      <c r="E202" s="1" t="s">
        <v>61</v>
      </c>
      <c r="F202" t="s">
        <v>63</v>
      </c>
      <c r="G202" t="s">
        <v>64</v>
      </c>
      <c r="L202" s="1"/>
    </row>
    <row r="203" spans="1:12">
      <c r="A203" t="s">
        <v>60</v>
      </c>
      <c r="B203" s="5">
        <f>G169</f>
        <v>2003</v>
      </c>
      <c r="C203" s="1">
        <f>G170</f>
        <v>0</v>
      </c>
      <c r="D203" s="1">
        <f>PMT(G$172,G$171,-$C$203)</f>
        <v>0</v>
      </c>
      <c r="E203" s="1">
        <f>C203*$G$172</f>
        <v>0</v>
      </c>
      <c r="F203" s="11">
        <f>D203-E203</f>
        <v>0</v>
      </c>
      <c r="G203" s="11">
        <f>C203-F203</f>
        <v>0</v>
      </c>
    </row>
    <row r="204" spans="1:12">
      <c r="A204" t="s">
        <v>60</v>
      </c>
      <c r="B204" s="5">
        <f>H169</f>
        <v>2004</v>
      </c>
      <c r="C204" s="1">
        <f>G203</f>
        <v>0</v>
      </c>
      <c r="D204" s="1">
        <f>PMT(G$172,G$171,-$C$203)</f>
        <v>0</v>
      </c>
      <c r="E204" s="1">
        <f>C204*$G$172</f>
        <v>0</v>
      </c>
      <c r="F204" s="11">
        <f>D204-E204</f>
        <v>0</v>
      </c>
      <c r="G204" s="11">
        <f>C204-F204</f>
        <v>0</v>
      </c>
    </row>
    <row r="205" spans="1:12">
      <c r="A205" t="s">
        <v>60</v>
      </c>
      <c r="B205" s="5">
        <f>I169</f>
        <v>2005</v>
      </c>
      <c r="C205" s="1">
        <f>G204</f>
        <v>0</v>
      </c>
      <c r="D205" s="1">
        <f>PMT(G$172,G$171,-$C$203)</f>
        <v>0</v>
      </c>
      <c r="E205" s="1">
        <f>C205*$G$172</f>
        <v>0</v>
      </c>
      <c r="F205" s="11">
        <f>D205-E205</f>
        <v>0</v>
      </c>
      <c r="G205" s="11">
        <f>C205-F205</f>
        <v>0</v>
      </c>
    </row>
    <row r="206" spans="1:12">
      <c r="A206" t="s">
        <v>60</v>
      </c>
      <c r="B206" s="5">
        <f>J169</f>
        <v>2006</v>
      </c>
      <c r="C206" s="1">
        <f>G205</f>
        <v>0</v>
      </c>
      <c r="D206" s="1">
        <f>PMT(G$172,G$171,-$C$203)</f>
        <v>0</v>
      </c>
      <c r="E206" s="1">
        <f>C206*$G$172</f>
        <v>0</v>
      </c>
      <c r="F206" s="11">
        <f>D206-E206</f>
        <v>0</v>
      </c>
      <c r="G206" s="11">
        <f>C206-F206</f>
        <v>0</v>
      </c>
    </row>
    <row r="207" spans="1:12">
      <c r="A207" t="s">
        <v>60</v>
      </c>
      <c r="B207" s="5">
        <f>K169</f>
        <v>2007</v>
      </c>
      <c r="C207" s="1">
        <f>G206</f>
        <v>0</v>
      </c>
      <c r="D207" s="1">
        <f>PMT(G$172,G$171,-$C$203)</f>
        <v>0</v>
      </c>
      <c r="E207" s="1">
        <f>C207*$G$172</f>
        <v>0</v>
      </c>
      <c r="F207" s="11">
        <f>D207-E207</f>
        <v>0</v>
      </c>
      <c r="G207" s="11">
        <f>C207-F207</f>
        <v>0</v>
      </c>
    </row>
    <row r="209" spans="1:7">
      <c r="A209" s="10" t="str">
        <f>"Loan Originated in "&amp;H169</f>
        <v>Loan Originated in 2004</v>
      </c>
      <c r="C209" s="1" t="s">
        <v>62</v>
      </c>
      <c r="D209" s="1" t="s">
        <v>59</v>
      </c>
      <c r="E209" s="1" t="s">
        <v>61</v>
      </c>
      <c r="F209" t="s">
        <v>63</v>
      </c>
      <c r="G209" t="s">
        <v>64</v>
      </c>
    </row>
    <row r="210" spans="1:7">
      <c r="A210" t="s">
        <v>60</v>
      </c>
      <c r="B210" s="5">
        <f>H169</f>
        <v>2004</v>
      </c>
      <c r="C210" s="1">
        <f>H170</f>
        <v>169123.29818137872</v>
      </c>
      <c r="D210" s="1">
        <f>PMT(H$172,H$171,-$C$210)</f>
        <v>41579.465875839858</v>
      </c>
      <c r="E210" s="1">
        <f>C210*$H$172</f>
        <v>12346.000767240646</v>
      </c>
      <c r="F210" s="11">
        <f>D210-E210</f>
        <v>29233.465108599212</v>
      </c>
      <c r="G210" s="11">
        <f>C210-F210</f>
        <v>139889.8330727795</v>
      </c>
    </row>
    <row r="211" spans="1:7">
      <c r="A211" t="s">
        <v>60</v>
      </c>
      <c r="B211" s="5">
        <f>I169</f>
        <v>2005</v>
      </c>
      <c r="C211" s="1">
        <f>G210</f>
        <v>139889.8330727795</v>
      </c>
      <c r="D211" s="1">
        <f>PMT(H$172,H$171,-$C$210)</f>
        <v>41579.465875839858</v>
      </c>
      <c r="E211" s="1">
        <f>C211*$H$172</f>
        <v>10211.957814312902</v>
      </c>
      <c r="F211" s="11">
        <f>D211-E211</f>
        <v>31367.508061526954</v>
      </c>
      <c r="G211" s="11">
        <f>C211-F211</f>
        <v>108522.32501125254</v>
      </c>
    </row>
    <row r="212" spans="1:7">
      <c r="A212" t="s">
        <v>60</v>
      </c>
      <c r="B212" s="5">
        <f>J169</f>
        <v>2006</v>
      </c>
      <c r="C212" s="1">
        <f>G211</f>
        <v>108522.32501125254</v>
      </c>
      <c r="D212" s="1">
        <f>PMT(H$172,H$171,-$C$210)</f>
        <v>41579.465875839858</v>
      </c>
      <c r="E212" s="1">
        <f>C212*$H$172</f>
        <v>7922.1297258214354</v>
      </c>
      <c r="F212" s="11">
        <f>D212-E212</f>
        <v>33657.336150018426</v>
      </c>
      <c r="G212" s="11">
        <f>C212-F212</f>
        <v>74864.988861234116</v>
      </c>
    </row>
    <row r="213" spans="1:7">
      <c r="A213" t="s">
        <v>60</v>
      </c>
      <c r="B213" s="5">
        <f>K169</f>
        <v>2007</v>
      </c>
      <c r="C213" s="1">
        <f>G212</f>
        <v>74864.988861234116</v>
      </c>
      <c r="D213" s="1">
        <f>PMT(H$172,H$171,-$C$210)</f>
        <v>41579.465875839858</v>
      </c>
      <c r="E213" s="1">
        <f>C213*$H$172</f>
        <v>5465.1441868700904</v>
      </c>
      <c r="F213" s="11">
        <f>D213-E213</f>
        <v>36114.321688969765</v>
      </c>
      <c r="G213" s="11">
        <f>C213-F213</f>
        <v>38750.667172264351</v>
      </c>
    </row>
    <row r="214" spans="1:7">
      <c r="A214" t="s">
        <v>60</v>
      </c>
      <c r="B214" s="5">
        <f>L169</f>
        <v>2008</v>
      </c>
      <c r="C214" s="1">
        <f>G213</f>
        <v>38750.667172264351</v>
      </c>
      <c r="D214" s="1">
        <f>PMT(H$172,H$171,-$C$210)</f>
        <v>41579.465875839858</v>
      </c>
      <c r="E214" s="1">
        <f>C214*$H$172</f>
        <v>2828.7987035752976</v>
      </c>
      <c r="F214" s="11">
        <f>D214-E214</f>
        <v>38750.667172264562</v>
      </c>
      <c r="G214" s="11">
        <f>C214-F214</f>
        <v>-2.1100277081131935E-10</v>
      </c>
    </row>
    <row r="216" spans="1:7">
      <c r="A216" s="10" t="str">
        <f>"Loan Originated in "&amp;I169</f>
        <v>Loan Originated in 2005</v>
      </c>
      <c r="C216" s="1" t="s">
        <v>62</v>
      </c>
      <c r="D216" s="1" t="s">
        <v>59</v>
      </c>
      <c r="E216" s="1" t="s">
        <v>61</v>
      </c>
      <c r="F216" t="s">
        <v>63</v>
      </c>
      <c r="G216" t="s">
        <v>64</v>
      </c>
    </row>
    <row r="217" spans="1:7">
      <c r="A217" t="s">
        <v>60</v>
      </c>
      <c r="B217" s="5">
        <f>I169</f>
        <v>2005</v>
      </c>
      <c r="C217" s="1">
        <f>I170</f>
        <v>27988.261952801666</v>
      </c>
      <c r="D217" s="1">
        <f>PMT(I$172,I$171,-$C$217)</f>
        <v>6899.3442238022071</v>
      </c>
      <c r="E217" s="1">
        <f>C217*$I$172</f>
        <v>2071.1313845073232</v>
      </c>
      <c r="F217" s="11">
        <f>D217-E217</f>
        <v>4828.2128392948835</v>
      </c>
      <c r="G217" s="11">
        <f>C217-F217</f>
        <v>23160.049113506782</v>
      </c>
    </row>
    <row r="218" spans="1:7">
      <c r="A218" t="s">
        <v>60</v>
      </c>
      <c r="B218" s="5">
        <f>J169</f>
        <v>2006</v>
      </c>
      <c r="C218" s="1">
        <f>G217</f>
        <v>23160.049113506782</v>
      </c>
      <c r="D218" s="1">
        <f>PMT(I$172,I$171,-$C$217)</f>
        <v>6899.3442238022071</v>
      </c>
      <c r="E218" s="1">
        <f>C218*$I$172</f>
        <v>1713.8436343995018</v>
      </c>
      <c r="F218" s="11">
        <f>D218-E218</f>
        <v>5185.5005894027054</v>
      </c>
      <c r="G218" s="11">
        <f>C218-F218</f>
        <v>17974.548524104077</v>
      </c>
    </row>
    <row r="219" spans="1:7">
      <c r="A219" t="s">
        <v>60</v>
      </c>
      <c r="B219" s="5">
        <f>K169</f>
        <v>2007</v>
      </c>
      <c r="C219" s="1">
        <f>G218</f>
        <v>17974.548524104077</v>
      </c>
      <c r="D219" s="1">
        <f>PMT(I$172,I$171,-$C$217)</f>
        <v>6899.3442238022071</v>
      </c>
      <c r="E219" s="1">
        <f>C219*$I$172</f>
        <v>1330.1165907837017</v>
      </c>
      <c r="F219" s="11">
        <f>D219-E219</f>
        <v>5569.227633018505</v>
      </c>
      <c r="G219" s="11">
        <f>C219-F219</f>
        <v>12405.320891085572</v>
      </c>
    </row>
    <row r="220" spans="1:7">
      <c r="A220" t="s">
        <v>60</v>
      </c>
      <c r="B220" s="5">
        <f>L169</f>
        <v>2008</v>
      </c>
      <c r="C220" s="1">
        <f>G219</f>
        <v>12405.320891085572</v>
      </c>
      <c r="D220" s="1">
        <f>PMT(I$172,I$171,-$C$217)</f>
        <v>6899.3442238022071</v>
      </c>
      <c r="E220" s="1">
        <f>C220*$I$172</f>
        <v>917.99374594033225</v>
      </c>
      <c r="F220" s="11">
        <f>D220-E220</f>
        <v>5981.3504778618753</v>
      </c>
      <c r="G220" s="11">
        <f>C220-F220</f>
        <v>6423.9704132236966</v>
      </c>
    </row>
    <row r="221" spans="1:7">
      <c r="B221" s="5"/>
      <c r="F221" s="11"/>
      <c r="G221" s="11"/>
    </row>
    <row r="222" spans="1:7">
      <c r="A222" s="10" t="str">
        <f>"Loan Originated in "&amp;J169</f>
        <v>Loan Originated in 2006</v>
      </c>
      <c r="C222" s="1" t="s">
        <v>62</v>
      </c>
      <c r="D222" s="1" t="s">
        <v>59</v>
      </c>
      <c r="E222" s="1" t="s">
        <v>61</v>
      </c>
      <c r="F222" t="s">
        <v>63</v>
      </c>
      <c r="G222" t="s">
        <v>64</v>
      </c>
    </row>
    <row r="223" spans="1:7">
      <c r="A223" s="33" t="s">
        <v>60</v>
      </c>
      <c r="B223" s="5">
        <f>J169</f>
        <v>2006</v>
      </c>
      <c r="C223" s="1">
        <f>J170</f>
        <v>0</v>
      </c>
      <c r="D223" s="1">
        <f>PMT(J$172,J$171,-$C$223)</f>
        <v>0</v>
      </c>
      <c r="E223" s="1">
        <f>C223*$J$172</f>
        <v>0</v>
      </c>
      <c r="F223" s="11">
        <f>D223-E223</f>
        <v>0</v>
      </c>
      <c r="G223" s="11">
        <f>C223-F223</f>
        <v>0</v>
      </c>
    </row>
    <row r="224" spans="1:7">
      <c r="A224" t="s">
        <v>60</v>
      </c>
      <c r="B224" s="5">
        <f>K169</f>
        <v>2007</v>
      </c>
      <c r="C224" s="1">
        <f>G223</f>
        <v>0</v>
      </c>
      <c r="D224" s="1">
        <f>PMT(J$172,J$171,-$C$223)</f>
        <v>0</v>
      </c>
      <c r="E224" s="1">
        <f>C224*$J$172</f>
        <v>0</v>
      </c>
      <c r="F224" s="11">
        <f>D224-E224</f>
        <v>0</v>
      </c>
      <c r="G224" s="11">
        <f>C224-F224</f>
        <v>0</v>
      </c>
    </row>
    <row r="225" spans="1:12">
      <c r="A225" t="s">
        <v>60</v>
      </c>
      <c r="B225" s="5">
        <f>L169</f>
        <v>2008</v>
      </c>
      <c r="C225" s="1">
        <f>G224</f>
        <v>0</v>
      </c>
      <c r="D225" s="1">
        <f>PMT(J$172,J$171,-$C$223)</f>
        <v>0</v>
      </c>
      <c r="E225" s="1">
        <f>C225*$J$172</f>
        <v>0</v>
      </c>
      <c r="F225" s="11">
        <f>D225-E225</f>
        <v>0</v>
      </c>
      <c r="G225" s="11">
        <f>C225-F225</f>
        <v>0</v>
      </c>
    </row>
    <row r="226" spans="1:12">
      <c r="B226" s="5"/>
      <c r="F226" s="11"/>
      <c r="G226" s="11"/>
    </row>
    <row r="227" spans="1:12">
      <c r="A227" s="10" t="str">
        <f>"Loan Originated in "&amp;K169</f>
        <v>Loan Originated in 2007</v>
      </c>
      <c r="C227" s="1" t="s">
        <v>62</v>
      </c>
      <c r="D227" s="1" t="s">
        <v>59</v>
      </c>
      <c r="E227" s="1" t="s">
        <v>61</v>
      </c>
      <c r="F227" t="s">
        <v>63</v>
      </c>
      <c r="G227" t="s">
        <v>64</v>
      </c>
    </row>
    <row r="228" spans="1:12">
      <c r="A228" t="s">
        <v>60</v>
      </c>
      <c r="B228" s="5">
        <f>K169</f>
        <v>2007</v>
      </c>
      <c r="C228" s="1">
        <f>K170</f>
        <v>26474.271258271998</v>
      </c>
      <c r="D228" s="1">
        <f>PMT(K$172,K$171,-$C$228)</f>
        <v>6422.289662839059</v>
      </c>
      <c r="E228" s="1">
        <f>C228*$K$172</f>
        <v>1800.250445562496</v>
      </c>
      <c r="F228" s="11">
        <f>D228-E228</f>
        <v>4622.0392172765632</v>
      </c>
      <c r="G228" s="11">
        <f>C228-F228</f>
        <v>21852.232040995434</v>
      </c>
    </row>
    <row r="229" spans="1:12">
      <c r="A229" t="s">
        <v>60</v>
      </c>
      <c r="B229" s="5">
        <f>L169</f>
        <v>2008</v>
      </c>
      <c r="C229" s="1">
        <f>G228</f>
        <v>21852.232040995434</v>
      </c>
      <c r="D229" s="1">
        <f>PMT(K$172,K$171,-$C$228)</f>
        <v>6422.289662839059</v>
      </c>
      <c r="E229" s="1">
        <f>C229*$K$172</f>
        <v>1485.9517787876896</v>
      </c>
      <c r="F229" s="11">
        <f>D229-E229</f>
        <v>4936.3378840513697</v>
      </c>
      <c r="G229" s="11">
        <f>C229-F229</f>
        <v>16915.894156944065</v>
      </c>
    </row>
    <row r="230" spans="1:12">
      <c r="B230" s="5"/>
      <c r="F230" s="11"/>
      <c r="G230" s="11"/>
    </row>
    <row r="231" spans="1:12">
      <c r="A231" s="10" t="str">
        <f>"Loan Originated in "&amp;L169</f>
        <v>Loan Originated in 2008</v>
      </c>
      <c r="C231" s="1" t="s">
        <v>62</v>
      </c>
      <c r="D231" s="1" t="s">
        <v>59</v>
      </c>
      <c r="E231" s="1" t="s">
        <v>61</v>
      </c>
      <c r="F231" t="s">
        <v>63</v>
      </c>
      <c r="G231" t="s">
        <v>64</v>
      </c>
    </row>
    <row r="232" spans="1:12" ht="13.5" thickBot="1">
      <c r="A232" s="9" t="s">
        <v>60</v>
      </c>
      <c r="B232" s="34">
        <f>L169</f>
        <v>2008</v>
      </c>
      <c r="C232" s="35">
        <f>L170</f>
        <v>0</v>
      </c>
      <c r="D232" s="35">
        <f>PMT(L$172,L$171,-$C$232)</f>
        <v>0</v>
      </c>
      <c r="E232" s="35">
        <f>C232*$L$172</f>
        <v>0</v>
      </c>
      <c r="F232" s="36">
        <f>D232-E232</f>
        <v>0</v>
      </c>
      <c r="G232" s="36">
        <f>C232-F232</f>
        <v>0</v>
      </c>
      <c r="H232" s="9"/>
      <c r="I232" s="9"/>
      <c r="J232" s="9"/>
      <c r="K232" s="9"/>
      <c r="L232" s="9"/>
    </row>
    <row r="240" spans="1:12" ht="13.5" thickBot="1">
      <c r="A240" s="10" t="s">
        <v>43</v>
      </c>
    </row>
    <row r="241" spans="1:14">
      <c r="A241" s="15"/>
      <c r="B241" s="37">
        <f t="shared" ref="B241:K241" si="136">B12</f>
        <v>1999</v>
      </c>
      <c r="C241" s="37">
        <f t="shared" si="136"/>
        <v>2000</v>
      </c>
      <c r="D241" s="37">
        <f t="shared" si="136"/>
        <v>2001</v>
      </c>
      <c r="E241" s="37">
        <f t="shared" si="136"/>
        <v>2002</v>
      </c>
      <c r="F241" s="37">
        <f t="shared" si="136"/>
        <v>2003</v>
      </c>
      <c r="G241" s="37">
        <f t="shared" si="136"/>
        <v>2004</v>
      </c>
      <c r="H241" s="37">
        <f t="shared" si="136"/>
        <v>2005</v>
      </c>
      <c r="I241" s="37">
        <f t="shared" si="136"/>
        <v>2006</v>
      </c>
      <c r="J241" s="37">
        <f t="shared" si="136"/>
        <v>2007</v>
      </c>
      <c r="K241" s="38">
        <f t="shared" si="136"/>
        <v>2008</v>
      </c>
      <c r="M241" s="2"/>
      <c r="N241" s="2"/>
    </row>
    <row r="242" spans="1:14">
      <c r="A242" s="39" t="s">
        <v>28</v>
      </c>
      <c r="B242" s="21"/>
      <c r="C242" s="21"/>
      <c r="D242" s="21"/>
      <c r="E242" s="20"/>
      <c r="F242" s="20"/>
      <c r="G242" s="20"/>
      <c r="H242" s="20"/>
      <c r="I242" s="20"/>
      <c r="J242" s="20"/>
      <c r="K242" s="22"/>
    </row>
    <row r="243" spans="1:14">
      <c r="A243" s="19" t="s">
        <v>29</v>
      </c>
      <c r="B243" s="21"/>
      <c r="C243" s="21"/>
      <c r="D243" s="21"/>
      <c r="E243" s="20"/>
      <c r="F243" s="20"/>
      <c r="G243" s="20"/>
      <c r="H243" s="20"/>
      <c r="I243" s="20"/>
      <c r="J243" s="20"/>
      <c r="K243" s="22"/>
    </row>
    <row r="244" spans="1:14">
      <c r="A244" s="19"/>
      <c r="B244" s="21"/>
      <c r="C244" s="21"/>
      <c r="D244" s="21"/>
      <c r="E244" s="20"/>
      <c r="F244" s="20"/>
      <c r="G244" s="20"/>
      <c r="H244" s="20"/>
      <c r="I244" s="20"/>
      <c r="J244" s="20"/>
      <c r="K244" s="22"/>
    </row>
    <row r="245" spans="1:14">
      <c r="A245" s="19" t="s">
        <v>30</v>
      </c>
      <c r="B245" s="21"/>
      <c r="C245" s="21"/>
      <c r="D245" s="21"/>
      <c r="E245" s="21"/>
      <c r="F245" s="21"/>
      <c r="G245" s="21"/>
      <c r="H245" s="21"/>
      <c r="I245" s="21"/>
      <c r="J245" s="21"/>
      <c r="K245" s="40"/>
    </row>
    <row r="246" spans="1:14">
      <c r="A246" s="41" t="s">
        <v>31</v>
      </c>
      <c r="B246" s="21">
        <f>E$175</f>
        <v>3234.0000000000005</v>
      </c>
      <c r="C246" s="21">
        <f>E$176+E$182</f>
        <v>6716.3299941765963</v>
      </c>
      <c r="D246" s="21">
        <f>E$177+E$183+E$189</f>
        <v>5412.6696956262567</v>
      </c>
      <c r="E246" s="42">
        <f>E$178+E$184+E$190+E$196</f>
        <v>11085.371196410075</v>
      </c>
      <c r="F246" s="42">
        <f>E$179+E$185+E$191+E$197+E$203</f>
        <v>8364.6426374966795</v>
      </c>
      <c r="G246" s="42">
        <f>E$186+E$198+E$204+E$210+E$192</f>
        <v>17797.4320363923</v>
      </c>
      <c r="H246" s="42">
        <f>E$193+E$199+E$205+E$211+E$217</f>
        <v>15403.950740826569</v>
      </c>
      <c r="I246" s="42">
        <f>E$200+E$206+E$212+E$218+E$223</f>
        <v>11249.900309273949</v>
      </c>
      <c r="J246" s="42">
        <f>E$207+E$213+E$219+E$224+E$228</f>
        <v>8595.5112232162883</v>
      </c>
      <c r="K246" s="43">
        <f>E$214+E$220+E$225+E$229+E$232</f>
        <v>5232.7442283033197</v>
      </c>
    </row>
    <row r="247" spans="1:14">
      <c r="A247" s="41"/>
      <c r="B247" s="21"/>
      <c r="C247" s="21"/>
      <c r="D247" s="21"/>
      <c r="E247" s="42"/>
      <c r="F247" s="42"/>
      <c r="G247" s="42"/>
      <c r="H247" s="42"/>
      <c r="I247" s="42"/>
      <c r="J247" s="42"/>
      <c r="K247" s="43"/>
      <c r="M247" s="11"/>
    </row>
    <row r="248" spans="1:14">
      <c r="A248" s="19" t="s">
        <v>32</v>
      </c>
      <c r="B248" s="21"/>
      <c r="C248" s="21"/>
      <c r="D248" s="21"/>
      <c r="E248" s="20"/>
      <c r="F248" s="20"/>
      <c r="G248" s="20"/>
      <c r="H248" s="20"/>
      <c r="I248" s="20"/>
      <c r="J248" s="20"/>
      <c r="K248" s="22"/>
    </row>
    <row r="249" spans="1:14">
      <c r="A249" s="19"/>
      <c r="B249" s="21"/>
      <c r="C249" s="21"/>
      <c r="D249" s="21"/>
      <c r="E249" s="20"/>
      <c r="F249" s="20"/>
      <c r="G249" s="20"/>
      <c r="H249" s="20"/>
      <c r="I249" s="20"/>
      <c r="J249" s="20"/>
      <c r="K249" s="22"/>
    </row>
    <row r="250" spans="1:14">
      <c r="A250" s="19"/>
      <c r="B250" s="21"/>
      <c r="C250" s="21"/>
      <c r="D250" s="21"/>
      <c r="E250" s="20"/>
      <c r="F250" s="20"/>
      <c r="G250" s="20"/>
      <c r="H250" s="20"/>
      <c r="I250" s="20"/>
      <c r="J250" s="20"/>
      <c r="K250" s="22"/>
    </row>
    <row r="251" spans="1:14">
      <c r="A251" s="39" t="s">
        <v>33</v>
      </c>
      <c r="B251" s="21"/>
      <c r="C251" s="21"/>
      <c r="D251" s="21"/>
      <c r="E251" s="20"/>
      <c r="F251" s="20"/>
      <c r="G251" s="20"/>
      <c r="H251" s="20"/>
      <c r="I251" s="20"/>
      <c r="J251" s="20"/>
      <c r="K251" s="22"/>
    </row>
    <row r="252" spans="1:14">
      <c r="A252" s="19" t="s">
        <v>34</v>
      </c>
      <c r="B252" s="21"/>
      <c r="C252" s="21"/>
      <c r="D252" s="21"/>
      <c r="E252" s="20"/>
      <c r="F252" s="20"/>
      <c r="G252" s="20"/>
      <c r="H252" s="20"/>
      <c r="I252" s="20"/>
      <c r="J252" s="20"/>
      <c r="K252" s="22"/>
    </row>
    <row r="253" spans="1:14">
      <c r="A253" s="19"/>
      <c r="B253" s="21"/>
      <c r="C253" s="21"/>
      <c r="D253" s="21"/>
      <c r="E253" s="20"/>
      <c r="F253" s="20"/>
      <c r="G253" s="20"/>
      <c r="H253" s="20"/>
      <c r="I253" s="20"/>
      <c r="J253" s="20"/>
      <c r="K253" s="22"/>
    </row>
    <row r="254" spans="1:14">
      <c r="A254" s="19" t="s">
        <v>35</v>
      </c>
      <c r="B254" s="21"/>
      <c r="C254" s="21"/>
      <c r="D254" s="21"/>
      <c r="E254" s="20"/>
      <c r="F254" s="20"/>
      <c r="G254" s="20"/>
      <c r="H254" s="20"/>
      <c r="I254" s="20"/>
      <c r="J254" s="20"/>
      <c r="K254" s="22"/>
    </row>
    <row r="255" spans="1:14">
      <c r="A255" s="41" t="s">
        <v>36</v>
      </c>
      <c r="B255" s="21">
        <f t="shared" ref="B255:K255" si="137">C164</f>
        <v>25800</v>
      </c>
      <c r="C255" s="21">
        <f t="shared" si="137"/>
        <v>4702.5</v>
      </c>
      <c r="D255" s="21">
        <f t="shared" si="137"/>
        <v>0</v>
      </c>
      <c r="E255" s="21">
        <f t="shared" si="137"/>
        <v>5924.55285</v>
      </c>
      <c r="F255" s="21">
        <f t="shared" si="137"/>
        <v>0</v>
      </c>
      <c r="G255" s="21">
        <f t="shared" si="137"/>
        <v>107389.44509414623</v>
      </c>
      <c r="H255" s="21">
        <f t="shared" si="137"/>
        <v>0</v>
      </c>
      <c r="I255" s="21">
        <f t="shared" si="137"/>
        <v>0</v>
      </c>
      <c r="J255" s="21">
        <f t="shared" si="137"/>
        <v>2183.2487605681381</v>
      </c>
      <c r="K255" s="40">
        <f t="shared" si="137"/>
        <v>0</v>
      </c>
    </row>
    <row r="256" spans="1:14">
      <c r="A256" s="41" t="s">
        <v>65</v>
      </c>
      <c r="B256" s="21">
        <f>F$175</f>
        <v>8033.7500831914786</v>
      </c>
      <c r="C256" s="21">
        <f>F$176+F$182</f>
        <v>18482.484663934563</v>
      </c>
      <c r="D256" s="21">
        <f>F$177+F$183+F$189</f>
        <v>19786.144962484897</v>
      </c>
      <c r="E256" s="42">
        <f>F$178+F$184+F$190+F$196</f>
        <v>38458.735890374061</v>
      </c>
      <c r="F256" s="42">
        <f>F$179+F$185+F$191+F$197+F$203</f>
        <v>41179.464449287458</v>
      </c>
      <c r="G256" s="42">
        <f>F$186+F$198+F$204+F$210+F$192</f>
        <v>62058.390843040208</v>
      </c>
      <c r="H256" s="42">
        <f>F$193+F$199+F$205+F$211+F$217</f>
        <v>57420.151787488474</v>
      </c>
      <c r="I256" s="42">
        <f>F$200+F$206+F$212+F$218+F$223</f>
        <v>61574.202219041101</v>
      </c>
      <c r="J256" s="42">
        <f>F$207+F$213+F$219+F$224+F$228</f>
        <v>46305.588539264834</v>
      </c>
      <c r="K256" s="43">
        <f>F$214+F$220+F$225+F$229+F$232</f>
        <v>49668.355534177805</v>
      </c>
    </row>
    <row r="257" spans="1:11">
      <c r="A257" s="19" t="s">
        <v>32</v>
      </c>
      <c r="B257" s="21"/>
      <c r="C257" s="21"/>
      <c r="D257" s="21"/>
      <c r="E257" s="20"/>
      <c r="F257" s="20"/>
      <c r="G257" s="20"/>
      <c r="H257" s="20"/>
      <c r="I257" s="20"/>
      <c r="J257" s="20"/>
      <c r="K257" s="22"/>
    </row>
    <row r="258" spans="1:11">
      <c r="A258" s="19"/>
      <c r="B258" s="21"/>
      <c r="C258" s="21"/>
      <c r="D258" s="21"/>
      <c r="E258" s="20"/>
      <c r="F258" s="20"/>
      <c r="G258" s="20"/>
      <c r="H258" s="20"/>
      <c r="I258" s="20"/>
      <c r="J258" s="20"/>
      <c r="K258" s="22"/>
    </row>
    <row r="259" spans="1:11">
      <c r="A259" s="39" t="s">
        <v>37</v>
      </c>
      <c r="B259" s="21"/>
      <c r="C259" s="21"/>
      <c r="D259" s="21"/>
      <c r="E259" s="20"/>
      <c r="F259" s="20"/>
      <c r="G259" s="20"/>
      <c r="H259" s="20"/>
      <c r="I259" s="20"/>
      <c r="J259" s="20"/>
      <c r="K259" s="22"/>
    </row>
    <row r="260" spans="1:11">
      <c r="A260" s="19" t="s">
        <v>40</v>
      </c>
      <c r="B260" s="21"/>
      <c r="C260" s="21"/>
      <c r="D260" s="21"/>
      <c r="E260" s="20"/>
      <c r="F260" s="20"/>
      <c r="G260" s="20"/>
      <c r="H260" s="20"/>
      <c r="I260" s="20"/>
      <c r="J260" s="20"/>
      <c r="K260" s="22"/>
    </row>
    <row r="261" spans="1:11">
      <c r="A261" s="41" t="s">
        <v>41</v>
      </c>
      <c r="B261" s="21"/>
      <c r="C261" s="21"/>
      <c r="D261" s="21"/>
      <c r="E261" s="20"/>
      <c r="F261" s="20"/>
      <c r="G261" s="20"/>
      <c r="H261" s="20"/>
      <c r="I261" s="20"/>
      <c r="J261" s="20"/>
      <c r="K261" s="22"/>
    </row>
    <row r="262" spans="1:11">
      <c r="A262" s="41" t="s">
        <v>42</v>
      </c>
      <c r="B262" s="21">
        <f t="shared" ref="B262:K262" si="138">C166</f>
        <v>299000</v>
      </c>
      <c r="C262" s="21">
        <f t="shared" si="138"/>
        <v>693190</v>
      </c>
      <c r="D262" s="21">
        <f t="shared" si="138"/>
        <v>710519.75</v>
      </c>
      <c r="E262" s="21">
        <f t="shared" si="138"/>
        <v>730414.30299999996</v>
      </c>
      <c r="F262" s="21">
        <f t="shared" si="138"/>
        <v>754517.97499899985</v>
      </c>
      <c r="G262" s="21">
        <f t="shared" si="138"/>
        <v>780926.10412396479</v>
      </c>
      <c r="H262" s="21">
        <f t="shared" si="138"/>
        <v>806696.66556005576</v>
      </c>
      <c r="I262" s="21">
        <f t="shared" si="138"/>
        <v>831704.2621924174</v>
      </c>
      <c r="J262" s="21">
        <f t="shared" si="138"/>
        <v>852496.86874722783</v>
      </c>
      <c r="K262" s="40">
        <f t="shared" si="138"/>
        <v>873809.29046590801</v>
      </c>
    </row>
    <row r="263" spans="1:11">
      <c r="A263" s="41" t="s">
        <v>32</v>
      </c>
      <c r="B263" s="21"/>
      <c r="C263" s="21"/>
      <c r="D263" s="21"/>
      <c r="E263" s="20"/>
      <c r="F263" s="20"/>
      <c r="G263" s="20"/>
      <c r="H263" s="20"/>
      <c r="I263" s="20"/>
      <c r="J263" s="20"/>
      <c r="K263" s="22"/>
    </row>
    <row r="264" spans="1:11">
      <c r="A264" s="19"/>
      <c r="B264" s="21"/>
      <c r="C264" s="21"/>
      <c r="D264" s="21"/>
      <c r="E264" s="20"/>
      <c r="F264" s="20"/>
      <c r="G264" s="20"/>
      <c r="H264" s="20"/>
      <c r="I264" s="20"/>
      <c r="J264" s="20"/>
      <c r="K264" s="22"/>
    </row>
    <row r="265" spans="1:11">
      <c r="A265" s="19" t="s">
        <v>38</v>
      </c>
      <c r="B265" s="21"/>
      <c r="C265" s="21"/>
      <c r="D265" s="21"/>
      <c r="E265" s="20"/>
      <c r="F265" s="20"/>
      <c r="G265" s="20"/>
      <c r="H265" s="20"/>
      <c r="I265" s="20"/>
      <c r="J265" s="20"/>
      <c r="K265" s="22"/>
    </row>
    <row r="266" spans="1:11">
      <c r="A266" s="41" t="s">
        <v>39</v>
      </c>
      <c r="B266" s="21"/>
      <c r="C266" s="21"/>
      <c r="D266" s="21"/>
      <c r="E266" s="20"/>
      <c r="F266" s="20"/>
      <c r="G266" s="20"/>
      <c r="H266" s="20"/>
      <c r="I266" s="20"/>
      <c r="J266" s="20"/>
      <c r="K266" s="22"/>
    </row>
    <row r="267" spans="1:11">
      <c r="A267" s="41" t="s">
        <v>66</v>
      </c>
      <c r="B267" s="21">
        <f>G$175</f>
        <v>38166.24991680852</v>
      </c>
      <c r="C267" s="21">
        <f>G$176+G$182</f>
        <v>76651.265252873956</v>
      </c>
      <c r="D267" s="21">
        <f>G$177+G$183+G$189</f>
        <v>56865.120290389059</v>
      </c>
      <c r="E267" s="42">
        <f>G$178+G$184+G$190+G$196</f>
        <v>117960.186550015</v>
      </c>
      <c r="F267" s="42">
        <f>G$179+G$185+G$191+G$197+G$203</f>
        <v>76780.722100727537</v>
      </c>
      <c r="G267" s="42">
        <f>G$186+G$198+G$204+G$210+G$192</f>
        <v>183845.62943906602</v>
      </c>
      <c r="H267" s="42">
        <f>G$193+G$199+G$205+G$211+G$217</f>
        <v>154413.73960437923</v>
      </c>
      <c r="I267" s="42">
        <f>G$200+G$206+G$212+G$218+G$223</f>
        <v>92839.537385338117</v>
      </c>
      <c r="J267" s="42">
        <f>G$207+G$213+G$219+G$224+G$228</f>
        <v>73008.220104345353</v>
      </c>
      <c r="K267" s="43">
        <f>G$214+G$220+G$225+G$229+G$232</f>
        <v>23339.864570167549</v>
      </c>
    </row>
    <row r="268" spans="1:11">
      <c r="A268" s="41" t="s">
        <v>67</v>
      </c>
      <c r="B268" s="20"/>
      <c r="C268" s="21"/>
      <c r="D268" s="21"/>
      <c r="E268" s="21"/>
      <c r="F268" s="20"/>
      <c r="G268" s="20"/>
      <c r="H268" s="20"/>
      <c r="I268" s="20"/>
      <c r="J268" s="20"/>
      <c r="K268" s="22"/>
    </row>
    <row r="269" spans="1:11" ht="13.5" thickBot="1">
      <c r="A269" s="44" t="s">
        <v>32</v>
      </c>
      <c r="B269" s="9"/>
      <c r="C269" s="35"/>
      <c r="D269" s="35"/>
      <c r="E269" s="35"/>
      <c r="F269" s="9"/>
      <c r="G269" s="9"/>
      <c r="H269" s="9"/>
      <c r="I269" s="9"/>
      <c r="J269" s="9"/>
      <c r="K269" s="45"/>
    </row>
  </sheetData>
  <phoneticPr fontId="0" type="noConversion"/>
  <printOptions headings="1"/>
  <pageMargins left="0.75" right="0.75" top="0.5" bottom="0.72" header="0.5" footer="0.5"/>
  <pageSetup scale="53" fitToHeight="3" orientation="portrait" r:id="rId1"/>
  <headerFooter alignWithMargins="0">
    <oddFooter>demomachinery.xls&amp;RPage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A&amp;M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2002-11-23T03:41:02Z</cp:lastPrinted>
  <dcterms:created xsi:type="dcterms:W3CDTF">1999-05-30T18:57:37Z</dcterms:created>
  <dcterms:modified xsi:type="dcterms:W3CDTF">2011-02-07T04:32:27Z</dcterms:modified>
</cp:coreProperties>
</file>