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4085" windowHeight="858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Sheet1!$A$87:$R$157</definedName>
  </definedNames>
  <calcPr calcId="125725"/>
</workbook>
</file>

<file path=xl/calcChain.xml><?xml version="1.0" encoding="utf-8"?>
<calcChain xmlns="http://schemas.openxmlformats.org/spreadsheetml/2006/main">
  <c r="C194" i="1"/>
  <c r="D194"/>
  <c r="E194"/>
  <c r="B194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E193"/>
  <c r="A169"/>
  <c r="B169"/>
  <c r="I138"/>
  <c r="H138"/>
  <c r="G138"/>
  <c r="F138"/>
  <c r="E138"/>
  <c r="D138"/>
  <c r="E127"/>
  <c r="D127"/>
  <c r="C127"/>
  <c r="A120"/>
  <c r="A139" a="1"/>
  <c r="A139" s="1"/>
  <c r="A140"/>
  <c r="A141"/>
  <c r="A142"/>
  <c r="A144"/>
  <c r="A145"/>
  <c r="A146"/>
  <c r="A148"/>
  <c r="A149"/>
  <c r="A150"/>
  <c r="A152"/>
  <c r="A153"/>
  <c r="A154"/>
  <c r="A156"/>
  <c r="A157"/>
  <c r="A158"/>
  <c r="A160"/>
  <c r="A161"/>
  <c r="A162"/>
  <c r="B138"/>
  <c r="A138"/>
  <c r="B77"/>
  <c r="B81"/>
  <c r="B79"/>
  <c r="B80" s="1"/>
  <c r="B78"/>
  <c r="B76"/>
  <c r="B74"/>
  <c r="B73"/>
  <c r="B72"/>
  <c r="B71"/>
  <c r="B36"/>
  <c r="C10"/>
  <c r="D10" s="1"/>
  <c r="C11"/>
  <c r="D11" s="1"/>
  <c r="C170" s="1"/>
  <c r="C12"/>
  <c r="D12" s="1"/>
  <c r="C171" s="1"/>
  <c r="C13"/>
  <c r="D13" s="1"/>
  <c r="C172" s="1"/>
  <c r="C14"/>
  <c r="D14"/>
  <c r="C173" s="1"/>
  <c r="C15"/>
  <c r="D15" s="1"/>
  <c r="C174" s="1"/>
  <c r="C16"/>
  <c r="D16" s="1"/>
  <c r="C175" s="1"/>
  <c r="C17"/>
  <c r="D17" s="1"/>
  <c r="C176" s="1"/>
  <c r="C18"/>
  <c r="D18" s="1"/>
  <c r="C177" s="1"/>
  <c r="C19"/>
  <c r="D19" s="1"/>
  <c r="C178" s="1"/>
  <c r="C20"/>
  <c r="D20" s="1"/>
  <c r="C179" s="1"/>
  <c r="C21"/>
  <c r="D21" s="1"/>
  <c r="C180" s="1"/>
  <c r="C22"/>
  <c r="D22"/>
  <c r="C181" s="1"/>
  <c r="C23"/>
  <c r="D23" s="1"/>
  <c r="C182" s="1"/>
  <c r="C24"/>
  <c r="D24" s="1"/>
  <c r="C183" s="1"/>
  <c r="C25"/>
  <c r="D25" s="1"/>
  <c r="C184" s="1"/>
  <c r="C26"/>
  <c r="D26" s="1"/>
  <c r="C185" s="1"/>
  <c r="C27"/>
  <c r="D27" s="1"/>
  <c r="C186" s="1"/>
  <c r="C28"/>
  <c r="D28" s="1"/>
  <c r="C187" s="1"/>
  <c r="C29"/>
  <c r="D29" s="1"/>
  <c r="C188" s="1"/>
  <c r="C30"/>
  <c r="D30"/>
  <c r="C189" s="1"/>
  <c r="C31"/>
  <c r="D31" s="1"/>
  <c r="C190" s="1"/>
  <c r="C32"/>
  <c r="D32" s="1"/>
  <c r="C191" s="1"/>
  <c r="C33"/>
  <c r="D33" s="1"/>
  <c r="C192" s="1"/>
  <c r="C34"/>
  <c r="D34" s="1"/>
  <c r="C193" s="1"/>
  <c r="B39"/>
  <c r="B38"/>
  <c r="E133"/>
  <c r="C134"/>
  <c r="D125"/>
  <c r="D124"/>
  <c r="B123"/>
  <c r="E134"/>
  <c r="D133"/>
  <c r="C135"/>
  <c r="B122"/>
  <c r="B126"/>
  <c r="F124"/>
  <c r="D123"/>
  <c r="B121"/>
  <c r="B128" a="1"/>
  <c r="F125"/>
  <c r="F122"/>
  <c r="A1"/>
  <c r="F126"/>
  <c r="F123"/>
  <c r="B139" a="1"/>
  <c r="C133"/>
  <c r="B124"/>
  <c r="E135"/>
  <c r="D134"/>
  <c r="D135"/>
  <c r="B125"/>
  <c r="B82" l="1"/>
  <c r="B83" s="1"/>
  <c r="C139"/>
  <c r="C141"/>
  <c r="C143"/>
  <c r="C145"/>
  <c r="C147"/>
  <c r="C149"/>
  <c r="C151"/>
  <c r="C153"/>
  <c r="C155"/>
  <c r="C157"/>
  <c r="C159"/>
  <c r="C161"/>
  <c r="B139"/>
  <c r="B141"/>
  <c r="G93" s="1"/>
  <c r="B143"/>
  <c r="G95" s="1"/>
  <c r="B145"/>
  <c r="G97" s="1"/>
  <c r="B147"/>
  <c r="G99" s="1"/>
  <c r="B149"/>
  <c r="G101" s="1"/>
  <c r="B151"/>
  <c r="G103" s="1"/>
  <c r="B153"/>
  <c r="G105" s="1"/>
  <c r="B155"/>
  <c r="G107" s="1"/>
  <c r="B157"/>
  <c r="G109" s="1"/>
  <c r="B159"/>
  <c r="G111" s="1"/>
  <c r="B161"/>
  <c r="G113" s="1"/>
  <c r="B140"/>
  <c r="G92" s="1"/>
  <c r="B144"/>
  <c r="G96" s="1"/>
  <c r="B148"/>
  <c r="G100" s="1"/>
  <c r="B152"/>
  <c r="G104" s="1"/>
  <c r="B156"/>
  <c r="G108" s="1"/>
  <c r="B160"/>
  <c r="G112" s="1"/>
  <c r="C142"/>
  <c r="C146"/>
  <c r="C150"/>
  <c r="C154"/>
  <c r="C158"/>
  <c r="C162"/>
  <c r="B142"/>
  <c r="G94" s="1"/>
  <c r="B146"/>
  <c r="G98" s="1"/>
  <c r="B150"/>
  <c r="G102" s="1"/>
  <c r="B154"/>
  <c r="G106" s="1"/>
  <c r="B162"/>
  <c r="G114" s="1"/>
  <c r="C140"/>
  <c r="C144"/>
  <c r="C148"/>
  <c r="C152"/>
  <c r="C156"/>
  <c r="C160"/>
  <c r="B158"/>
  <c r="G110" s="1"/>
  <c r="C128"/>
  <c r="C132" s="1"/>
  <c r="C129"/>
  <c r="C130" s="1"/>
  <c r="B128"/>
  <c r="B129"/>
  <c r="D128"/>
  <c r="D132" s="1"/>
  <c r="E129"/>
  <c r="E130" s="1"/>
  <c r="D129"/>
  <c r="D130" s="1"/>
  <c r="E128"/>
  <c r="E132" s="1"/>
  <c r="D122"/>
  <c r="C169"/>
  <c r="D36"/>
  <c r="D39"/>
  <c r="D37"/>
  <c r="D38"/>
  <c r="C68"/>
  <c r="D68" s="1"/>
  <c r="D191" s="1"/>
  <c r="C64"/>
  <c r="D64" s="1"/>
  <c r="D187" s="1"/>
  <c r="C60"/>
  <c r="D60" s="1"/>
  <c r="D183" s="1"/>
  <c r="C56"/>
  <c r="D56" s="1"/>
  <c r="D179" s="1"/>
  <c r="C52"/>
  <c r="D52" s="1"/>
  <c r="D175" s="1"/>
  <c r="C48"/>
  <c r="D48" s="1"/>
  <c r="D171" s="1"/>
  <c r="C36"/>
  <c r="B202"/>
  <c r="B203"/>
  <c r="B195"/>
  <c r="B204"/>
  <c r="B200"/>
  <c r="B196"/>
  <c r="C47"/>
  <c r="D47" s="1"/>
  <c r="D170" s="1"/>
  <c r="C49"/>
  <c r="D49" s="1"/>
  <c r="D172" s="1"/>
  <c r="C51"/>
  <c r="D51" s="1"/>
  <c r="D174" s="1"/>
  <c r="C53"/>
  <c r="D53" s="1"/>
  <c r="D176" s="1"/>
  <c r="C55"/>
  <c r="D55" s="1"/>
  <c r="D178" s="1"/>
  <c r="C57"/>
  <c r="D57" s="1"/>
  <c r="D180" s="1"/>
  <c r="C59"/>
  <c r="D59" s="1"/>
  <c r="D182" s="1"/>
  <c r="C61"/>
  <c r="D61" s="1"/>
  <c r="D184" s="1"/>
  <c r="C63"/>
  <c r="D63" s="1"/>
  <c r="D186" s="1"/>
  <c r="C65"/>
  <c r="D65" s="1"/>
  <c r="D188" s="1"/>
  <c r="C67"/>
  <c r="D67" s="1"/>
  <c r="D190" s="1"/>
  <c r="C69"/>
  <c r="D69" s="1"/>
  <c r="D192" s="1"/>
  <c r="C70"/>
  <c r="D70" s="1"/>
  <c r="D193" s="1"/>
  <c r="C66"/>
  <c r="D66" s="1"/>
  <c r="D189" s="1"/>
  <c r="C62"/>
  <c r="D62" s="1"/>
  <c r="D185" s="1"/>
  <c r="C58"/>
  <c r="D58" s="1"/>
  <c r="D181" s="1"/>
  <c r="C54"/>
  <c r="D54" s="1"/>
  <c r="D177" s="1"/>
  <c r="C50"/>
  <c r="D50" s="1"/>
  <c r="D173" s="1"/>
  <c r="C46"/>
  <c r="B201"/>
  <c r="A159"/>
  <c r="A155"/>
  <c r="A151"/>
  <c r="A147"/>
  <c r="A143"/>
  <c r="D131"/>
  <c r="C131"/>
  <c r="E131"/>
  <c r="D121"/>
  <c r="D139" a="1"/>
  <c r="D142" l="1"/>
  <c r="D146"/>
  <c r="D150"/>
  <c r="D154"/>
  <c r="D158"/>
  <c r="D162"/>
  <c r="D141"/>
  <c r="G139" s="1" a="1"/>
  <c r="D145"/>
  <c r="D149"/>
  <c r="D153"/>
  <c r="D157"/>
  <c r="D161"/>
  <c r="D143"/>
  <c r="D151"/>
  <c r="D159"/>
  <c r="D139"/>
  <c r="D147"/>
  <c r="D155"/>
  <c r="D152"/>
  <c r="D140"/>
  <c r="D148"/>
  <c r="D156"/>
  <c r="D144"/>
  <c r="D160"/>
  <c r="H104"/>
  <c r="E182"/>
  <c r="E180"/>
  <c r="H102"/>
  <c r="G91"/>
  <c r="G115" s="1"/>
  <c r="F139" a="1"/>
  <c r="I139" a="1"/>
  <c r="E185"/>
  <c r="H107"/>
  <c r="E177"/>
  <c r="H99"/>
  <c r="H91"/>
  <c r="B137" a="1"/>
  <c r="B137" s="1"/>
  <c r="E169"/>
  <c r="B199"/>
  <c r="B198"/>
  <c r="B197"/>
  <c r="H108"/>
  <c r="E186"/>
  <c r="H92"/>
  <c r="E170"/>
  <c r="E184"/>
  <c r="H106"/>
  <c r="H109"/>
  <c r="E187"/>
  <c r="H101"/>
  <c r="E179"/>
  <c r="H93"/>
  <c r="E171"/>
  <c r="H112"/>
  <c r="E190"/>
  <c r="H96"/>
  <c r="E174"/>
  <c r="E188"/>
  <c r="H110"/>
  <c r="E172"/>
  <c r="H94"/>
  <c r="E189"/>
  <c r="H111"/>
  <c r="E181"/>
  <c r="H103"/>
  <c r="E173"/>
  <c r="H95"/>
  <c r="C73"/>
  <c r="D46"/>
  <c r="C72"/>
  <c r="C74"/>
  <c r="C71"/>
  <c r="C195"/>
  <c r="C203"/>
  <c r="C196"/>
  <c r="C200"/>
  <c r="C204"/>
  <c r="C201"/>
  <c r="C202"/>
  <c r="H100"/>
  <c r="E178"/>
  <c r="E192"/>
  <c r="H114"/>
  <c r="E176"/>
  <c r="H98"/>
  <c r="H113"/>
  <c r="E191"/>
  <c r="H105"/>
  <c r="E183"/>
  <c r="H97"/>
  <c r="E175"/>
  <c r="B130"/>
  <c r="B131"/>
  <c r="G160" l="1"/>
  <c r="G156"/>
  <c r="G152"/>
  <c r="G148"/>
  <c r="G144"/>
  <c r="G140"/>
  <c r="G161"/>
  <c r="G157"/>
  <c r="G153"/>
  <c r="G149"/>
  <c r="G145"/>
  <c r="G141"/>
  <c r="G158"/>
  <c r="G150"/>
  <c r="G142"/>
  <c r="G155"/>
  <c r="G147"/>
  <c r="G139"/>
  <c r="G159"/>
  <c r="G151"/>
  <c r="G143"/>
  <c r="G162"/>
  <c r="G154"/>
  <c r="G146"/>
  <c r="F159"/>
  <c r="F155"/>
  <c r="F151"/>
  <c r="F147"/>
  <c r="F143"/>
  <c r="F139"/>
  <c r="F160"/>
  <c r="F156"/>
  <c r="F152"/>
  <c r="F148"/>
  <c r="F144"/>
  <c r="F140"/>
  <c r="F157"/>
  <c r="F149"/>
  <c r="F141"/>
  <c r="F162"/>
  <c r="F154"/>
  <c r="F146"/>
  <c r="F158"/>
  <c r="F150"/>
  <c r="F142"/>
  <c r="F161"/>
  <c r="F153"/>
  <c r="F145"/>
  <c r="C197"/>
  <c r="C198"/>
  <c r="D74"/>
  <c r="D169"/>
  <c r="D73"/>
  <c r="D72"/>
  <c r="D71"/>
  <c r="C199"/>
  <c r="H139" a="1"/>
  <c r="H115"/>
  <c r="H116"/>
  <c r="H117"/>
  <c r="H118"/>
  <c r="I162"/>
  <c r="I158"/>
  <c r="I154"/>
  <c r="I150"/>
  <c r="I146"/>
  <c r="I142"/>
  <c r="I159"/>
  <c r="I155"/>
  <c r="I151"/>
  <c r="I147"/>
  <c r="I143"/>
  <c r="I139"/>
  <c r="I160"/>
  <c r="I152"/>
  <c r="I144"/>
  <c r="I157"/>
  <c r="I149"/>
  <c r="I141"/>
  <c r="I161"/>
  <c r="I153"/>
  <c r="I145"/>
  <c r="I156"/>
  <c r="I148"/>
  <c r="I140"/>
  <c r="E201"/>
  <c r="E202"/>
  <c r="E195"/>
  <c r="E203"/>
  <c r="E200"/>
  <c r="E196"/>
  <c r="E199" s="1"/>
  <c r="E204"/>
  <c r="E139" a="1"/>
  <c r="E162" l="1"/>
  <c r="E158"/>
  <c r="E154"/>
  <c r="E150"/>
  <c r="E146"/>
  <c r="E142"/>
  <c r="E159"/>
  <c r="E155"/>
  <c r="E151"/>
  <c r="E147"/>
  <c r="E143"/>
  <c r="E139"/>
  <c r="E156"/>
  <c r="E148"/>
  <c r="E140"/>
  <c r="E161"/>
  <c r="E153"/>
  <c r="E145"/>
  <c r="E157"/>
  <c r="E149"/>
  <c r="E141"/>
  <c r="E160"/>
  <c r="E152"/>
  <c r="E144"/>
  <c r="H161"/>
  <c r="H157"/>
  <c r="H153"/>
  <c r="H149"/>
  <c r="H145"/>
  <c r="H141"/>
  <c r="H162"/>
  <c r="H158"/>
  <c r="H154"/>
  <c r="H150"/>
  <c r="H146"/>
  <c r="H142"/>
  <c r="H159"/>
  <c r="H151"/>
  <c r="H143"/>
  <c r="H155"/>
  <c r="H156"/>
  <c r="H148"/>
  <c r="H140"/>
  <c r="H160"/>
  <c r="H152"/>
  <c r="H144"/>
  <c r="H147"/>
  <c r="H139"/>
  <c r="E197"/>
  <c r="E198"/>
  <c r="D196"/>
  <c r="D199" s="1"/>
  <c r="D200"/>
  <c r="D204"/>
  <c r="D201"/>
  <c r="D202"/>
  <c r="D195"/>
  <c r="D203"/>
  <c r="D197" l="1"/>
  <c r="D198"/>
  <c r="D137"/>
</calcChain>
</file>

<file path=xl/sharedStrings.xml><?xml version="1.0" encoding="utf-8"?>
<sst xmlns="http://schemas.openxmlformats.org/spreadsheetml/2006/main" count="98" uniqueCount="69">
  <si>
    <t>Year</t>
  </si>
  <si>
    <t>Price t-1</t>
  </si>
  <si>
    <t>Std Dev</t>
  </si>
  <si>
    <t>Intercept</t>
  </si>
  <si>
    <t>Average</t>
  </si>
  <si>
    <t>X</t>
  </si>
  <si>
    <t>X-bar</t>
  </si>
  <si>
    <t>X-hat</t>
  </si>
  <si>
    <t>Slope</t>
  </si>
  <si>
    <t>Acres t-1</t>
  </si>
  <si>
    <t>Acres Idled</t>
  </si>
  <si>
    <t>The random variable (X) is U.S. harvested acres of wheat for the past 25 years.</t>
  </si>
  <si>
    <t>Table 1. Variability about the Mean for a Random Variable.</t>
  </si>
  <si>
    <t>Residuals (e-hat)</t>
  </si>
  <si>
    <t>Table 2. Variability about Trend Line for a Random Variable.</t>
  </si>
  <si>
    <t>Table 3. Variability about the Pedicted Vales from a Regression Model for a Random Variable.</t>
  </si>
  <si>
    <t>Observ.</t>
  </si>
  <si>
    <t>Minimum</t>
  </si>
  <si>
    <t>Maximum</t>
  </si>
  <si>
    <t>James W. Richardson</t>
  </si>
  <si>
    <t>R-Square</t>
  </si>
  <si>
    <t>F-Ratio</t>
  </si>
  <si>
    <t>Prob(F)</t>
  </si>
  <si>
    <t>S.E.</t>
  </si>
  <si>
    <t>T-Test</t>
  </si>
  <si>
    <t>Prob(T)</t>
  </si>
  <si>
    <t>F-test</t>
  </si>
  <si>
    <t>CV Regr</t>
  </si>
  <si>
    <t>Durbin-Watson</t>
  </si>
  <si>
    <t>Goldfeld-Quandt</t>
  </si>
  <si>
    <t>Rho</t>
  </si>
  <si>
    <t>Beta</t>
  </si>
  <si>
    <t>t-test</t>
  </si>
  <si>
    <t>Prob(t)</t>
  </si>
  <si>
    <t>Elasticity at Mean</t>
  </si>
  <si>
    <t>Residuals</t>
  </si>
  <si>
    <t>Appendix C</t>
  </si>
  <si>
    <t>S.D. Resids</t>
  </si>
  <si>
    <t>MAPE</t>
  </si>
  <si>
    <t>Unrestricted Model</t>
  </si>
  <si>
    <r>
      <t>R</t>
    </r>
    <r>
      <rPr>
        <b/>
        <vertAlign val="superscript"/>
        <sz val="10"/>
        <rFont val="Arial"/>
        <family val="2"/>
      </rPr>
      <t>2</t>
    </r>
  </si>
  <si>
    <r>
      <t>RBar</t>
    </r>
    <r>
      <rPr>
        <b/>
        <vertAlign val="superscript"/>
        <sz val="10"/>
        <rFont val="Arial"/>
        <family val="2"/>
      </rPr>
      <t>2</t>
    </r>
  </si>
  <si>
    <t>Akaike Information Criterion</t>
  </si>
  <si>
    <t>Schwarz Information Criterion</t>
  </si>
  <si>
    <t>Variance Inflation Factor</t>
  </si>
  <si>
    <t>Partial Correlation</t>
  </si>
  <si>
    <t>Semipartial Correlation</t>
  </si>
  <si>
    <t>Restriction</t>
  </si>
  <si>
    <t>Lower</t>
  </si>
  <si>
    <t>Upper</t>
  </si>
  <si>
    <r>
      <t>MSE</t>
    </r>
    <r>
      <rPr>
        <b/>
        <vertAlign val="superscript"/>
        <sz val="10"/>
        <rFont val="Arial"/>
        <family val="2"/>
      </rPr>
      <t>1/2</t>
    </r>
  </si>
  <si>
    <t>Compare Risk for the random variable</t>
  </si>
  <si>
    <t>Res Mean</t>
  </si>
  <si>
    <t>Res Trend</t>
  </si>
  <si>
    <t>Res Multiple Regression</t>
  </si>
  <si>
    <t>Data</t>
  </si>
  <si>
    <t>Mean</t>
  </si>
  <si>
    <t>StDev</t>
  </si>
  <si>
    <t>95 % LCI</t>
  </si>
  <si>
    <t>95 % UCI</t>
  </si>
  <si>
    <t>CV</t>
  </si>
  <si>
    <t>Min</t>
  </si>
  <si>
    <t>Median</t>
  </si>
  <si>
    <t>Max</t>
  </si>
  <si>
    <t>Skewness</t>
  </si>
  <si>
    <t>Kurtosis</t>
  </si>
  <si>
    <t>Note: impact of different methods on Std Dev, stuctural OLS model reduces SD the most</t>
  </si>
  <si>
    <t>This implies that OLS structural model results in the least unexplained risk for simulation</t>
  </si>
  <si>
    <t>© 2011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</si>
</sst>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0"/>
      <name val="Arial"/>
    </font>
    <font>
      <i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 applyAlignme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0" fontId="3" fillId="0" borderId="5" xfId="0" applyNumberFormat="1" applyFont="1" applyBorder="1"/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165" fontId="0" fillId="0" borderId="1" xfId="0" applyNumberFormat="1" applyBorder="1"/>
    <xf numFmtId="0" fontId="4" fillId="0" borderId="0" xfId="0" applyFont="1" applyBorder="1"/>
    <xf numFmtId="0" fontId="2" fillId="0" borderId="2" xfId="0" applyFont="1" applyBorder="1"/>
    <xf numFmtId="0" fontId="2" fillId="0" borderId="0" xfId="0" applyFont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0" xfId="0" applyNumberFormat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5" fillId="0" borderId="0" xfId="0" applyFont="1"/>
    <xf numFmtId="165" fontId="2" fillId="0" borderId="0" xfId="0" applyNumberFormat="1" applyFont="1"/>
    <xf numFmtId="165" fontId="0" fillId="0" borderId="21" xfId="0" applyNumberFormat="1" applyBorder="1"/>
    <xf numFmtId="9" fontId="2" fillId="0" borderId="11" xfId="0" applyNumberFormat="1" applyFont="1" applyBorder="1"/>
    <xf numFmtId="0" fontId="2" fillId="0" borderId="9" xfId="0" applyFont="1" applyBorder="1"/>
    <xf numFmtId="0" fontId="2" fillId="0" borderId="22" xfId="0" applyFont="1" applyBorder="1"/>
    <xf numFmtId="0" fontId="0" fillId="0" borderId="22" xfId="0" applyBorder="1"/>
    <xf numFmtId="0" fontId="1" fillId="0" borderId="0" xfId="0" applyFont="1" applyFill="1" applyBorder="1" applyAlignment="1">
      <alignment horizontal="centerContinuous"/>
    </xf>
  </cellXfs>
  <cellStyles count="1"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Actual Acreage and Trend Projected Acreages</a:t>
            </a:r>
          </a:p>
        </c:rich>
      </c:tx>
      <c:layout>
        <c:manualLayout>
          <c:xMode val="edge"/>
          <c:yMode val="edge"/>
          <c:x val="0.13252353022657165"/>
          <c:y val="3.5926736122684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59421038636182"/>
          <c:y val="0.23711645840971565"/>
          <c:w val="0.8179186631171218"/>
          <c:h val="0.41315746541086817"/>
        </c:manualLayout>
      </c:layout>
      <c:scatterChart>
        <c:scatterStyle val="smoothMarker"/>
        <c:ser>
          <c:idx val="0"/>
          <c:order val="0"/>
          <c:tx>
            <c:v>Actual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Sheet1!$A$46:$A$70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Sheet1!$B$46:$B$70</c:f>
              <c:numCache>
                <c:formatCode>General</c:formatCode>
                <c:ptCount val="25"/>
                <c:pt idx="0">
                  <c:v>47.7</c:v>
                </c:pt>
                <c:pt idx="1">
                  <c:v>47.3</c:v>
                </c:pt>
                <c:pt idx="2">
                  <c:v>54.1</c:v>
                </c:pt>
                <c:pt idx="3">
                  <c:v>65.400000000000006</c:v>
                </c:pt>
                <c:pt idx="4">
                  <c:v>69.5</c:v>
                </c:pt>
                <c:pt idx="5">
                  <c:v>70.900000000000006</c:v>
                </c:pt>
                <c:pt idx="6">
                  <c:v>66.7</c:v>
                </c:pt>
                <c:pt idx="7">
                  <c:v>56.5</c:v>
                </c:pt>
                <c:pt idx="8">
                  <c:v>62.5</c:v>
                </c:pt>
                <c:pt idx="9">
                  <c:v>71.099999999999994</c:v>
                </c:pt>
                <c:pt idx="10">
                  <c:v>80.599999999999994</c:v>
                </c:pt>
                <c:pt idx="11">
                  <c:v>77.900000000000006</c:v>
                </c:pt>
                <c:pt idx="12">
                  <c:v>61.4</c:v>
                </c:pt>
                <c:pt idx="13">
                  <c:v>66.900000000000006</c:v>
                </c:pt>
                <c:pt idx="14">
                  <c:v>64.7</c:v>
                </c:pt>
                <c:pt idx="15">
                  <c:v>60.7</c:v>
                </c:pt>
                <c:pt idx="16">
                  <c:v>55.9</c:v>
                </c:pt>
                <c:pt idx="17">
                  <c:v>53.2</c:v>
                </c:pt>
                <c:pt idx="18">
                  <c:v>62.2</c:v>
                </c:pt>
                <c:pt idx="19">
                  <c:v>69.3</c:v>
                </c:pt>
                <c:pt idx="20">
                  <c:v>57.7</c:v>
                </c:pt>
                <c:pt idx="21">
                  <c:v>62.8</c:v>
                </c:pt>
                <c:pt idx="22">
                  <c:v>62.7</c:v>
                </c:pt>
                <c:pt idx="23">
                  <c:v>61.8</c:v>
                </c:pt>
                <c:pt idx="24">
                  <c:v>60.9</c:v>
                </c:pt>
              </c:numCache>
            </c:numRef>
          </c:yVal>
        </c:ser>
        <c:ser>
          <c:idx val="1"/>
          <c:order val="1"/>
          <c:tx>
            <c:v>Trend 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xVal>
            <c:numRef>
              <c:f>Sheet1!$A$46:$A$70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Sheet1!$C$46:$C$70</c:f>
              <c:numCache>
                <c:formatCode>0.000</c:formatCode>
                <c:ptCount val="25"/>
                <c:pt idx="0">
                  <c:v>61.606769230769231</c:v>
                </c:pt>
                <c:pt idx="1">
                  <c:v>61.707538461538462</c:v>
                </c:pt>
                <c:pt idx="2">
                  <c:v>61.808307692307693</c:v>
                </c:pt>
                <c:pt idx="3">
                  <c:v>61.909076923076924</c:v>
                </c:pt>
                <c:pt idx="4">
                  <c:v>62.009846153846155</c:v>
                </c:pt>
                <c:pt idx="5">
                  <c:v>62.110615384615386</c:v>
                </c:pt>
                <c:pt idx="6">
                  <c:v>62.211384615384617</c:v>
                </c:pt>
                <c:pt idx="7">
                  <c:v>62.312153846153848</c:v>
                </c:pt>
                <c:pt idx="8">
                  <c:v>62.412923076923079</c:v>
                </c:pt>
                <c:pt idx="9">
                  <c:v>62.51369230769231</c:v>
                </c:pt>
                <c:pt idx="10">
                  <c:v>62.614461538461541</c:v>
                </c:pt>
                <c:pt idx="11">
                  <c:v>62.715230769230772</c:v>
                </c:pt>
                <c:pt idx="12">
                  <c:v>62.816000000000003</c:v>
                </c:pt>
                <c:pt idx="13">
                  <c:v>62.916769230769233</c:v>
                </c:pt>
                <c:pt idx="14">
                  <c:v>63.017538461538464</c:v>
                </c:pt>
                <c:pt idx="15">
                  <c:v>63.118307692307688</c:v>
                </c:pt>
                <c:pt idx="16">
                  <c:v>63.219076923076919</c:v>
                </c:pt>
                <c:pt idx="17">
                  <c:v>63.31984615384615</c:v>
                </c:pt>
                <c:pt idx="18">
                  <c:v>63.420615384615381</c:v>
                </c:pt>
                <c:pt idx="19">
                  <c:v>63.521384615384612</c:v>
                </c:pt>
                <c:pt idx="20">
                  <c:v>63.622153846153843</c:v>
                </c:pt>
                <c:pt idx="21">
                  <c:v>63.722923076923074</c:v>
                </c:pt>
                <c:pt idx="22">
                  <c:v>63.823692307692305</c:v>
                </c:pt>
                <c:pt idx="23">
                  <c:v>63.924461538461536</c:v>
                </c:pt>
                <c:pt idx="24">
                  <c:v>64.025230769230774</c:v>
                </c:pt>
              </c:numCache>
            </c:numRef>
          </c:yVal>
          <c:smooth val="1"/>
        </c:ser>
        <c:axId val="49665536"/>
        <c:axId val="51642368"/>
      </c:scatterChart>
      <c:valAx>
        <c:axId val="49665536"/>
        <c:scaling>
          <c:orientation val="minMax"/>
          <c:max val="25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Years</a:t>
                </a:r>
              </a:p>
            </c:rich>
          </c:tx>
          <c:layout>
            <c:manualLayout>
              <c:xMode val="edge"/>
              <c:yMode val="edge"/>
              <c:x val="0.50317527882901414"/>
              <c:y val="0.761646805800904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42368"/>
        <c:crosses val="autoZero"/>
        <c:crossBetween val="midCat"/>
      </c:valAx>
      <c:valAx>
        <c:axId val="51642368"/>
        <c:scaling>
          <c:orientation val="minMax"/>
          <c:max val="90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M. Acres</a:t>
                </a:r>
              </a:p>
            </c:rich>
          </c:tx>
          <c:layout>
            <c:manualLayout>
              <c:xMode val="edge"/>
              <c:yMode val="edge"/>
              <c:x val="3.3130882556642913E-2"/>
              <c:y val="0.337711319553231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65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22766764370145"/>
          <c:y val="0.88739038223029953"/>
          <c:w val="0.36858106844265237"/>
          <c:h val="8.6224166694442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Residuals About the Mean</a:t>
            </a:r>
          </a:p>
        </c:rich>
      </c:tx>
      <c:layout>
        <c:manualLayout>
          <c:xMode val="edge"/>
          <c:yMode val="edge"/>
          <c:x val="0.28942292065600644"/>
          <c:y val="3.58254906762761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64415375188888"/>
          <c:y val="0.23644823846342231"/>
          <c:w val="0.81038417783681804"/>
          <c:h val="0.58753804709092816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Sheet2!$E$1:$E$25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Sheet2!$F$1:$F$25</c:f>
              <c:numCache>
                <c:formatCode>General</c:formatCode>
                <c:ptCount val="25"/>
                <c:pt idx="0">
                  <c:v>-15.116</c:v>
                </c:pt>
                <c:pt idx="1">
                  <c:v>-15.516000000000005</c:v>
                </c:pt>
                <c:pt idx="2">
                  <c:v>-8.7160000000000011</c:v>
                </c:pt>
                <c:pt idx="3">
                  <c:v>2.5840000000000032</c:v>
                </c:pt>
                <c:pt idx="4">
                  <c:v>6.6839999999999975</c:v>
                </c:pt>
                <c:pt idx="5">
                  <c:v>8.0840000000000032</c:v>
                </c:pt>
                <c:pt idx="6">
                  <c:v>3.8840000000000003</c:v>
                </c:pt>
                <c:pt idx="7">
                  <c:v>-6.3160000000000025</c:v>
                </c:pt>
                <c:pt idx="8">
                  <c:v>-0.3160000000000025</c:v>
                </c:pt>
                <c:pt idx="9">
                  <c:v>8.2839999999999918</c:v>
                </c:pt>
                <c:pt idx="10">
                  <c:v>17.783999999999992</c:v>
                </c:pt>
                <c:pt idx="11">
                  <c:v>15.084000000000003</c:v>
                </c:pt>
                <c:pt idx="12">
                  <c:v>-1.4160000000000039</c:v>
                </c:pt>
                <c:pt idx="13">
                  <c:v>4.0840000000000032</c:v>
                </c:pt>
                <c:pt idx="14">
                  <c:v>1.8840000000000003</c:v>
                </c:pt>
                <c:pt idx="15">
                  <c:v>-2.1159999999999997</c:v>
                </c:pt>
                <c:pt idx="16">
                  <c:v>-6.9160000000000039</c:v>
                </c:pt>
                <c:pt idx="17">
                  <c:v>-9.6159999999999997</c:v>
                </c:pt>
                <c:pt idx="18">
                  <c:v>-0.61599999999999966</c:v>
                </c:pt>
                <c:pt idx="19">
                  <c:v>6.4839999999999947</c:v>
                </c:pt>
                <c:pt idx="20">
                  <c:v>-5.1159999999999997</c:v>
                </c:pt>
                <c:pt idx="21">
                  <c:v>-1.6000000000005343E-2</c:v>
                </c:pt>
                <c:pt idx="22">
                  <c:v>-0.11599999999999966</c:v>
                </c:pt>
                <c:pt idx="23">
                  <c:v>-1.0160000000000053</c:v>
                </c:pt>
                <c:pt idx="24">
                  <c:v>-1.9160000000000039</c:v>
                </c:pt>
              </c:numCache>
            </c:numRef>
          </c:yVal>
        </c:ser>
        <c:axId val="51666304"/>
        <c:axId val="51672960"/>
      </c:scatterChart>
      <c:valAx>
        <c:axId val="51666304"/>
        <c:scaling>
          <c:orientation val="minMax"/>
          <c:max val="25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855741772412566"/>
              <c:y val="0.863394325298254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72960"/>
        <c:crosses val="autoZero"/>
        <c:crossBetween val="midCat"/>
      </c:valAx>
      <c:valAx>
        <c:axId val="5167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M. Acres</a:t>
                </a:r>
              </a:p>
            </c:rich>
          </c:tx>
          <c:layout>
            <c:manualLayout>
              <c:xMode val="edge"/>
              <c:yMode val="edge"/>
              <c:x val="3.3076905217829307E-2"/>
              <c:y val="0.426323339047685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66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Acreage and Mean </a:t>
            </a:r>
          </a:p>
        </c:rich>
      </c:tx>
      <c:layout>
        <c:manualLayout>
          <c:xMode val="edge"/>
          <c:yMode val="edge"/>
          <c:x val="0.296107262849996"/>
          <c:y val="3.6028745590964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59421038636182"/>
          <c:y val="0.23778972090036679"/>
          <c:w val="0.8179186631171218"/>
          <c:h val="0.41433057429609366"/>
        </c:manualLayout>
      </c:layout>
      <c:scatterChart>
        <c:scatterStyle val="lineMarker"/>
        <c:ser>
          <c:idx val="0"/>
          <c:order val="0"/>
          <c:tx>
            <c:v>Actual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Sheet1!$A$10:$A$34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Sheet1!$B$10:$B$34</c:f>
              <c:numCache>
                <c:formatCode>General</c:formatCode>
                <c:ptCount val="25"/>
                <c:pt idx="0">
                  <c:v>47.7</c:v>
                </c:pt>
                <c:pt idx="1">
                  <c:v>47.3</c:v>
                </c:pt>
                <c:pt idx="2">
                  <c:v>54.1</c:v>
                </c:pt>
                <c:pt idx="3">
                  <c:v>65.400000000000006</c:v>
                </c:pt>
                <c:pt idx="4">
                  <c:v>69.5</c:v>
                </c:pt>
                <c:pt idx="5">
                  <c:v>70.900000000000006</c:v>
                </c:pt>
                <c:pt idx="6">
                  <c:v>66.7</c:v>
                </c:pt>
                <c:pt idx="7">
                  <c:v>56.5</c:v>
                </c:pt>
                <c:pt idx="8">
                  <c:v>62.5</c:v>
                </c:pt>
                <c:pt idx="9">
                  <c:v>71.099999999999994</c:v>
                </c:pt>
                <c:pt idx="10">
                  <c:v>80.599999999999994</c:v>
                </c:pt>
                <c:pt idx="11">
                  <c:v>77.900000000000006</c:v>
                </c:pt>
                <c:pt idx="12">
                  <c:v>61.4</c:v>
                </c:pt>
                <c:pt idx="13">
                  <c:v>66.900000000000006</c:v>
                </c:pt>
                <c:pt idx="14">
                  <c:v>64.7</c:v>
                </c:pt>
                <c:pt idx="15">
                  <c:v>60.7</c:v>
                </c:pt>
                <c:pt idx="16">
                  <c:v>55.9</c:v>
                </c:pt>
                <c:pt idx="17">
                  <c:v>53.2</c:v>
                </c:pt>
                <c:pt idx="18">
                  <c:v>62.2</c:v>
                </c:pt>
                <c:pt idx="19">
                  <c:v>69.3</c:v>
                </c:pt>
                <c:pt idx="20">
                  <c:v>57.7</c:v>
                </c:pt>
                <c:pt idx="21">
                  <c:v>62.8</c:v>
                </c:pt>
                <c:pt idx="22">
                  <c:v>62.7</c:v>
                </c:pt>
                <c:pt idx="23">
                  <c:v>61.8</c:v>
                </c:pt>
                <c:pt idx="24">
                  <c:v>60.9</c:v>
                </c:pt>
              </c:numCache>
            </c:numRef>
          </c:yVal>
        </c:ser>
        <c:ser>
          <c:idx val="1"/>
          <c:order val="1"/>
          <c:tx>
            <c:v>Mean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xVal>
            <c:numRef>
              <c:f>Sheet1!$A$10:$A$34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Sheet1!$C$10:$C$34</c:f>
              <c:numCache>
                <c:formatCode>0.000</c:formatCode>
                <c:ptCount val="25"/>
                <c:pt idx="0">
                  <c:v>62.816000000000003</c:v>
                </c:pt>
                <c:pt idx="1">
                  <c:v>62.816000000000003</c:v>
                </c:pt>
                <c:pt idx="2">
                  <c:v>62.816000000000003</c:v>
                </c:pt>
                <c:pt idx="3">
                  <c:v>62.816000000000003</c:v>
                </c:pt>
                <c:pt idx="4">
                  <c:v>62.816000000000003</c:v>
                </c:pt>
                <c:pt idx="5">
                  <c:v>62.816000000000003</c:v>
                </c:pt>
                <c:pt idx="6">
                  <c:v>62.816000000000003</c:v>
                </c:pt>
                <c:pt idx="7">
                  <c:v>62.816000000000003</c:v>
                </c:pt>
                <c:pt idx="8">
                  <c:v>62.816000000000003</c:v>
                </c:pt>
                <c:pt idx="9">
                  <c:v>62.816000000000003</c:v>
                </c:pt>
                <c:pt idx="10">
                  <c:v>62.816000000000003</c:v>
                </c:pt>
                <c:pt idx="11">
                  <c:v>62.816000000000003</c:v>
                </c:pt>
                <c:pt idx="12">
                  <c:v>62.816000000000003</c:v>
                </c:pt>
                <c:pt idx="13">
                  <c:v>62.816000000000003</c:v>
                </c:pt>
                <c:pt idx="14">
                  <c:v>62.816000000000003</c:v>
                </c:pt>
                <c:pt idx="15">
                  <c:v>62.816000000000003</c:v>
                </c:pt>
                <c:pt idx="16">
                  <c:v>62.816000000000003</c:v>
                </c:pt>
                <c:pt idx="17">
                  <c:v>62.816000000000003</c:v>
                </c:pt>
                <c:pt idx="18">
                  <c:v>62.816000000000003</c:v>
                </c:pt>
                <c:pt idx="19">
                  <c:v>62.816000000000003</c:v>
                </c:pt>
                <c:pt idx="20">
                  <c:v>62.816000000000003</c:v>
                </c:pt>
                <c:pt idx="21">
                  <c:v>62.816000000000003</c:v>
                </c:pt>
                <c:pt idx="22">
                  <c:v>62.816000000000003</c:v>
                </c:pt>
                <c:pt idx="23">
                  <c:v>62.816000000000003</c:v>
                </c:pt>
                <c:pt idx="24">
                  <c:v>62.816000000000003</c:v>
                </c:pt>
              </c:numCache>
            </c:numRef>
          </c:yVal>
        </c:ser>
        <c:axId val="51706112"/>
        <c:axId val="68096384"/>
      </c:scatterChart>
      <c:valAx>
        <c:axId val="51706112"/>
        <c:scaling>
          <c:orientation val="minMax"/>
          <c:max val="25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317527882901414"/>
              <c:y val="0.763809406528450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6384"/>
        <c:crosses val="autoZero"/>
        <c:crossBetween val="midCat"/>
      </c:valAx>
      <c:valAx>
        <c:axId val="68096384"/>
        <c:scaling>
          <c:orientation val="minMax"/>
          <c:max val="90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M. Acres</a:t>
                </a:r>
              </a:p>
            </c:rich>
          </c:tx>
          <c:layout>
            <c:manualLayout>
              <c:xMode val="edge"/>
              <c:yMode val="edge"/>
              <c:x val="3.3130882556642913E-2"/>
              <c:y val="0.33867020855506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06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236902796328185"/>
          <c:y val="0.88991001609682729"/>
          <c:w val="0.36029834780349163"/>
          <c:h val="8.64689894183151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Residuals About the Trend Line</a:t>
            </a:r>
          </a:p>
        </c:rich>
      </c:tx>
      <c:layout>
        <c:manualLayout>
          <c:xMode val="edge"/>
          <c:yMode val="edge"/>
          <c:x val="0.24385840466597394"/>
          <c:y val="3.577724346249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49095412898193E-2"/>
          <c:y val="0.2146634607749407"/>
          <c:w val="0.88164192456159807"/>
          <c:h val="0.70578743921457765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yVal>
            <c:numRef>
              <c:f>Sheet1!$H$91:$H$114</c:f>
              <c:numCache>
                <c:formatCode>0.000</c:formatCode>
                <c:ptCount val="24"/>
                <c:pt idx="0">
                  <c:v>0.8263917372546814</c:v>
                </c:pt>
                <c:pt idx="1">
                  <c:v>1.6531009358851563</c:v>
                </c:pt>
                <c:pt idx="2">
                  <c:v>-4.0011670015590255</c:v>
                </c:pt>
                <c:pt idx="3">
                  <c:v>-4.0164728637640934</c:v>
                </c:pt>
                <c:pt idx="4">
                  <c:v>-0.6530463506207127</c:v>
                </c:pt>
                <c:pt idx="5">
                  <c:v>-0.4509907644214195</c:v>
                </c:pt>
                <c:pt idx="6">
                  <c:v>-4.4044285629023818</c:v>
                </c:pt>
                <c:pt idx="7">
                  <c:v>0.50809639567525977</c:v>
                </c:pt>
                <c:pt idx="8">
                  <c:v>0.14550763112529808</c:v>
                </c:pt>
                <c:pt idx="9">
                  <c:v>5.9814698295060111</c:v>
                </c:pt>
                <c:pt idx="10">
                  <c:v>3.89027912130841</c:v>
                </c:pt>
                <c:pt idx="11">
                  <c:v>-3.6216489828455778</c:v>
                </c:pt>
                <c:pt idx="12">
                  <c:v>3.4702309559316049</c:v>
                </c:pt>
                <c:pt idx="13">
                  <c:v>0.12314229888878003</c:v>
                </c:pt>
                <c:pt idx="14">
                  <c:v>-0.62562583269099292</c:v>
                </c:pt>
                <c:pt idx="15">
                  <c:v>1.4432601407572108</c:v>
                </c:pt>
                <c:pt idx="16">
                  <c:v>-0.30723558052229549</c:v>
                </c:pt>
                <c:pt idx="17">
                  <c:v>-0.3979601954848988</c:v>
                </c:pt>
                <c:pt idx="18">
                  <c:v>3.8818154381144581</c:v>
                </c:pt>
                <c:pt idx="19">
                  <c:v>-0.88481018245320797</c:v>
                </c:pt>
                <c:pt idx="20">
                  <c:v>2.9778795945038752</c:v>
                </c:pt>
                <c:pt idx="21">
                  <c:v>-0.42481897666195323</c:v>
                </c:pt>
                <c:pt idx="22">
                  <c:v>-1.5595715648118116</c:v>
                </c:pt>
                <c:pt idx="23">
                  <c:v>-3.5533972202215196</c:v>
                </c:pt>
              </c:numCache>
            </c:numRef>
          </c:yVal>
        </c:ser>
        <c:axId val="68141440"/>
        <c:axId val="68142976"/>
      </c:scatterChart>
      <c:valAx>
        <c:axId val="68141440"/>
        <c:scaling>
          <c:orientation val="minMax"/>
          <c:max val="25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2976"/>
        <c:crosses val="autoZero"/>
        <c:crossBetween val="midCat"/>
      </c:valAx>
      <c:valAx>
        <c:axId val="68142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1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Observed and Predicted Values for X</a:t>
            </a:r>
          </a:p>
        </c:rich>
      </c:tx>
      <c:layout>
        <c:manualLayout>
          <c:xMode val="edge"/>
          <c:yMode val="edge"/>
          <c:x val="0.2325169590921701"/>
          <c:y val="3.72975995133828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88498398168078"/>
          <c:y val="0.24243439683698872"/>
          <c:w val="0.83631099802506348"/>
          <c:h val="0.41400335459854998"/>
        </c:manualLayout>
      </c:layout>
      <c:scatterChart>
        <c:scatterStyle val="lineMarker"/>
        <c:ser>
          <c:idx val="0"/>
          <c:order val="0"/>
          <c:tx>
            <c:v>Predicted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Sheet1!$B$139:$B$162</c:f>
              <c:numCache>
                <c:formatCode>0.000</c:formatCode>
                <c:ptCount val="24"/>
                <c:pt idx="0">
                  <c:v>46.473608262745316</c:v>
                </c:pt>
                <c:pt idx="1">
                  <c:v>52.446899064114845</c:v>
                </c:pt>
                <c:pt idx="2">
                  <c:v>69.401167001559031</c:v>
                </c:pt>
                <c:pt idx="3">
                  <c:v>73.516472863764093</c:v>
                </c:pt>
                <c:pt idx="4">
                  <c:v>71.553046350620718</c:v>
                </c:pt>
                <c:pt idx="5">
                  <c:v>67.150990764421422</c:v>
                </c:pt>
                <c:pt idx="6">
                  <c:v>60.904428562902382</c:v>
                </c:pt>
                <c:pt idx="7">
                  <c:v>61.99190360432474</c:v>
                </c:pt>
                <c:pt idx="8">
                  <c:v>70.954492368874696</c:v>
                </c:pt>
                <c:pt idx="9">
                  <c:v>74.618530170493983</c:v>
                </c:pt>
                <c:pt idx="10">
                  <c:v>74.009720878691596</c:v>
                </c:pt>
                <c:pt idx="11">
                  <c:v>65.021648982845576</c:v>
                </c:pt>
                <c:pt idx="12">
                  <c:v>63.429769044068401</c:v>
                </c:pt>
                <c:pt idx="13">
                  <c:v>64.576857701111223</c:v>
                </c:pt>
                <c:pt idx="14">
                  <c:v>61.325625832690996</c:v>
                </c:pt>
                <c:pt idx="15">
                  <c:v>54.456739859242788</c:v>
                </c:pt>
                <c:pt idx="16">
                  <c:v>53.507235580522298</c:v>
                </c:pt>
                <c:pt idx="17">
                  <c:v>62.597960195484902</c:v>
                </c:pt>
                <c:pt idx="18">
                  <c:v>65.418184561885539</c:v>
                </c:pt>
                <c:pt idx="19">
                  <c:v>58.584810182453211</c:v>
                </c:pt>
                <c:pt idx="20">
                  <c:v>59.822120405496122</c:v>
                </c:pt>
                <c:pt idx="21">
                  <c:v>63.124818976661956</c:v>
                </c:pt>
                <c:pt idx="22">
                  <c:v>63.359571564811809</c:v>
                </c:pt>
                <c:pt idx="23">
                  <c:v>64.453397220221518</c:v>
                </c:pt>
              </c:numCache>
            </c:numRef>
          </c:yVal>
        </c:ser>
        <c:ser>
          <c:idx val="1"/>
          <c:order val="1"/>
          <c:tx>
            <c:v>Observed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Sheet1!$A$139:$A$162</c:f>
              <c:numCache>
                <c:formatCode>0.000</c:formatCode>
                <c:ptCount val="24"/>
                <c:pt idx="0">
                  <c:v>47.3</c:v>
                </c:pt>
                <c:pt idx="1">
                  <c:v>54.1</c:v>
                </c:pt>
                <c:pt idx="2">
                  <c:v>65.400000000000006</c:v>
                </c:pt>
                <c:pt idx="3">
                  <c:v>69.5</c:v>
                </c:pt>
                <c:pt idx="4">
                  <c:v>70.900000000000006</c:v>
                </c:pt>
                <c:pt idx="5">
                  <c:v>66.7</c:v>
                </c:pt>
                <c:pt idx="6">
                  <c:v>56.5</c:v>
                </c:pt>
                <c:pt idx="7">
                  <c:v>62.5</c:v>
                </c:pt>
                <c:pt idx="8">
                  <c:v>71.099999999999994</c:v>
                </c:pt>
                <c:pt idx="9">
                  <c:v>80.599999999999994</c:v>
                </c:pt>
                <c:pt idx="10">
                  <c:v>77.900000000000006</c:v>
                </c:pt>
                <c:pt idx="11">
                  <c:v>61.4</c:v>
                </c:pt>
                <c:pt idx="12">
                  <c:v>66.900000000000006</c:v>
                </c:pt>
                <c:pt idx="13">
                  <c:v>64.7</c:v>
                </c:pt>
                <c:pt idx="14">
                  <c:v>60.7</c:v>
                </c:pt>
                <c:pt idx="15">
                  <c:v>55.9</c:v>
                </c:pt>
                <c:pt idx="16">
                  <c:v>53.2</c:v>
                </c:pt>
                <c:pt idx="17">
                  <c:v>62.2</c:v>
                </c:pt>
                <c:pt idx="18">
                  <c:v>69.3</c:v>
                </c:pt>
                <c:pt idx="19">
                  <c:v>57.7</c:v>
                </c:pt>
                <c:pt idx="20">
                  <c:v>62.8</c:v>
                </c:pt>
                <c:pt idx="21">
                  <c:v>62.7</c:v>
                </c:pt>
                <c:pt idx="22">
                  <c:v>61.8</c:v>
                </c:pt>
                <c:pt idx="23">
                  <c:v>60.9</c:v>
                </c:pt>
              </c:numCache>
            </c:numRef>
          </c:yVal>
        </c:ser>
        <c:ser>
          <c:idx val="2"/>
          <c:order val="2"/>
          <c:tx>
            <c:strRef>
              <c:f>Sheet1!$H$137:$H$138</c:f>
              <c:strCache>
                <c:ptCount val="1"/>
                <c:pt idx="0">
                  <c:v>Lower 95% Predict. Interval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Sheet1!$H$139:$H$162</c:f>
              <c:numCache>
                <c:formatCode>0.000</c:formatCode>
                <c:ptCount val="24"/>
                <c:pt idx="0">
                  <c:v>39.290002362508339</c:v>
                </c:pt>
                <c:pt idx="1">
                  <c:v>45.293389742233593</c:v>
                </c:pt>
                <c:pt idx="2">
                  <c:v>62.472745567107289</c:v>
                </c:pt>
                <c:pt idx="3">
                  <c:v>66.883033183827166</c:v>
                </c:pt>
                <c:pt idx="4">
                  <c:v>64.970836873809475</c:v>
                </c:pt>
                <c:pt idx="5">
                  <c:v>60.189916320867809</c:v>
                </c:pt>
                <c:pt idx="6">
                  <c:v>54.170846982784951</c:v>
                </c:pt>
                <c:pt idx="7">
                  <c:v>55.573138325806262</c:v>
                </c:pt>
                <c:pt idx="8">
                  <c:v>64.380991857402165</c:v>
                </c:pt>
                <c:pt idx="9">
                  <c:v>67.982702926762286</c:v>
                </c:pt>
                <c:pt idx="10">
                  <c:v>67.082387263791247</c:v>
                </c:pt>
                <c:pt idx="11">
                  <c:v>57.911598650002404</c:v>
                </c:pt>
                <c:pt idx="12">
                  <c:v>56.981203058132103</c:v>
                </c:pt>
                <c:pt idx="13">
                  <c:v>58.19619067762644</c:v>
                </c:pt>
                <c:pt idx="14">
                  <c:v>54.942786678558136</c:v>
                </c:pt>
                <c:pt idx="15">
                  <c:v>47.866093451155656</c:v>
                </c:pt>
                <c:pt idx="16">
                  <c:v>46.84493142443015</c:v>
                </c:pt>
                <c:pt idx="17">
                  <c:v>55.745511540572068</c:v>
                </c:pt>
                <c:pt idx="18">
                  <c:v>58.930512063013559</c:v>
                </c:pt>
                <c:pt idx="19">
                  <c:v>51.90646802406954</c:v>
                </c:pt>
                <c:pt idx="20">
                  <c:v>53.45648578449228</c:v>
                </c:pt>
                <c:pt idx="21">
                  <c:v>56.814035083647106</c:v>
                </c:pt>
                <c:pt idx="22">
                  <c:v>57.050521900033829</c:v>
                </c:pt>
                <c:pt idx="23">
                  <c:v>58.105607533444001</c:v>
                </c:pt>
              </c:numCache>
            </c:numRef>
          </c:yVal>
        </c:ser>
        <c:ser>
          <c:idx val="3"/>
          <c:order val="3"/>
          <c:tx>
            <c:strRef>
              <c:f>Sheet1!$I$137:$I$138</c:f>
              <c:strCache>
                <c:ptCount val="1"/>
                <c:pt idx="0">
                  <c:v>Upper 95% Predict. Interval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Sheet1!$I$139:$I$162</c:f>
              <c:numCache>
                <c:formatCode>0.000</c:formatCode>
                <c:ptCount val="24"/>
                <c:pt idx="0">
                  <c:v>53.657214162982292</c:v>
                </c:pt>
                <c:pt idx="1">
                  <c:v>59.600408385996097</c:v>
                </c:pt>
                <c:pt idx="2">
                  <c:v>76.329588436010766</c:v>
                </c:pt>
                <c:pt idx="3">
                  <c:v>80.149912543701021</c:v>
                </c:pt>
                <c:pt idx="4">
                  <c:v>78.135255827431962</c:v>
                </c:pt>
                <c:pt idx="5">
                  <c:v>74.112065207975036</c:v>
                </c:pt>
                <c:pt idx="6">
                  <c:v>67.638010143019812</c:v>
                </c:pt>
                <c:pt idx="7">
                  <c:v>68.410668882843211</c:v>
                </c:pt>
                <c:pt idx="8">
                  <c:v>77.527992880347227</c:v>
                </c:pt>
                <c:pt idx="9">
                  <c:v>81.25435741422568</c:v>
                </c:pt>
                <c:pt idx="10">
                  <c:v>80.937054493591944</c:v>
                </c:pt>
                <c:pt idx="11">
                  <c:v>72.131699315688749</c:v>
                </c:pt>
                <c:pt idx="12">
                  <c:v>69.878335030004706</c:v>
                </c:pt>
                <c:pt idx="13">
                  <c:v>70.957524724595999</c:v>
                </c:pt>
                <c:pt idx="14">
                  <c:v>67.708464986823856</c:v>
                </c:pt>
                <c:pt idx="15">
                  <c:v>61.047386267329919</c:v>
                </c:pt>
                <c:pt idx="16">
                  <c:v>60.169539736614446</c:v>
                </c:pt>
                <c:pt idx="17">
                  <c:v>69.450408850397736</c:v>
                </c:pt>
                <c:pt idx="18">
                  <c:v>71.905857060757512</c:v>
                </c:pt>
                <c:pt idx="19">
                  <c:v>65.263152340836882</c:v>
                </c:pt>
                <c:pt idx="20">
                  <c:v>66.187755026499957</c:v>
                </c:pt>
                <c:pt idx="21">
                  <c:v>69.435602869676813</c:v>
                </c:pt>
                <c:pt idx="22">
                  <c:v>69.668621229589789</c:v>
                </c:pt>
                <c:pt idx="23">
                  <c:v>70.801186906999035</c:v>
                </c:pt>
              </c:numCache>
            </c:numRef>
          </c:yVal>
        </c:ser>
        <c:ser>
          <c:idx val="4"/>
          <c:order val="4"/>
          <c:tx>
            <c:strRef>
              <c:f>Sheet1!$F$137:$F$138</c:f>
              <c:strCache>
                <c:ptCount val="1"/>
                <c:pt idx="0">
                  <c:v>Lower 95% Conf. Interval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Sheet1!$F$139:$F$162</c:f>
              <c:numCache>
                <c:formatCode>0.000</c:formatCode>
                <c:ptCount val="24"/>
                <c:pt idx="0">
                  <c:v>42.78446930210157</c:v>
                </c:pt>
                <c:pt idx="1">
                  <c:v>48.816713371996308</c:v>
                </c:pt>
                <c:pt idx="2">
                  <c:v>66.237533629249526</c:v>
                </c:pt>
                <c:pt idx="3">
                  <c:v>71.065335468924332</c:v>
                </c:pt>
                <c:pt idx="4">
                  <c:v>69.244143117991882</c:v>
                </c:pt>
                <c:pt idx="5">
                  <c:v>63.916472260885641</c:v>
                </c:pt>
                <c:pt idx="6">
                  <c:v>58.193953800592844</c:v>
                </c:pt>
                <c:pt idx="7">
                  <c:v>60.201344964755933</c:v>
                </c:pt>
                <c:pt idx="8">
                  <c:v>68.670534944720345</c:v>
                </c:pt>
                <c:pt idx="9">
                  <c:v>72.160938717531991</c:v>
                </c:pt>
                <c:pt idx="10">
                  <c:v>70.848470563840152</c:v>
                </c:pt>
                <c:pt idx="11">
                  <c:v>61.477870169688153</c:v>
                </c:pt>
                <c:pt idx="12">
                  <c:v>61.535156731220532</c:v>
                </c:pt>
                <c:pt idx="13">
                  <c:v>62.928081122673063</c:v>
                </c:pt>
                <c:pt idx="14">
                  <c:v>59.668463134416754</c:v>
                </c:pt>
                <c:pt idx="15">
                  <c:v>52.123893396774264</c:v>
                </c:pt>
                <c:pt idx="16">
                  <c:v>50.979024907080941</c:v>
                </c:pt>
                <c:pt idx="17">
                  <c:v>59.604366183392273</c:v>
                </c:pt>
                <c:pt idx="18">
                  <c:v>63.394463485837782</c:v>
                </c:pt>
                <c:pt idx="19">
                  <c:v>56.014633821682452</c:v>
                </c:pt>
                <c:pt idx="20">
                  <c:v>58.232511438126217</c:v>
                </c:pt>
                <c:pt idx="21">
                  <c:v>61.77147279576225</c:v>
                </c:pt>
                <c:pt idx="22">
                  <c:v>62.014335446632082</c:v>
                </c:pt>
                <c:pt idx="23">
                  <c:v>62.936826599188933</c:v>
                </c:pt>
              </c:numCache>
            </c:numRef>
          </c:yVal>
        </c:ser>
        <c:ser>
          <c:idx val="5"/>
          <c:order val="5"/>
          <c:tx>
            <c:strRef>
              <c:f>Sheet1!$G$137:$G$138</c:f>
              <c:strCache>
                <c:ptCount val="1"/>
                <c:pt idx="0">
                  <c:v>Upper 95% Conf. Interval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Ref>
              <c:f>Sheet1!$G$139:$G$162</c:f>
              <c:numCache>
                <c:formatCode>0.000</c:formatCode>
                <c:ptCount val="24"/>
                <c:pt idx="0">
                  <c:v>50.162747223389061</c:v>
                </c:pt>
                <c:pt idx="1">
                  <c:v>56.077084756233383</c:v>
                </c:pt>
                <c:pt idx="2">
                  <c:v>72.564800373868536</c:v>
                </c:pt>
                <c:pt idx="3">
                  <c:v>75.967610258603855</c:v>
                </c:pt>
                <c:pt idx="4">
                  <c:v>73.861949583249555</c:v>
                </c:pt>
                <c:pt idx="5">
                  <c:v>70.385509267957204</c:v>
                </c:pt>
                <c:pt idx="6">
                  <c:v>63.61490332521192</c:v>
                </c:pt>
                <c:pt idx="7">
                  <c:v>63.782462243893548</c:v>
                </c:pt>
                <c:pt idx="8">
                  <c:v>73.238449793029048</c:v>
                </c:pt>
                <c:pt idx="9">
                  <c:v>77.076121623455975</c:v>
                </c:pt>
                <c:pt idx="10">
                  <c:v>77.170971193543039</c:v>
                </c:pt>
                <c:pt idx="11">
                  <c:v>68.565427796002993</c:v>
                </c:pt>
                <c:pt idx="12">
                  <c:v>65.324381356916263</c:v>
                </c:pt>
                <c:pt idx="13">
                  <c:v>66.225634279549382</c:v>
                </c:pt>
                <c:pt idx="14">
                  <c:v>62.982788530965237</c:v>
                </c:pt>
                <c:pt idx="15">
                  <c:v>56.789586321711312</c:v>
                </c:pt>
                <c:pt idx="16">
                  <c:v>56.035446253963656</c:v>
                </c:pt>
                <c:pt idx="17">
                  <c:v>65.591554207577531</c:v>
                </c:pt>
                <c:pt idx="18">
                  <c:v>67.441905637933289</c:v>
                </c:pt>
                <c:pt idx="19">
                  <c:v>61.15498654322397</c:v>
                </c:pt>
                <c:pt idx="20">
                  <c:v>61.411729372866027</c:v>
                </c:pt>
                <c:pt idx="21">
                  <c:v>64.478165157561662</c:v>
                </c:pt>
                <c:pt idx="22">
                  <c:v>64.704807682991543</c:v>
                </c:pt>
                <c:pt idx="23">
                  <c:v>65.969967841254103</c:v>
                </c:pt>
              </c:numCache>
            </c:numRef>
          </c:yVal>
        </c:ser>
        <c:axId val="150115456"/>
        <c:axId val="150116992"/>
      </c:scatterChart>
      <c:valAx>
        <c:axId val="150115456"/>
        <c:scaling>
          <c:orientation val="minMax"/>
          <c:max val="24"/>
          <c:min val="1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150116992"/>
        <c:crosses val="autoZero"/>
        <c:crossBetween val="midCat"/>
      </c:valAx>
      <c:valAx>
        <c:axId val="150116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15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876449728846801"/>
          <c:y val="0.738492470364981"/>
          <c:w val="0.71255197141148907"/>
          <c:h val="0.2387046368856504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Residuals for X</a:t>
            </a:r>
          </a:p>
        </c:rich>
      </c:tx>
      <c:layout>
        <c:manualLayout>
          <c:xMode val="edge"/>
          <c:yMode val="edge"/>
          <c:x val="0.38627817397570197"/>
          <c:y val="3.71884919049659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13361631295739"/>
          <c:y val="0.24172519738227882"/>
          <c:w val="0.85506236569378691"/>
          <c:h val="0.66567400509889085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yVal>
            <c:numRef>
              <c:f>Sheet1!$C$139:$C$162</c:f>
              <c:numCache>
                <c:formatCode>0.000</c:formatCode>
                <c:ptCount val="24"/>
                <c:pt idx="0">
                  <c:v>0.8263917372546814</c:v>
                </c:pt>
                <c:pt idx="1">
                  <c:v>1.6531009358851563</c:v>
                </c:pt>
                <c:pt idx="2">
                  <c:v>-4.0011670015590255</c:v>
                </c:pt>
                <c:pt idx="3">
                  <c:v>-4.0164728637640934</c:v>
                </c:pt>
                <c:pt idx="4">
                  <c:v>-0.6530463506207127</c:v>
                </c:pt>
                <c:pt idx="5">
                  <c:v>-0.4509907644214195</c:v>
                </c:pt>
                <c:pt idx="6">
                  <c:v>-4.4044285629023818</c:v>
                </c:pt>
                <c:pt idx="7">
                  <c:v>0.50809639567525977</c:v>
                </c:pt>
                <c:pt idx="8">
                  <c:v>0.14550763112529808</c:v>
                </c:pt>
                <c:pt idx="9">
                  <c:v>5.9814698295060111</c:v>
                </c:pt>
                <c:pt idx="10">
                  <c:v>3.89027912130841</c:v>
                </c:pt>
                <c:pt idx="11">
                  <c:v>-3.6216489828455778</c:v>
                </c:pt>
                <c:pt idx="12">
                  <c:v>3.4702309559316049</c:v>
                </c:pt>
                <c:pt idx="13">
                  <c:v>0.12314229888878003</c:v>
                </c:pt>
                <c:pt idx="14">
                  <c:v>-0.62562583269099292</c:v>
                </c:pt>
                <c:pt idx="15">
                  <c:v>1.4432601407572108</c:v>
                </c:pt>
                <c:pt idx="16">
                  <c:v>-0.30723558052229549</c:v>
                </c:pt>
                <c:pt idx="17">
                  <c:v>-0.3979601954848988</c:v>
                </c:pt>
                <c:pt idx="18">
                  <c:v>3.8818154381144581</c:v>
                </c:pt>
                <c:pt idx="19">
                  <c:v>-0.88481018245320797</c:v>
                </c:pt>
                <c:pt idx="20">
                  <c:v>2.9778795945038752</c:v>
                </c:pt>
                <c:pt idx="21">
                  <c:v>-0.42481897666195323</c:v>
                </c:pt>
                <c:pt idx="22">
                  <c:v>-1.5595715648118116</c:v>
                </c:pt>
                <c:pt idx="23">
                  <c:v>-3.5533972202215196</c:v>
                </c:pt>
              </c:numCache>
            </c:numRef>
          </c:yVal>
        </c:ser>
        <c:axId val="150132992"/>
        <c:axId val="150147072"/>
      </c:scatterChart>
      <c:valAx>
        <c:axId val="150132992"/>
        <c:scaling>
          <c:orientation val="minMax"/>
          <c:max val="24"/>
          <c:min val="1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150147072"/>
        <c:crosses val="autoZero"/>
        <c:crossBetween val="midCat"/>
      </c:valAx>
      <c:valAx>
        <c:axId val="150147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32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Residuals about the Forecast</a:t>
            </a:r>
          </a:p>
        </c:rich>
      </c:tx>
      <c:layout>
        <c:manualLayout>
          <c:xMode val="edge"/>
          <c:yMode val="edge"/>
          <c:x val="0.27757499644942429"/>
          <c:y val="3.13649724036779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728988341855919E-2"/>
          <c:y val="0.19542790497676255"/>
          <c:w val="0.88144826000162935"/>
          <c:h val="0.67072787140172818"/>
        </c:manualLayout>
      </c:layout>
      <c:scatterChart>
        <c:scatterStyle val="lineMarker"/>
        <c:ser>
          <c:idx val="0"/>
          <c:order val="0"/>
          <c:tx>
            <c:strRef>
              <c:f>Sheet1!$C$168</c:f>
              <c:strCache>
                <c:ptCount val="1"/>
                <c:pt idx="0">
                  <c:v>Res Mean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Sheet1!$A$169:$A$193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Sheet1!$C$169:$C$193</c:f>
              <c:numCache>
                <c:formatCode>0.000</c:formatCode>
                <c:ptCount val="25"/>
                <c:pt idx="0">
                  <c:v>-15.116</c:v>
                </c:pt>
                <c:pt idx="1">
                  <c:v>-15.516000000000005</c:v>
                </c:pt>
                <c:pt idx="2">
                  <c:v>-8.7160000000000011</c:v>
                </c:pt>
                <c:pt idx="3">
                  <c:v>2.5840000000000032</c:v>
                </c:pt>
                <c:pt idx="4">
                  <c:v>6.6839999999999975</c:v>
                </c:pt>
                <c:pt idx="5">
                  <c:v>8.0840000000000032</c:v>
                </c:pt>
                <c:pt idx="6">
                  <c:v>3.8840000000000003</c:v>
                </c:pt>
                <c:pt idx="7">
                  <c:v>-6.3160000000000025</c:v>
                </c:pt>
                <c:pt idx="8">
                  <c:v>-0.3160000000000025</c:v>
                </c:pt>
                <c:pt idx="9">
                  <c:v>8.2839999999999918</c:v>
                </c:pt>
                <c:pt idx="10">
                  <c:v>17.783999999999992</c:v>
                </c:pt>
                <c:pt idx="11">
                  <c:v>15.084000000000003</c:v>
                </c:pt>
                <c:pt idx="12">
                  <c:v>-1.4160000000000039</c:v>
                </c:pt>
                <c:pt idx="13">
                  <c:v>4.0840000000000032</c:v>
                </c:pt>
                <c:pt idx="14">
                  <c:v>1.8840000000000003</c:v>
                </c:pt>
                <c:pt idx="15">
                  <c:v>-2.1159999999999997</c:v>
                </c:pt>
                <c:pt idx="16">
                  <c:v>-6.9160000000000039</c:v>
                </c:pt>
                <c:pt idx="17">
                  <c:v>-9.6159999999999997</c:v>
                </c:pt>
                <c:pt idx="18">
                  <c:v>-0.61599999999999966</c:v>
                </c:pt>
                <c:pt idx="19">
                  <c:v>6.4839999999999947</c:v>
                </c:pt>
                <c:pt idx="20">
                  <c:v>-5.1159999999999997</c:v>
                </c:pt>
                <c:pt idx="21">
                  <c:v>-1.6000000000005343E-2</c:v>
                </c:pt>
                <c:pt idx="22">
                  <c:v>-0.11599999999999966</c:v>
                </c:pt>
                <c:pt idx="23">
                  <c:v>-1.0160000000000053</c:v>
                </c:pt>
                <c:pt idx="24">
                  <c:v>-1.9160000000000039</c:v>
                </c:pt>
              </c:numCache>
            </c:numRef>
          </c:yVal>
        </c:ser>
        <c:ser>
          <c:idx val="1"/>
          <c:order val="1"/>
          <c:tx>
            <c:strRef>
              <c:f>Sheet1!$D$168</c:f>
              <c:strCache>
                <c:ptCount val="1"/>
                <c:pt idx="0">
                  <c:v>Res Trend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Sheet1!$A$169:$A$193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Sheet1!$D$169:$D$193</c:f>
              <c:numCache>
                <c:formatCode>0.000</c:formatCode>
                <c:ptCount val="25"/>
                <c:pt idx="0">
                  <c:v>-13.906769230769228</c:v>
                </c:pt>
                <c:pt idx="1">
                  <c:v>-14.407538461538465</c:v>
                </c:pt>
                <c:pt idx="2">
                  <c:v>-7.7083076923076916</c:v>
                </c:pt>
                <c:pt idx="3">
                  <c:v>3.4909230769230817</c:v>
                </c:pt>
                <c:pt idx="4">
                  <c:v>7.4901538461538451</c:v>
                </c:pt>
                <c:pt idx="5">
                  <c:v>8.7893846153846198</c:v>
                </c:pt>
                <c:pt idx="6">
                  <c:v>4.488615384615386</c:v>
                </c:pt>
                <c:pt idx="7">
                  <c:v>-5.8121538461538478</c:v>
                </c:pt>
                <c:pt idx="8">
                  <c:v>8.7076923076921275E-2</c:v>
                </c:pt>
                <c:pt idx="9">
                  <c:v>8.5863076923076846</c:v>
                </c:pt>
                <c:pt idx="10">
                  <c:v>17.985538461538454</c:v>
                </c:pt>
                <c:pt idx="11">
                  <c:v>15.184769230769234</c:v>
                </c:pt>
                <c:pt idx="12">
                  <c:v>-1.4160000000000039</c:v>
                </c:pt>
                <c:pt idx="13">
                  <c:v>3.9832307692307722</c:v>
                </c:pt>
                <c:pt idx="14">
                  <c:v>1.6824615384615385</c:v>
                </c:pt>
                <c:pt idx="15">
                  <c:v>-2.4183076923076854</c:v>
                </c:pt>
                <c:pt idx="16">
                  <c:v>-7.3190769230769206</c:v>
                </c:pt>
                <c:pt idx="17">
                  <c:v>-10.119846153846147</c:v>
                </c:pt>
                <c:pt idx="18">
                  <c:v>-1.2206153846153782</c:v>
                </c:pt>
                <c:pt idx="19">
                  <c:v>5.7786153846153852</c:v>
                </c:pt>
                <c:pt idx="20">
                  <c:v>-5.9221538461538401</c:v>
                </c:pt>
                <c:pt idx="21">
                  <c:v>-0.92292307692307674</c:v>
                </c:pt>
                <c:pt idx="22">
                  <c:v>-1.123692307692302</c:v>
                </c:pt>
                <c:pt idx="23">
                  <c:v>-2.1244615384615386</c:v>
                </c:pt>
                <c:pt idx="24">
                  <c:v>-3.1252307692307753</c:v>
                </c:pt>
              </c:numCache>
            </c:numRef>
          </c:yVal>
        </c:ser>
        <c:ser>
          <c:idx val="2"/>
          <c:order val="2"/>
          <c:tx>
            <c:strRef>
              <c:f>Sheet1!$E$168</c:f>
              <c:strCache>
                <c:ptCount val="1"/>
                <c:pt idx="0">
                  <c:v>Res Multiple Regression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Sheet1!$A$169:$A$193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Sheet1!$E$169:$E$193</c:f>
              <c:numCache>
                <c:formatCode>0.000</c:formatCode>
                <c:ptCount val="25"/>
                <c:pt idx="0">
                  <c:v>0.8263917372546814</c:v>
                </c:pt>
                <c:pt idx="1">
                  <c:v>1.6531009358851563</c:v>
                </c:pt>
                <c:pt idx="2">
                  <c:v>-4.0011670015590255</c:v>
                </c:pt>
                <c:pt idx="3">
                  <c:v>-4.0164728637640934</c:v>
                </c:pt>
                <c:pt idx="4">
                  <c:v>-0.6530463506207127</c:v>
                </c:pt>
                <c:pt idx="5">
                  <c:v>-0.4509907644214195</c:v>
                </c:pt>
                <c:pt idx="6">
                  <c:v>-4.4044285629023818</c:v>
                </c:pt>
                <c:pt idx="7">
                  <c:v>0.50809639567525977</c:v>
                </c:pt>
                <c:pt idx="8">
                  <c:v>0.14550763112529808</c:v>
                </c:pt>
                <c:pt idx="9">
                  <c:v>5.9814698295060111</c:v>
                </c:pt>
                <c:pt idx="10">
                  <c:v>3.89027912130841</c:v>
                </c:pt>
                <c:pt idx="11">
                  <c:v>-3.6216489828455778</c:v>
                </c:pt>
                <c:pt idx="12">
                  <c:v>3.4702309559316049</c:v>
                </c:pt>
                <c:pt idx="13">
                  <c:v>0.12314229888878003</c:v>
                </c:pt>
                <c:pt idx="14">
                  <c:v>-0.62562583269099292</c:v>
                </c:pt>
                <c:pt idx="15">
                  <c:v>1.4432601407572108</c:v>
                </c:pt>
                <c:pt idx="16">
                  <c:v>-0.30723558052229549</c:v>
                </c:pt>
                <c:pt idx="17">
                  <c:v>-0.3979601954848988</c:v>
                </c:pt>
                <c:pt idx="18">
                  <c:v>3.8818154381144581</c:v>
                </c:pt>
                <c:pt idx="19">
                  <c:v>-0.88481018245320797</c:v>
                </c:pt>
                <c:pt idx="20">
                  <c:v>2.9778795945038752</c:v>
                </c:pt>
                <c:pt idx="21">
                  <c:v>-0.42481897666195323</c:v>
                </c:pt>
                <c:pt idx="22">
                  <c:v>-1.5595715648118116</c:v>
                </c:pt>
                <c:pt idx="23">
                  <c:v>-3.5533972202215196</c:v>
                </c:pt>
                <c:pt idx="24">
                  <c:v>0</c:v>
                </c:pt>
              </c:numCache>
            </c:numRef>
          </c:yVal>
        </c:ser>
        <c:axId val="150192512"/>
        <c:axId val="150194048"/>
      </c:scatterChart>
      <c:valAx>
        <c:axId val="150192512"/>
        <c:scaling>
          <c:orientation val="minMax"/>
          <c:max val="25"/>
          <c:min val="1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94048"/>
        <c:crosses val="autoZero"/>
        <c:crossBetween val="midCat"/>
      </c:valAx>
      <c:valAx>
        <c:axId val="150194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92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22832184292542"/>
          <c:y val="0.92406034081605004"/>
          <c:w val="0.62897313025241885"/>
          <c:h val="6.03172546224575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Residuals About the Mean</a:t>
            </a:r>
          </a:p>
        </c:rich>
      </c:tx>
      <c:layout>
        <c:manualLayout>
          <c:xMode val="edge"/>
          <c:yMode val="edge"/>
          <c:x val="0.28989522237062548"/>
          <c:y val="3.5926736122684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87693102552254"/>
          <c:y val="0.23711645840971565"/>
          <c:w val="0.80963594247796111"/>
          <c:h val="0.585605798799752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Sheet2!$E$1:$E$25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Sheet2!$F$1:$F$25</c:f>
              <c:numCache>
                <c:formatCode>General</c:formatCode>
                <c:ptCount val="25"/>
                <c:pt idx="0">
                  <c:v>-15.116</c:v>
                </c:pt>
                <c:pt idx="1">
                  <c:v>-15.516000000000005</c:v>
                </c:pt>
                <c:pt idx="2">
                  <c:v>-8.7160000000000011</c:v>
                </c:pt>
                <c:pt idx="3">
                  <c:v>2.5840000000000032</c:v>
                </c:pt>
                <c:pt idx="4">
                  <c:v>6.6839999999999975</c:v>
                </c:pt>
                <c:pt idx="5">
                  <c:v>8.0840000000000032</c:v>
                </c:pt>
                <c:pt idx="6">
                  <c:v>3.8840000000000003</c:v>
                </c:pt>
                <c:pt idx="7">
                  <c:v>-6.3160000000000025</c:v>
                </c:pt>
                <c:pt idx="8">
                  <c:v>-0.3160000000000025</c:v>
                </c:pt>
                <c:pt idx="9">
                  <c:v>8.2839999999999918</c:v>
                </c:pt>
                <c:pt idx="10">
                  <c:v>17.783999999999992</c:v>
                </c:pt>
                <c:pt idx="11">
                  <c:v>15.084000000000003</c:v>
                </c:pt>
                <c:pt idx="12">
                  <c:v>-1.4160000000000039</c:v>
                </c:pt>
                <c:pt idx="13">
                  <c:v>4.0840000000000032</c:v>
                </c:pt>
                <c:pt idx="14">
                  <c:v>1.8840000000000003</c:v>
                </c:pt>
                <c:pt idx="15">
                  <c:v>-2.1159999999999997</c:v>
                </c:pt>
                <c:pt idx="16">
                  <c:v>-6.9160000000000039</c:v>
                </c:pt>
                <c:pt idx="17">
                  <c:v>-9.6159999999999997</c:v>
                </c:pt>
                <c:pt idx="18">
                  <c:v>-0.61599999999999966</c:v>
                </c:pt>
                <c:pt idx="19">
                  <c:v>6.4839999999999947</c:v>
                </c:pt>
                <c:pt idx="20">
                  <c:v>-5.1159999999999997</c:v>
                </c:pt>
                <c:pt idx="21">
                  <c:v>-1.6000000000005343E-2</c:v>
                </c:pt>
                <c:pt idx="22">
                  <c:v>-0.11599999999999966</c:v>
                </c:pt>
                <c:pt idx="23">
                  <c:v>-1.0160000000000053</c:v>
                </c:pt>
                <c:pt idx="24">
                  <c:v>-1.9160000000000039</c:v>
                </c:pt>
              </c:numCache>
            </c:numRef>
          </c:yVal>
        </c:ser>
        <c:axId val="150210048"/>
        <c:axId val="150216704"/>
      </c:scatterChart>
      <c:valAx>
        <c:axId val="150210048"/>
        <c:scaling>
          <c:orientation val="minMax"/>
          <c:max val="25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Years</a:t>
                </a:r>
              </a:p>
            </c:rich>
          </c:tx>
          <c:layout>
            <c:manualLayout>
              <c:xMode val="edge"/>
              <c:yMode val="edge"/>
              <c:x val="0.50731663914859459"/>
              <c:y val="0.86224166694442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16704"/>
        <c:crosses val="autoZero"/>
        <c:crossBetween val="midCat"/>
      </c:valAx>
      <c:valAx>
        <c:axId val="150216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M. Acres</a:t>
                </a:r>
              </a:p>
            </c:rich>
          </c:tx>
          <c:layout>
            <c:manualLayout>
              <c:xMode val="edge"/>
              <c:yMode val="edge"/>
              <c:x val="3.3130882556642913E-2"/>
              <c:y val="0.423935486247673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10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44</xdr:row>
      <xdr:rowOff>9525</xdr:rowOff>
    </xdr:from>
    <xdr:to>
      <xdr:col>14</xdr:col>
      <xdr:colOff>400050</xdr:colOff>
      <xdr:row>60</xdr:row>
      <xdr:rowOff>19050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142875</xdr:rowOff>
    </xdr:from>
    <xdr:to>
      <xdr:col>14</xdr:col>
      <xdr:colOff>419100</xdr:colOff>
      <xdr:row>38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152400</xdr:rowOff>
    </xdr:from>
    <xdr:to>
      <xdr:col>14</xdr:col>
      <xdr:colOff>409575</xdr:colOff>
      <xdr:row>22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60</xdr:row>
      <xdr:rowOff>47625</xdr:rowOff>
    </xdr:from>
    <xdr:to>
      <xdr:col>14</xdr:col>
      <xdr:colOff>371475</xdr:colOff>
      <xdr:row>78</xdr:row>
      <xdr:rowOff>9525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86</xdr:row>
      <xdr:rowOff>57150</xdr:rowOff>
    </xdr:from>
    <xdr:to>
      <xdr:col>18</xdr:col>
      <xdr:colOff>9525</xdr:colOff>
      <xdr:row>101</xdr:row>
      <xdr:rowOff>142875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304800</xdr:colOff>
      <xdr:row>101</xdr:row>
      <xdr:rowOff>142875</xdr:rowOff>
    </xdr:from>
    <xdr:to>
      <xdr:col>17</xdr:col>
      <xdr:colOff>590550</xdr:colOff>
      <xdr:row>117</xdr:row>
      <xdr:rowOff>66675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190500</xdr:colOff>
      <xdr:row>168</xdr:row>
      <xdr:rowOff>152400</xdr:rowOff>
    </xdr:from>
    <xdr:to>
      <xdr:col>16</xdr:col>
      <xdr:colOff>47625</xdr:colOff>
      <xdr:row>192</xdr:row>
      <xdr:rowOff>142875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9525</xdr:rowOff>
    </xdr:from>
    <xdr:to>
      <xdr:col>13</xdr:col>
      <xdr:colOff>485775</xdr:colOff>
      <xdr:row>19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123825</xdr:colOff>
      <xdr:row>27</xdr:row>
      <xdr:rowOff>28575</xdr:rowOff>
    </xdr:to>
    <xdr:pic>
      <xdr:nvPicPr>
        <xdr:cNvPr id="3073" name="Picture 1" descr="Reg Results Tabl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29425" cy="440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11</xdr:col>
      <xdr:colOff>95250</xdr:colOff>
      <xdr:row>60</xdr:row>
      <xdr:rowOff>142875</xdr:rowOff>
    </xdr:to>
    <xdr:pic>
      <xdr:nvPicPr>
        <xdr:cNvPr id="3074" name="Picture 2" descr="Reg Results Tabl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33900"/>
          <a:ext cx="6800850" cy="532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4"/>
  <sheetViews>
    <sheetView tabSelected="1" zoomScaleNormal="100" workbookViewId="0">
      <selection activeCell="A3" sqref="A3"/>
    </sheetView>
  </sheetViews>
  <sheetFormatPr defaultRowHeight="12.75"/>
  <cols>
    <col min="2" max="3" width="9.5703125" bestFit="1" customWidth="1"/>
    <col min="4" max="4" width="10" customWidth="1"/>
  </cols>
  <sheetData>
    <row r="1" spans="1:18">
      <c r="A1" s="26" t="str">
        <f ca="1">_xll.WBNAME()</f>
        <v>Multiple Regression to Reduce Risk Demo.xlsx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18">
      <c r="A2" s="12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>
      <c r="A3" s="19" t="s">
        <v>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18" ht="13.5" thickBot="1">
      <c r="A4" s="12" t="s">
        <v>36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1:18">
      <c r="A6" s="1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>
      <c r="A7" s="9" t="s">
        <v>12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8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8">
      <c r="A9" s="13" t="s">
        <v>16</v>
      </c>
      <c r="B9" s="4" t="s">
        <v>5</v>
      </c>
      <c r="C9" s="4" t="s">
        <v>6</v>
      </c>
      <c r="D9" s="5" t="s">
        <v>13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</row>
    <row r="10" spans="1:18">
      <c r="A10" s="12">
        <v>1</v>
      </c>
      <c r="B10" s="10">
        <v>47.7</v>
      </c>
      <c r="C10" s="14">
        <f t="shared" ref="C10:C34" si="0">$B$36</f>
        <v>62.816000000000003</v>
      </c>
      <c r="D10" s="14">
        <f t="shared" ref="D10:D34" si="1">B10-C10</f>
        <v>-15.116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18">
      <c r="A11" s="12">
        <v>2</v>
      </c>
      <c r="B11" s="10">
        <v>47.3</v>
      </c>
      <c r="C11" s="14">
        <f t="shared" si="0"/>
        <v>62.816000000000003</v>
      </c>
      <c r="D11" s="14">
        <f t="shared" si="1"/>
        <v>-15.516000000000005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</row>
    <row r="12" spans="1:18">
      <c r="A12" s="12">
        <v>3</v>
      </c>
      <c r="B12" s="10">
        <v>54.1</v>
      </c>
      <c r="C12" s="14">
        <f t="shared" si="0"/>
        <v>62.816000000000003</v>
      </c>
      <c r="D12" s="14">
        <f t="shared" si="1"/>
        <v>-8.7160000000000011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</row>
    <row r="13" spans="1:18">
      <c r="A13" s="12">
        <v>4</v>
      </c>
      <c r="B13" s="10">
        <v>65.400000000000006</v>
      </c>
      <c r="C13" s="14">
        <f t="shared" si="0"/>
        <v>62.816000000000003</v>
      </c>
      <c r="D13" s="14">
        <f t="shared" si="1"/>
        <v>2.5840000000000032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</row>
    <row r="14" spans="1:18">
      <c r="A14" s="12">
        <v>5</v>
      </c>
      <c r="B14" s="10">
        <v>69.5</v>
      </c>
      <c r="C14" s="14">
        <f t="shared" si="0"/>
        <v>62.816000000000003</v>
      </c>
      <c r="D14" s="14">
        <f t="shared" si="1"/>
        <v>6.6839999999999975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</row>
    <row r="15" spans="1:18">
      <c r="A15" s="12">
        <v>6</v>
      </c>
      <c r="B15" s="10">
        <v>70.900000000000006</v>
      </c>
      <c r="C15" s="14">
        <f t="shared" si="0"/>
        <v>62.816000000000003</v>
      </c>
      <c r="D15" s="14">
        <f t="shared" si="1"/>
        <v>8.0840000000000032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</row>
    <row r="16" spans="1:18">
      <c r="A16" s="12">
        <v>7</v>
      </c>
      <c r="B16" s="10">
        <v>66.7</v>
      </c>
      <c r="C16" s="14">
        <f t="shared" si="0"/>
        <v>62.816000000000003</v>
      </c>
      <c r="D16" s="14">
        <f t="shared" si="1"/>
        <v>3.8840000000000003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</row>
    <row r="17" spans="1:18">
      <c r="A17" s="12">
        <v>8</v>
      </c>
      <c r="B17" s="10">
        <v>56.5</v>
      </c>
      <c r="C17" s="14">
        <f t="shared" si="0"/>
        <v>62.816000000000003</v>
      </c>
      <c r="D17" s="14">
        <f t="shared" si="1"/>
        <v>-6.3160000000000025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</row>
    <row r="18" spans="1:18">
      <c r="A18" s="12">
        <v>9</v>
      </c>
      <c r="B18" s="10">
        <v>62.5</v>
      </c>
      <c r="C18" s="14">
        <f t="shared" si="0"/>
        <v>62.816000000000003</v>
      </c>
      <c r="D18" s="14">
        <f t="shared" si="1"/>
        <v>-0.3160000000000025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</row>
    <row r="19" spans="1:18">
      <c r="A19" s="12">
        <v>10</v>
      </c>
      <c r="B19" s="10">
        <v>71.099999999999994</v>
      </c>
      <c r="C19" s="14">
        <f t="shared" si="0"/>
        <v>62.816000000000003</v>
      </c>
      <c r="D19" s="14">
        <f t="shared" si="1"/>
        <v>8.2839999999999918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</row>
    <row r="20" spans="1:18">
      <c r="A20" s="12">
        <v>11</v>
      </c>
      <c r="B20" s="10">
        <v>80.599999999999994</v>
      </c>
      <c r="C20" s="14">
        <f t="shared" si="0"/>
        <v>62.816000000000003</v>
      </c>
      <c r="D20" s="14">
        <f t="shared" si="1"/>
        <v>17.783999999999992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1"/>
    </row>
    <row r="21" spans="1:18">
      <c r="A21" s="12">
        <v>12</v>
      </c>
      <c r="B21" s="10">
        <v>77.900000000000006</v>
      </c>
      <c r="C21" s="14">
        <f t="shared" si="0"/>
        <v>62.816000000000003</v>
      </c>
      <c r="D21" s="14">
        <f t="shared" si="1"/>
        <v>15.084000000000003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</row>
    <row r="22" spans="1:18">
      <c r="A22" s="12">
        <v>13</v>
      </c>
      <c r="B22" s="10">
        <v>61.4</v>
      </c>
      <c r="C22" s="14">
        <f t="shared" si="0"/>
        <v>62.816000000000003</v>
      </c>
      <c r="D22" s="14">
        <f t="shared" si="1"/>
        <v>-1.4160000000000039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</row>
    <row r="23" spans="1:18">
      <c r="A23" s="12">
        <v>14</v>
      </c>
      <c r="B23" s="10">
        <v>66.900000000000006</v>
      </c>
      <c r="C23" s="14">
        <f t="shared" si="0"/>
        <v>62.816000000000003</v>
      </c>
      <c r="D23" s="14">
        <f t="shared" si="1"/>
        <v>4.0840000000000032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</row>
    <row r="24" spans="1:18">
      <c r="A24" s="12">
        <v>15</v>
      </c>
      <c r="B24" s="10">
        <v>64.7</v>
      </c>
      <c r="C24" s="14">
        <f t="shared" si="0"/>
        <v>62.816000000000003</v>
      </c>
      <c r="D24" s="14">
        <f t="shared" si="1"/>
        <v>1.8840000000000003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</row>
    <row r="25" spans="1:18">
      <c r="A25" s="12">
        <v>16</v>
      </c>
      <c r="B25" s="10">
        <v>60.7</v>
      </c>
      <c r="C25" s="14">
        <f t="shared" si="0"/>
        <v>62.816000000000003</v>
      </c>
      <c r="D25" s="14">
        <f t="shared" si="1"/>
        <v>-2.1159999999999997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1:18">
      <c r="A26" s="12">
        <v>17</v>
      </c>
      <c r="B26" s="10">
        <v>55.9</v>
      </c>
      <c r="C26" s="14">
        <f t="shared" si="0"/>
        <v>62.816000000000003</v>
      </c>
      <c r="D26" s="14">
        <f t="shared" si="1"/>
        <v>-6.9160000000000039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</row>
    <row r="27" spans="1:18">
      <c r="A27" s="12">
        <v>18</v>
      </c>
      <c r="B27" s="10">
        <v>53.2</v>
      </c>
      <c r="C27" s="14">
        <f t="shared" si="0"/>
        <v>62.816000000000003</v>
      </c>
      <c r="D27" s="14">
        <f t="shared" si="1"/>
        <v>-9.6159999999999997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</row>
    <row r="28" spans="1:18">
      <c r="A28" s="12">
        <v>19</v>
      </c>
      <c r="B28" s="10">
        <v>62.2</v>
      </c>
      <c r="C28" s="14">
        <f t="shared" si="0"/>
        <v>62.816000000000003</v>
      </c>
      <c r="D28" s="14">
        <f t="shared" si="1"/>
        <v>-0.61599999999999966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</row>
    <row r="29" spans="1:18">
      <c r="A29" s="12">
        <v>20</v>
      </c>
      <c r="B29" s="10">
        <v>69.3</v>
      </c>
      <c r="C29" s="14">
        <f t="shared" si="0"/>
        <v>62.816000000000003</v>
      </c>
      <c r="D29" s="14">
        <f t="shared" si="1"/>
        <v>6.4839999999999947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</row>
    <row r="30" spans="1:18">
      <c r="A30" s="12">
        <v>21</v>
      </c>
      <c r="B30" s="10">
        <v>57.7</v>
      </c>
      <c r="C30" s="14">
        <f t="shared" si="0"/>
        <v>62.816000000000003</v>
      </c>
      <c r="D30" s="14">
        <f t="shared" si="1"/>
        <v>-5.1159999999999997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</row>
    <row r="31" spans="1:18">
      <c r="A31" s="12">
        <v>22</v>
      </c>
      <c r="B31" s="10">
        <v>62.8</v>
      </c>
      <c r="C31" s="14">
        <f t="shared" si="0"/>
        <v>62.816000000000003</v>
      </c>
      <c r="D31" s="14">
        <f t="shared" si="1"/>
        <v>-1.6000000000005343E-2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</row>
    <row r="32" spans="1:18">
      <c r="A32" s="12">
        <v>23</v>
      </c>
      <c r="B32" s="10">
        <v>62.7</v>
      </c>
      <c r="C32" s="14">
        <f t="shared" si="0"/>
        <v>62.816000000000003</v>
      </c>
      <c r="D32" s="14">
        <f t="shared" si="1"/>
        <v>-0.11599999999999966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</row>
    <row r="33" spans="1:18">
      <c r="A33" s="12">
        <v>24</v>
      </c>
      <c r="B33" s="10">
        <v>61.8</v>
      </c>
      <c r="C33" s="14">
        <f t="shared" si="0"/>
        <v>62.816000000000003</v>
      </c>
      <c r="D33" s="14">
        <f t="shared" si="1"/>
        <v>-1.0160000000000053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</row>
    <row r="34" spans="1:18">
      <c r="A34" s="12">
        <v>25</v>
      </c>
      <c r="B34" s="10">
        <v>60.9</v>
      </c>
      <c r="C34" s="14">
        <f t="shared" si="0"/>
        <v>62.816000000000003</v>
      </c>
      <c r="D34" s="14">
        <f t="shared" si="1"/>
        <v>-1.9160000000000039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</row>
    <row r="35" spans="1:18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</row>
    <row r="36" spans="1:18">
      <c r="A36" s="12" t="s">
        <v>4</v>
      </c>
      <c r="B36" s="14">
        <f>AVERAGE(B10:B34)</f>
        <v>62.816000000000003</v>
      </c>
      <c r="C36" s="14">
        <f>AVERAGE(C10:C34)</f>
        <v>62.816000000000024</v>
      </c>
      <c r="D36" s="14">
        <f>AVERAGE(D10:D34)</f>
        <v>-1.7053025658242404E-15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</row>
    <row r="37" spans="1:18">
      <c r="A37" s="12" t="s">
        <v>2</v>
      </c>
      <c r="B37" s="10"/>
      <c r="C37" s="10"/>
      <c r="D37" s="18">
        <f>STDEV(D10:D34)</f>
        <v>8.0873708129815984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/>
    </row>
    <row r="38" spans="1:18">
      <c r="A38" s="12" t="s">
        <v>17</v>
      </c>
      <c r="B38" s="10">
        <f>MIN(B10:B34)</f>
        <v>47.3</v>
      </c>
      <c r="C38" s="10"/>
      <c r="D38" s="14">
        <f>MIN(D10:D34)</f>
        <v>-15.516000000000005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</row>
    <row r="39" spans="1:18">
      <c r="A39" s="12" t="s">
        <v>18</v>
      </c>
      <c r="B39" s="10">
        <f>MAX(B10:B34)</f>
        <v>80.599999999999994</v>
      </c>
      <c r="C39" s="10"/>
      <c r="D39" s="14">
        <f>MAX(D10:D34)</f>
        <v>17.783999999999992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</row>
    <row r="40" spans="1:18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</row>
    <row r="41" spans="1:18">
      <c r="A41" s="10" t="s">
        <v>11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>
      <c r="A43" s="20" t="s">
        <v>14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</row>
    <row r="45" spans="1:18">
      <c r="A45" s="13" t="s">
        <v>16</v>
      </c>
      <c r="B45" s="4" t="s">
        <v>5</v>
      </c>
      <c r="C45" s="4" t="s">
        <v>7</v>
      </c>
      <c r="D45" s="2" t="s">
        <v>13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</row>
    <row r="46" spans="1:18">
      <c r="A46" s="12">
        <v>1</v>
      </c>
      <c r="B46" s="10">
        <v>47.7</v>
      </c>
      <c r="C46" s="14">
        <f t="shared" ref="C46:C70" si="2">$B$76+$B$77*A46</f>
        <v>61.606769230769231</v>
      </c>
      <c r="D46" s="14">
        <f t="shared" ref="D46:D70" si="3">B46-C46</f>
        <v>-13.906769230769228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</row>
    <row r="47" spans="1:18">
      <c r="A47" s="12">
        <v>2</v>
      </c>
      <c r="B47" s="10">
        <v>47.3</v>
      </c>
      <c r="C47" s="14">
        <f t="shared" si="2"/>
        <v>61.707538461538462</v>
      </c>
      <c r="D47" s="14">
        <f t="shared" si="3"/>
        <v>-14.407538461538465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</row>
    <row r="48" spans="1:18">
      <c r="A48" s="12">
        <v>3</v>
      </c>
      <c r="B48" s="10">
        <v>54.1</v>
      </c>
      <c r="C48" s="14">
        <f t="shared" si="2"/>
        <v>61.808307692307693</v>
      </c>
      <c r="D48" s="14">
        <f t="shared" si="3"/>
        <v>-7.7083076923076916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1"/>
    </row>
    <row r="49" spans="1:18">
      <c r="A49" s="12">
        <v>4</v>
      </c>
      <c r="B49" s="10">
        <v>65.400000000000006</v>
      </c>
      <c r="C49" s="14">
        <f t="shared" si="2"/>
        <v>61.909076923076924</v>
      </c>
      <c r="D49" s="14">
        <f t="shared" si="3"/>
        <v>3.4909230769230817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1"/>
    </row>
    <row r="50" spans="1:18">
      <c r="A50" s="12">
        <v>5</v>
      </c>
      <c r="B50" s="10">
        <v>69.5</v>
      </c>
      <c r="C50" s="14">
        <f t="shared" si="2"/>
        <v>62.009846153846155</v>
      </c>
      <c r="D50" s="14">
        <f t="shared" si="3"/>
        <v>7.4901538461538451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</row>
    <row r="51" spans="1:18">
      <c r="A51" s="12">
        <v>6</v>
      </c>
      <c r="B51" s="10">
        <v>70.900000000000006</v>
      </c>
      <c r="C51" s="14">
        <f t="shared" si="2"/>
        <v>62.110615384615386</v>
      </c>
      <c r="D51" s="14">
        <f t="shared" si="3"/>
        <v>8.7893846153846198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1"/>
    </row>
    <row r="52" spans="1:18">
      <c r="A52" s="12">
        <v>7</v>
      </c>
      <c r="B52" s="10">
        <v>66.7</v>
      </c>
      <c r="C52" s="14">
        <f t="shared" si="2"/>
        <v>62.211384615384617</v>
      </c>
      <c r="D52" s="14">
        <f t="shared" si="3"/>
        <v>4.488615384615386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1"/>
    </row>
    <row r="53" spans="1:18">
      <c r="A53" s="12">
        <v>8</v>
      </c>
      <c r="B53" s="10">
        <v>56.5</v>
      </c>
      <c r="C53" s="14">
        <f t="shared" si="2"/>
        <v>62.312153846153848</v>
      </c>
      <c r="D53" s="14">
        <f t="shared" si="3"/>
        <v>-5.8121538461538478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/>
    </row>
    <row r="54" spans="1:18">
      <c r="A54" s="12">
        <v>9</v>
      </c>
      <c r="B54" s="10">
        <v>62.5</v>
      </c>
      <c r="C54" s="14">
        <f t="shared" si="2"/>
        <v>62.412923076923079</v>
      </c>
      <c r="D54" s="14">
        <f t="shared" si="3"/>
        <v>8.7076923076921275E-2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/>
    </row>
    <row r="55" spans="1:18">
      <c r="A55" s="12">
        <v>10</v>
      </c>
      <c r="B55" s="10">
        <v>71.099999999999994</v>
      </c>
      <c r="C55" s="14">
        <f t="shared" si="2"/>
        <v>62.51369230769231</v>
      </c>
      <c r="D55" s="14">
        <f t="shared" si="3"/>
        <v>8.5863076923076846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/>
    </row>
    <row r="56" spans="1:18">
      <c r="A56" s="12">
        <v>11</v>
      </c>
      <c r="B56" s="10">
        <v>80.599999999999994</v>
      </c>
      <c r="C56" s="14">
        <f t="shared" si="2"/>
        <v>62.614461538461541</v>
      </c>
      <c r="D56" s="14">
        <f t="shared" si="3"/>
        <v>17.985538461538454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1"/>
    </row>
    <row r="57" spans="1:18">
      <c r="A57" s="12">
        <v>12</v>
      </c>
      <c r="B57" s="10">
        <v>77.900000000000006</v>
      </c>
      <c r="C57" s="14">
        <f t="shared" si="2"/>
        <v>62.715230769230772</v>
      </c>
      <c r="D57" s="14">
        <f t="shared" si="3"/>
        <v>15.184769230769234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/>
    </row>
    <row r="58" spans="1:18">
      <c r="A58" s="12">
        <v>13</v>
      </c>
      <c r="B58" s="10">
        <v>61.4</v>
      </c>
      <c r="C58" s="14">
        <f t="shared" si="2"/>
        <v>62.816000000000003</v>
      </c>
      <c r="D58" s="14">
        <f t="shared" si="3"/>
        <v>-1.4160000000000039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</row>
    <row r="59" spans="1:18">
      <c r="A59" s="12">
        <v>14</v>
      </c>
      <c r="B59" s="10">
        <v>66.900000000000006</v>
      </c>
      <c r="C59" s="14">
        <f t="shared" si="2"/>
        <v>62.916769230769233</v>
      </c>
      <c r="D59" s="14">
        <f t="shared" si="3"/>
        <v>3.9832307692307722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</row>
    <row r="60" spans="1:18">
      <c r="A60" s="12">
        <v>15</v>
      </c>
      <c r="B60" s="10">
        <v>64.7</v>
      </c>
      <c r="C60" s="14">
        <f t="shared" si="2"/>
        <v>63.017538461538464</v>
      </c>
      <c r="D60" s="14">
        <f t="shared" si="3"/>
        <v>1.6824615384615385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</row>
    <row r="61" spans="1:18">
      <c r="A61" s="12">
        <v>16</v>
      </c>
      <c r="B61" s="10">
        <v>60.7</v>
      </c>
      <c r="C61" s="14">
        <f t="shared" si="2"/>
        <v>63.118307692307688</v>
      </c>
      <c r="D61" s="14">
        <f t="shared" si="3"/>
        <v>-2.4183076923076854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</row>
    <row r="62" spans="1:18">
      <c r="A62" s="12">
        <v>17</v>
      </c>
      <c r="B62" s="10">
        <v>55.9</v>
      </c>
      <c r="C62" s="14">
        <f t="shared" si="2"/>
        <v>63.219076923076919</v>
      </c>
      <c r="D62" s="14">
        <f t="shared" si="3"/>
        <v>-7.3190769230769206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</row>
    <row r="63" spans="1:18">
      <c r="A63" s="12">
        <v>18</v>
      </c>
      <c r="B63" s="10">
        <v>53.2</v>
      </c>
      <c r="C63" s="14">
        <f t="shared" si="2"/>
        <v>63.31984615384615</v>
      </c>
      <c r="D63" s="14">
        <f t="shared" si="3"/>
        <v>-10.119846153846147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</row>
    <row r="64" spans="1:18">
      <c r="A64" s="12">
        <v>19</v>
      </c>
      <c r="B64" s="10">
        <v>62.2</v>
      </c>
      <c r="C64" s="14">
        <f t="shared" si="2"/>
        <v>63.420615384615381</v>
      </c>
      <c r="D64" s="14">
        <f t="shared" si="3"/>
        <v>-1.2206153846153782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/>
    </row>
    <row r="65" spans="1:18">
      <c r="A65" s="12">
        <v>20</v>
      </c>
      <c r="B65" s="10">
        <v>69.3</v>
      </c>
      <c r="C65" s="14">
        <f t="shared" si="2"/>
        <v>63.521384615384612</v>
      </c>
      <c r="D65" s="14">
        <f t="shared" si="3"/>
        <v>5.7786153846153852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</row>
    <row r="66" spans="1:18">
      <c r="A66" s="12">
        <v>21</v>
      </c>
      <c r="B66" s="10">
        <v>57.7</v>
      </c>
      <c r="C66" s="14">
        <f t="shared" si="2"/>
        <v>63.622153846153843</v>
      </c>
      <c r="D66" s="14">
        <f t="shared" si="3"/>
        <v>-5.9221538461538401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</row>
    <row r="67" spans="1:18">
      <c r="A67" s="12">
        <v>22</v>
      </c>
      <c r="B67" s="10">
        <v>62.8</v>
      </c>
      <c r="C67" s="14">
        <f t="shared" si="2"/>
        <v>63.722923076923074</v>
      </c>
      <c r="D67" s="14">
        <f t="shared" si="3"/>
        <v>-0.92292307692307674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1"/>
    </row>
    <row r="68" spans="1:18">
      <c r="A68" s="12">
        <v>23</v>
      </c>
      <c r="B68" s="10">
        <v>62.7</v>
      </c>
      <c r="C68" s="14">
        <f t="shared" si="2"/>
        <v>63.823692307692305</v>
      </c>
      <c r="D68" s="14">
        <f t="shared" si="3"/>
        <v>-1.123692307692302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1"/>
    </row>
    <row r="69" spans="1:18">
      <c r="A69" s="12">
        <v>24</v>
      </c>
      <c r="B69" s="10">
        <v>61.8</v>
      </c>
      <c r="C69" s="14">
        <f t="shared" si="2"/>
        <v>63.924461538461536</v>
      </c>
      <c r="D69" s="14">
        <f t="shared" si="3"/>
        <v>-2.1244615384615386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1"/>
    </row>
    <row r="70" spans="1:18">
      <c r="A70" s="12">
        <v>25</v>
      </c>
      <c r="B70" s="10">
        <v>60.9</v>
      </c>
      <c r="C70" s="14">
        <f t="shared" si="2"/>
        <v>64.025230769230774</v>
      </c>
      <c r="D70" s="14">
        <f t="shared" si="3"/>
        <v>-3.1252307692307753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</row>
    <row r="71" spans="1:18">
      <c r="A71" s="12" t="s">
        <v>4</v>
      </c>
      <c r="B71" s="10">
        <f>AVERAGE(B46:B70)</f>
        <v>62.816000000000003</v>
      </c>
      <c r="C71" s="14">
        <f>AVERAGE(C46:C70)</f>
        <v>62.816000000000003</v>
      </c>
      <c r="D71" s="14">
        <f>AVERAGE(D46:D70)</f>
        <v>8.5265128291212019E-16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/>
    </row>
    <row r="72" spans="1:18">
      <c r="A72" s="12" t="s">
        <v>2</v>
      </c>
      <c r="B72" s="14">
        <f>STDEV(B46:B70)</f>
        <v>8.0873708129815807</v>
      </c>
      <c r="C72" s="14">
        <f>STDEV(C46:C70)</f>
        <v>0.74164145736383102</v>
      </c>
      <c r="D72" s="14">
        <f>STDEV(D46:D70)</f>
        <v>8.0532934017943614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/>
    </row>
    <row r="73" spans="1:18">
      <c r="A73" s="12" t="s">
        <v>17</v>
      </c>
      <c r="B73" s="10">
        <f>MIN(B46:B70)</f>
        <v>47.3</v>
      </c>
      <c r="C73" s="14">
        <f>MIN(C46:C70)</f>
        <v>61.606769230769231</v>
      </c>
      <c r="D73" s="14">
        <f>MIN(D46:D70)</f>
        <v>-14.407538461538465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</row>
    <row r="74" spans="1:18">
      <c r="A74" s="12" t="s">
        <v>18</v>
      </c>
      <c r="B74" s="10">
        <f>MAX(B46:B70)</f>
        <v>80.599999999999994</v>
      </c>
      <c r="C74" s="14">
        <f>MAX(C46:C70)</f>
        <v>64.025230769230774</v>
      </c>
      <c r="D74" s="14">
        <f>MAX(D46:D70)</f>
        <v>17.985538461538454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</row>
    <row r="75" spans="1:18">
      <c r="A75" s="1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/>
    </row>
    <row r="76" spans="1:18">
      <c r="A76" s="9" t="s">
        <v>3</v>
      </c>
      <c r="B76" s="10">
        <f>INTERCEPT(Sheet1!B46:B70,Sheet1!$A$46:$A$70)</f>
        <v>61.506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1"/>
    </row>
    <row r="77" spans="1:18">
      <c r="A77" s="9" t="s">
        <v>8</v>
      </c>
      <c r="B77" s="10">
        <f>SLOPE(Sheet1!B46:B70,Sheet1!$A$46:$A$70)</f>
        <v>0.10076923076923071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1"/>
    </row>
    <row r="78" spans="1:18">
      <c r="A78" s="9" t="s">
        <v>20</v>
      </c>
      <c r="B78" s="10">
        <f>RSQ(Sheet1!B46:B70,Sheet1!$A$46:$A$70)</f>
        <v>8.4095602150385373E-3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1"/>
    </row>
    <row r="79" spans="1:18">
      <c r="A79" s="9" t="s">
        <v>21</v>
      </c>
      <c r="B79" s="10">
        <f>INDEX(LINEST(Sheet1!B46:B70,Sheet1!$A$46:$A$70,1,1),4,1)</f>
        <v>0.19506025591354689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</row>
    <row r="80" spans="1:18">
      <c r="A80" s="9" t="s">
        <v>22</v>
      </c>
      <c r="B80" s="10">
        <f>FDIST(ABS(Sheet1!B79),1,COUNT(Sheet1!B46:B70)-2)</f>
        <v>0.66286249415017351</v>
      </c>
      <c r="C80" s="10"/>
      <c r="D80" s="21"/>
      <c r="E80" s="21"/>
      <c r="F80" s="21"/>
      <c r="G80" s="2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1"/>
    </row>
    <row r="81" spans="1:28">
      <c r="A81" s="9" t="s">
        <v>23</v>
      </c>
      <c r="B81" s="10">
        <f>INDEX(LINEST(Sheet1!B46:B70,Sheet1!$A$46:$A$70,1,1),2,1)</f>
        <v>0.22816212263723526</v>
      </c>
      <c r="C81" s="10"/>
      <c r="D81" s="1"/>
      <c r="E81" s="1"/>
      <c r="F81" s="1"/>
      <c r="G81" s="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1"/>
    </row>
    <row r="82" spans="1:28">
      <c r="A82" s="9" t="s">
        <v>24</v>
      </c>
      <c r="B82" s="10">
        <f>Sheet1!B77/Sheet1!B81</f>
        <v>0.44165626443372474</v>
      </c>
      <c r="C82" s="10"/>
      <c r="D82" s="1"/>
      <c r="E82" s="1"/>
      <c r="F82" s="1"/>
      <c r="G82" s="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1"/>
    </row>
    <row r="83" spans="1:28">
      <c r="A83" s="9" t="s">
        <v>25</v>
      </c>
      <c r="B83" s="10">
        <f>TDIST(ABS(Sheet1!B82),COUNT(Sheet1!B46:B70)-1,2)</f>
        <v>0.66269177886627917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1"/>
    </row>
    <row r="84" spans="1:28">
      <c r="A84" s="12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1"/>
    </row>
    <row r="85" spans="1:28">
      <c r="A85" s="12" t="s">
        <v>11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1"/>
    </row>
    <row r="86" spans="1:28" ht="13.5" thickBot="1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</row>
    <row r="87" spans="1:28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8"/>
    </row>
    <row r="88" spans="1:28">
      <c r="A88" s="9" t="s">
        <v>15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1"/>
    </row>
    <row r="89" spans="1:28">
      <c r="A89" s="12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1"/>
      <c r="V89" s="10"/>
      <c r="W89" s="10"/>
      <c r="X89" s="10"/>
      <c r="Y89" s="10"/>
      <c r="Z89" s="10"/>
      <c r="AA89" s="10"/>
      <c r="AB89" s="10"/>
    </row>
    <row r="90" spans="1:28">
      <c r="A90" s="13" t="s">
        <v>0</v>
      </c>
      <c r="B90" s="4" t="s">
        <v>5</v>
      </c>
      <c r="C90" s="5" t="s">
        <v>1</v>
      </c>
      <c r="D90" s="5" t="s">
        <v>9</v>
      </c>
      <c r="E90" s="5" t="s">
        <v>10</v>
      </c>
      <c r="F90" s="3"/>
      <c r="G90" s="4" t="s">
        <v>7</v>
      </c>
      <c r="H90" s="2" t="s">
        <v>13</v>
      </c>
      <c r="I90" s="3"/>
      <c r="J90" s="10"/>
      <c r="K90" s="10"/>
      <c r="L90" s="10"/>
      <c r="M90" s="10"/>
      <c r="N90" s="10"/>
      <c r="O90" s="10"/>
      <c r="P90" s="10"/>
      <c r="Q90" s="10"/>
      <c r="R90" s="11"/>
      <c r="V90" s="10"/>
      <c r="W90" s="10"/>
      <c r="X90" s="10"/>
      <c r="Y90" s="10"/>
      <c r="Z90" s="10"/>
      <c r="AA90" s="10"/>
      <c r="AB90" s="10"/>
    </row>
    <row r="91" spans="1:28">
      <c r="A91" s="12">
        <v>72</v>
      </c>
      <c r="B91" s="10">
        <v>47.3</v>
      </c>
      <c r="C91" s="10">
        <v>1.34</v>
      </c>
      <c r="D91" s="10">
        <v>47.69</v>
      </c>
      <c r="E91" s="10">
        <v>20.27</v>
      </c>
      <c r="F91" s="10"/>
      <c r="G91" s="14">
        <f>B139</f>
        <v>46.473608262745316</v>
      </c>
      <c r="H91" s="14">
        <f>C139</f>
        <v>0.8263917372546814</v>
      </c>
      <c r="I91" s="10"/>
      <c r="J91" s="10"/>
      <c r="K91" s="10"/>
      <c r="L91" s="10"/>
      <c r="M91" s="10"/>
      <c r="N91" s="10"/>
      <c r="O91" s="10"/>
      <c r="P91" s="10"/>
      <c r="Q91" s="10"/>
      <c r="R91" s="11"/>
      <c r="V91" s="10"/>
      <c r="W91" s="10"/>
      <c r="X91" s="10"/>
      <c r="Y91" s="10"/>
      <c r="Z91" s="10"/>
      <c r="AA91" s="10"/>
      <c r="AB91" s="10"/>
    </row>
    <row r="92" spans="1:28">
      <c r="A92" s="12">
        <v>73</v>
      </c>
      <c r="B92" s="10">
        <v>54.1</v>
      </c>
      <c r="C92" s="10">
        <v>1.76</v>
      </c>
      <c r="D92" s="10">
        <v>47.3</v>
      </c>
      <c r="E92" s="10">
        <v>7.37</v>
      </c>
      <c r="F92" s="10"/>
      <c r="G92" s="14">
        <f t="shared" ref="G92:G114" si="4">B140</f>
        <v>52.446899064114845</v>
      </c>
      <c r="H92" s="14">
        <f t="shared" ref="H92:H114" si="5">C140</f>
        <v>1.6531009358851563</v>
      </c>
      <c r="I92" s="10"/>
      <c r="J92" s="10"/>
      <c r="K92" s="10"/>
      <c r="L92" s="10"/>
      <c r="M92" s="10"/>
      <c r="N92" s="10"/>
      <c r="O92" s="10"/>
      <c r="P92" s="10"/>
      <c r="Q92" s="10"/>
      <c r="R92" s="11"/>
      <c r="V92" s="10"/>
      <c r="W92" s="10"/>
      <c r="X92" s="10"/>
      <c r="Y92" s="10"/>
      <c r="Z92" s="45"/>
      <c r="AA92" s="45"/>
      <c r="AB92" s="10"/>
    </row>
    <row r="93" spans="1:28">
      <c r="A93" s="12">
        <v>74</v>
      </c>
      <c r="B93" s="10">
        <v>65.400000000000006</v>
      </c>
      <c r="C93" s="10">
        <v>3.95</v>
      </c>
      <c r="D93" s="10">
        <v>54.15</v>
      </c>
      <c r="E93" s="10">
        <v>0</v>
      </c>
      <c r="F93" s="10"/>
      <c r="G93" s="14">
        <f t="shared" si="4"/>
        <v>69.401167001559031</v>
      </c>
      <c r="H93" s="14">
        <f t="shared" si="5"/>
        <v>-4.0011670015590255</v>
      </c>
      <c r="I93" s="10"/>
      <c r="J93" s="10"/>
      <c r="K93" s="10"/>
      <c r="L93" s="10"/>
      <c r="M93" s="10"/>
      <c r="N93" s="10"/>
      <c r="O93" s="10"/>
      <c r="P93" s="10"/>
      <c r="Q93" s="10"/>
      <c r="R93" s="11"/>
      <c r="V93" s="10"/>
      <c r="W93" s="10"/>
      <c r="X93" s="10"/>
      <c r="Y93" s="10"/>
      <c r="Z93" s="1"/>
      <c r="AA93" s="1"/>
      <c r="AB93" s="10"/>
    </row>
    <row r="94" spans="1:28">
      <c r="A94" s="12">
        <v>75</v>
      </c>
      <c r="B94" s="10">
        <v>69.5</v>
      </c>
      <c r="C94" s="10">
        <v>4.09</v>
      </c>
      <c r="D94" s="10">
        <v>65.37</v>
      </c>
      <c r="E94" s="10">
        <v>0</v>
      </c>
      <c r="F94" s="10"/>
      <c r="G94" s="14">
        <f t="shared" si="4"/>
        <v>73.516472863764093</v>
      </c>
      <c r="H94" s="14">
        <f t="shared" si="5"/>
        <v>-4.0164728637640934</v>
      </c>
      <c r="I94" s="10"/>
      <c r="J94" s="10"/>
      <c r="K94" s="10"/>
      <c r="L94" s="10"/>
      <c r="M94" s="10"/>
      <c r="N94" s="10"/>
      <c r="O94" s="10"/>
      <c r="P94" s="10"/>
      <c r="Q94" s="10"/>
      <c r="R94" s="11"/>
      <c r="V94" s="10"/>
      <c r="W94" s="10"/>
      <c r="X94" s="10"/>
      <c r="Y94" s="10"/>
      <c r="Z94" s="1"/>
      <c r="AA94" s="1"/>
      <c r="AB94" s="10"/>
    </row>
    <row r="95" spans="1:28">
      <c r="A95" s="12">
        <v>76</v>
      </c>
      <c r="B95" s="10">
        <v>70.900000000000006</v>
      </c>
      <c r="C95" s="10">
        <v>3.55</v>
      </c>
      <c r="D95" s="10">
        <v>69.5</v>
      </c>
      <c r="E95" s="10">
        <v>0</v>
      </c>
      <c r="F95" s="10"/>
      <c r="G95" s="14">
        <f t="shared" si="4"/>
        <v>71.553046350620718</v>
      </c>
      <c r="H95" s="14">
        <f t="shared" si="5"/>
        <v>-0.6530463506207127</v>
      </c>
      <c r="I95" s="10"/>
      <c r="J95" s="10"/>
      <c r="K95" s="10"/>
      <c r="L95" s="10"/>
      <c r="M95" s="10"/>
      <c r="N95" s="10"/>
      <c r="O95" s="10"/>
      <c r="P95" s="10"/>
      <c r="Q95" s="10"/>
      <c r="R95" s="11"/>
      <c r="V95" s="10"/>
      <c r="W95" s="10"/>
      <c r="X95" s="10"/>
      <c r="Y95" s="10"/>
      <c r="Z95" s="1"/>
      <c r="AA95" s="1"/>
      <c r="AB95" s="10"/>
    </row>
    <row r="96" spans="1:28">
      <c r="A96" s="12">
        <v>77</v>
      </c>
      <c r="B96" s="10">
        <v>66.7</v>
      </c>
      <c r="C96" s="10">
        <v>2.73</v>
      </c>
      <c r="D96" s="10">
        <v>70.930000000000007</v>
      </c>
      <c r="E96" s="10">
        <v>0</v>
      </c>
      <c r="F96" s="10"/>
      <c r="G96" s="14">
        <f t="shared" si="4"/>
        <v>67.150990764421422</v>
      </c>
      <c r="H96" s="14">
        <f t="shared" si="5"/>
        <v>-0.4509907644214195</v>
      </c>
      <c r="I96" s="10"/>
      <c r="J96" s="10"/>
      <c r="K96" s="10"/>
      <c r="L96" s="10"/>
      <c r="M96" s="10"/>
      <c r="N96" s="10"/>
      <c r="O96" s="10"/>
      <c r="P96" s="10"/>
      <c r="Q96" s="10"/>
      <c r="R96" s="11"/>
      <c r="V96" s="10"/>
      <c r="W96" s="10"/>
      <c r="X96" s="10"/>
      <c r="Y96" s="10"/>
      <c r="Z96" s="1"/>
      <c r="AA96" s="1"/>
      <c r="AB96" s="10"/>
    </row>
    <row r="97" spans="1:28">
      <c r="A97" s="12">
        <v>78</v>
      </c>
      <c r="B97" s="10">
        <v>56.5</v>
      </c>
      <c r="C97" s="10">
        <v>2.33</v>
      </c>
      <c r="D97" s="10">
        <v>66.69</v>
      </c>
      <c r="E97" s="10">
        <v>9.4499999999999993</v>
      </c>
      <c r="F97" s="10"/>
      <c r="G97" s="14">
        <f t="shared" si="4"/>
        <v>60.904428562902382</v>
      </c>
      <c r="H97" s="14">
        <f t="shared" si="5"/>
        <v>-4.4044285629023818</v>
      </c>
      <c r="I97" s="10"/>
      <c r="J97" s="10"/>
      <c r="K97" s="10"/>
      <c r="L97" s="10"/>
      <c r="M97" s="10"/>
      <c r="N97" s="10"/>
      <c r="O97" s="10"/>
      <c r="P97" s="10"/>
      <c r="Q97" s="10"/>
      <c r="R97" s="11"/>
      <c r="V97" s="10"/>
      <c r="W97" s="10"/>
      <c r="X97" s="10"/>
      <c r="Y97" s="10"/>
      <c r="Z97" s="10"/>
      <c r="AA97" s="10"/>
      <c r="AB97" s="10"/>
    </row>
    <row r="98" spans="1:28">
      <c r="A98" s="12">
        <v>79</v>
      </c>
      <c r="B98" s="10">
        <v>62.5</v>
      </c>
      <c r="C98" s="10">
        <v>2.97</v>
      </c>
      <c r="D98" s="10">
        <v>56.5</v>
      </c>
      <c r="E98" s="10">
        <v>8.33</v>
      </c>
      <c r="F98" s="10"/>
      <c r="G98" s="14">
        <f t="shared" si="4"/>
        <v>61.99190360432474</v>
      </c>
      <c r="H98" s="14">
        <f t="shared" si="5"/>
        <v>0.50809639567525977</v>
      </c>
      <c r="I98" s="10"/>
      <c r="J98" s="10"/>
      <c r="K98" s="10"/>
      <c r="L98" s="10"/>
      <c r="M98" s="10"/>
      <c r="N98" s="10"/>
      <c r="O98" s="10"/>
      <c r="P98" s="10"/>
      <c r="Q98" s="10"/>
      <c r="R98" s="11"/>
      <c r="V98" s="10"/>
      <c r="W98" s="10"/>
      <c r="X98" s="10"/>
      <c r="Y98" s="10"/>
      <c r="Z98" s="10"/>
      <c r="AA98" s="10"/>
      <c r="AB98" s="10"/>
    </row>
    <row r="99" spans="1:28">
      <c r="A99" s="12">
        <v>80</v>
      </c>
      <c r="B99" s="10">
        <v>71.099999999999994</v>
      </c>
      <c r="C99" s="10">
        <v>3.8</v>
      </c>
      <c r="D99" s="10">
        <v>62.45</v>
      </c>
      <c r="E99" s="10">
        <v>0</v>
      </c>
      <c r="F99" s="10"/>
      <c r="G99" s="14">
        <f t="shared" si="4"/>
        <v>70.954492368874696</v>
      </c>
      <c r="H99" s="14">
        <f t="shared" si="5"/>
        <v>0.14550763112529808</v>
      </c>
      <c r="I99" s="10"/>
      <c r="J99" s="10"/>
      <c r="K99" s="10"/>
      <c r="L99" s="10"/>
      <c r="M99" s="10"/>
      <c r="N99" s="10"/>
      <c r="O99" s="10"/>
      <c r="P99" s="10"/>
      <c r="Q99" s="10"/>
      <c r="R99" s="11"/>
      <c r="V99" s="10"/>
      <c r="W99" s="10"/>
      <c r="X99" s="10"/>
      <c r="Y99" s="10"/>
      <c r="Z99" s="10"/>
      <c r="AA99" s="10"/>
      <c r="AB99" s="10"/>
    </row>
    <row r="100" spans="1:28">
      <c r="A100" s="12">
        <v>81</v>
      </c>
      <c r="B100" s="10">
        <v>80.599999999999994</v>
      </c>
      <c r="C100" s="10">
        <v>3.99</v>
      </c>
      <c r="D100" s="10">
        <v>71.13</v>
      </c>
      <c r="E100" s="10">
        <v>0</v>
      </c>
      <c r="F100" s="10"/>
      <c r="G100" s="14">
        <f t="shared" si="4"/>
        <v>74.618530170493983</v>
      </c>
      <c r="H100" s="14">
        <f t="shared" si="5"/>
        <v>5.9814698295060111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1"/>
      <c r="V100" s="10"/>
      <c r="W100" s="10"/>
      <c r="X100" s="10"/>
      <c r="Y100" s="10"/>
      <c r="Z100" s="10"/>
      <c r="AA100" s="10"/>
      <c r="AB100" s="10"/>
    </row>
    <row r="101" spans="1:28">
      <c r="A101" s="12">
        <v>82</v>
      </c>
      <c r="B101" s="10">
        <v>77.900000000000006</v>
      </c>
      <c r="C101" s="10">
        <v>3.69</v>
      </c>
      <c r="D101" s="10">
        <v>80.64</v>
      </c>
      <c r="E101" s="10">
        <v>5.83</v>
      </c>
      <c r="F101" s="10"/>
      <c r="G101" s="14">
        <f t="shared" si="4"/>
        <v>74.009720878691596</v>
      </c>
      <c r="H101" s="14">
        <f t="shared" si="5"/>
        <v>3.89027912130841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V101" s="10"/>
      <c r="W101" s="10"/>
      <c r="X101" s="10"/>
      <c r="Y101" s="10"/>
      <c r="Z101" s="10"/>
      <c r="AA101" s="10"/>
      <c r="AB101" s="10"/>
    </row>
    <row r="102" spans="1:28">
      <c r="A102" s="12">
        <v>83</v>
      </c>
      <c r="B102" s="10">
        <v>61.4</v>
      </c>
      <c r="C102" s="10">
        <v>3.45</v>
      </c>
      <c r="D102" s="10">
        <v>77.94</v>
      </c>
      <c r="E102" s="10">
        <v>30.02</v>
      </c>
      <c r="F102" s="10"/>
      <c r="G102" s="14">
        <f t="shared" si="4"/>
        <v>65.021648982845576</v>
      </c>
      <c r="H102" s="14">
        <f t="shared" si="5"/>
        <v>-3.6216489828455778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V102" s="10"/>
      <c r="W102" s="10"/>
      <c r="X102" s="10"/>
      <c r="Y102" s="10"/>
      <c r="Z102" s="10"/>
      <c r="AA102" s="10"/>
      <c r="AB102" s="10"/>
    </row>
    <row r="103" spans="1:28">
      <c r="A103" s="12">
        <v>84</v>
      </c>
      <c r="B103" s="10">
        <v>66.900000000000006</v>
      </c>
      <c r="C103" s="10">
        <v>3.51</v>
      </c>
      <c r="D103" s="10">
        <v>61.39</v>
      </c>
      <c r="E103" s="10">
        <v>19.64</v>
      </c>
      <c r="F103" s="10"/>
      <c r="G103" s="14">
        <f t="shared" si="4"/>
        <v>63.429769044068401</v>
      </c>
      <c r="H103" s="14">
        <f t="shared" si="5"/>
        <v>3.4702309559316049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1"/>
      <c r="V103" s="10"/>
      <c r="W103" s="10"/>
      <c r="X103" s="10"/>
      <c r="Y103" s="10"/>
      <c r="Z103" s="10"/>
      <c r="AA103" s="10"/>
      <c r="AB103" s="10"/>
    </row>
    <row r="104" spans="1:28">
      <c r="A104" s="12">
        <v>85</v>
      </c>
      <c r="B104" s="10">
        <v>64.7</v>
      </c>
      <c r="C104" s="10">
        <v>3.39</v>
      </c>
      <c r="D104" s="10">
        <v>66.930000000000007</v>
      </c>
      <c r="E104" s="10">
        <v>18.829999999999998</v>
      </c>
      <c r="F104" s="10"/>
      <c r="G104" s="14">
        <f t="shared" si="4"/>
        <v>64.576857701111223</v>
      </c>
      <c r="H104" s="14">
        <f t="shared" si="5"/>
        <v>0.12314229888878003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1"/>
      <c r="V104" s="10"/>
      <c r="W104" s="10"/>
      <c r="X104" s="10"/>
      <c r="Y104" s="10"/>
      <c r="Z104" s="10"/>
      <c r="AA104" s="10"/>
      <c r="AB104" s="10"/>
    </row>
    <row r="105" spans="1:28">
      <c r="A105" s="12">
        <v>86</v>
      </c>
      <c r="B105" s="10">
        <v>60.7</v>
      </c>
      <c r="C105" s="10">
        <v>3.08</v>
      </c>
      <c r="D105" s="10">
        <v>64.7</v>
      </c>
      <c r="E105" s="10">
        <v>21.59</v>
      </c>
      <c r="F105" s="10"/>
      <c r="G105" s="14">
        <f t="shared" si="4"/>
        <v>61.325625832690996</v>
      </c>
      <c r="H105" s="14">
        <f t="shared" si="5"/>
        <v>-0.62562583269099292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1"/>
      <c r="V105" s="10"/>
      <c r="W105" s="10"/>
      <c r="X105" s="10"/>
      <c r="Y105" s="10"/>
      <c r="Z105" s="10"/>
      <c r="AA105" s="10"/>
      <c r="AB105" s="10"/>
    </row>
    <row r="106" spans="1:28">
      <c r="A106" s="12">
        <v>87</v>
      </c>
      <c r="B106" s="10">
        <v>55.9</v>
      </c>
      <c r="C106" s="10">
        <v>2.42</v>
      </c>
      <c r="D106" s="10">
        <v>60.72</v>
      </c>
      <c r="E106" s="10">
        <v>28.08</v>
      </c>
      <c r="F106" s="10"/>
      <c r="G106" s="14">
        <f t="shared" si="4"/>
        <v>54.456739859242788</v>
      </c>
      <c r="H106" s="14">
        <f t="shared" si="5"/>
        <v>1.4432601407572108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1"/>
      <c r="V106" s="10"/>
      <c r="W106" s="10"/>
      <c r="X106" s="10"/>
      <c r="Y106" s="10"/>
      <c r="Z106" s="10"/>
      <c r="AA106" s="10"/>
      <c r="AB106" s="10"/>
    </row>
    <row r="107" spans="1:28">
      <c r="A107" s="12">
        <v>88</v>
      </c>
      <c r="B107" s="10">
        <v>53.2</v>
      </c>
      <c r="C107" s="10">
        <v>2.57</v>
      </c>
      <c r="D107" s="10">
        <v>55.95</v>
      </c>
      <c r="E107" s="10">
        <v>29.62</v>
      </c>
      <c r="F107" s="10"/>
      <c r="G107" s="14">
        <f t="shared" si="4"/>
        <v>53.507235580522298</v>
      </c>
      <c r="H107" s="14">
        <f t="shared" si="5"/>
        <v>-0.30723558052229549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1"/>
      <c r="V107" s="10"/>
      <c r="W107" s="10"/>
      <c r="X107" s="10"/>
      <c r="Y107" s="10"/>
      <c r="Z107" s="10"/>
      <c r="AA107" s="10"/>
      <c r="AB107" s="10"/>
    </row>
    <row r="108" spans="1:28">
      <c r="A108" s="12">
        <v>89</v>
      </c>
      <c r="B108" s="10">
        <v>62.2</v>
      </c>
      <c r="C108" s="10">
        <v>3.72</v>
      </c>
      <c r="D108" s="10">
        <v>53.19</v>
      </c>
      <c r="E108" s="10">
        <v>18.43</v>
      </c>
      <c r="F108" s="10"/>
      <c r="G108" s="14">
        <f t="shared" si="4"/>
        <v>62.597960195484902</v>
      </c>
      <c r="H108" s="14">
        <f t="shared" si="5"/>
        <v>-0.3979601954848988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1"/>
      <c r="V108" s="10"/>
      <c r="W108" s="10"/>
      <c r="X108" s="10"/>
      <c r="Y108" s="10"/>
      <c r="Z108" s="10"/>
      <c r="AA108" s="10"/>
      <c r="AB108" s="10"/>
    </row>
    <row r="109" spans="1:28">
      <c r="A109" s="12">
        <v>90</v>
      </c>
      <c r="B109" s="10">
        <v>69.3</v>
      </c>
      <c r="C109" s="10">
        <v>3.72</v>
      </c>
      <c r="D109" s="10">
        <v>62.19</v>
      </c>
      <c r="E109" s="10">
        <v>17.79</v>
      </c>
      <c r="F109" s="10"/>
      <c r="G109" s="14">
        <f t="shared" si="4"/>
        <v>65.418184561885539</v>
      </c>
      <c r="H109" s="14">
        <f t="shared" si="5"/>
        <v>3.8818154381144581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1"/>
      <c r="V109" s="10"/>
      <c r="W109" s="10"/>
      <c r="X109" s="10"/>
      <c r="Y109" s="10"/>
      <c r="Z109" s="10"/>
      <c r="AA109" s="10"/>
      <c r="AB109" s="10"/>
    </row>
    <row r="110" spans="1:28">
      <c r="A110" s="12">
        <v>91</v>
      </c>
      <c r="B110" s="10">
        <v>57.7</v>
      </c>
      <c r="C110" s="10">
        <v>2.61</v>
      </c>
      <c r="D110" s="10">
        <v>69.28</v>
      </c>
      <c r="E110" s="10">
        <v>26.3</v>
      </c>
      <c r="F110" s="10"/>
      <c r="G110" s="14">
        <f t="shared" si="4"/>
        <v>58.584810182453211</v>
      </c>
      <c r="H110" s="14">
        <f t="shared" si="5"/>
        <v>-0.88481018245320797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1"/>
      <c r="V110" s="10"/>
      <c r="W110" s="10"/>
      <c r="X110" s="10"/>
      <c r="Y110" s="10"/>
      <c r="Z110" s="10"/>
      <c r="AA110" s="10"/>
      <c r="AB110" s="10"/>
    </row>
    <row r="111" spans="1:28">
      <c r="A111" s="12">
        <v>92</v>
      </c>
      <c r="B111" s="10">
        <v>62.8</v>
      </c>
      <c r="C111" s="10">
        <v>3</v>
      </c>
      <c r="D111" s="10">
        <v>57.69</v>
      </c>
      <c r="E111" s="10">
        <v>17.940000000000001</v>
      </c>
      <c r="F111" s="10"/>
      <c r="G111" s="14">
        <f t="shared" si="4"/>
        <v>59.822120405496122</v>
      </c>
      <c r="H111" s="14">
        <f t="shared" si="5"/>
        <v>2.9778795945038752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1"/>
      <c r="V111" s="10"/>
      <c r="W111" s="10"/>
      <c r="X111" s="10"/>
      <c r="Y111" s="10"/>
      <c r="Z111" s="10"/>
      <c r="AA111" s="10"/>
      <c r="AB111" s="10"/>
    </row>
    <row r="112" spans="1:28">
      <c r="A112" s="12">
        <v>93</v>
      </c>
      <c r="B112" s="10">
        <v>62.7</v>
      </c>
      <c r="C112" s="10">
        <v>3.24</v>
      </c>
      <c r="D112" s="10">
        <v>62.76</v>
      </c>
      <c r="E112" s="10">
        <v>16.5</v>
      </c>
      <c r="F112" s="10"/>
      <c r="G112" s="14">
        <f t="shared" si="4"/>
        <v>63.124818976661956</v>
      </c>
      <c r="H112" s="14">
        <f t="shared" si="5"/>
        <v>-0.42481897666195323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1"/>
      <c r="V112" s="10"/>
      <c r="W112" s="10"/>
      <c r="X112" s="10"/>
      <c r="Y112" s="10"/>
      <c r="Z112" s="10"/>
      <c r="AA112" s="10"/>
      <c r="AB112" s="10"/>
    </row>
    <row r="113" spans="1:28">
      <c r="A113" s="12">
        <v>94</v>
      </c>
      <c r="B113" s="10">
        <v>61.8</v>
      </c>
      <c r="C113" s="10">
        <v>3.26</v>
      </c>
      <c r="D113" s="10">
        <v>62.71</v>
      </c>
      <c r="E113" s="10">
        <v>16.03</v>
      </c>
      <c r="F113" s="10"/>
      <c r="G113" s="14">
        <f t="shared" si="4"/>
        <v>63.359571564811809</v>
      </c>
      <c r="H113" s="14">
        <f t="shared" si="5"/>
        <v>-1.5595715648118116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1"/>
      <c r="V113" s="10"/>
      <c r="W113" s="10"/>
      <c r="X113" s="10"/>
      <c r="Y113" s="10"/>
      <c r="Z113" s="10"/>
      <c r="AA113" s="10"/>
      <c r="AB113" s="10"/>
    </row>
    <row r="114" spans="1:28">
      <c r="A114" s="23">
        <v>95</v>
      </c>
      <c r="B114" s="3">
        <v>60.9</v>
      </c>
      <c r="C114" s="3">
        <v>3.45</v>
      </c>
      <c r="D114" s="3">
        <v>61.77</v>
      </c>
      <c r="E114" s="3">
        <v>15.13</v>
      </c>
      <c r="F114" s="3"/>
      <c r="G114" s="24">
        <f t="shared" si="4"/>
        <v>64.453397220221518</v>
      </c>
      <c r="H114" s="24">
        <f t="shared" si="5"/>
        <v>-3.5533972202215196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1"/>
      <c r="V114" s="10"/>
      <c r="W114" s="10"/>
      <c r="X114" s="10"/>
      <c r="Y114" s="10"/>
      <c r="Z114" s="10"/>
      <c r="AA114" s="10"/>
      <c r="AB114" s="10"/>
    </row>
    <row r="115" spans="1:28">
      <c r="A115" s="12" t="s">
        <v>4</v>
      </c>
      <c r="B115" s="14">
        <v>63.445833333333347</v>
      </c>
      <c r="C115" s="14">
        <v>3.1508333333333329</v>
      </c>
      <c r="D115" s="14">
        <v>62.89875</v>
      </c>
      <c r="E115" s="14">
        <v>13.63125</v>
      </c>
      <c r="F115" s="10" t="s">
        <v>4</v>
      </c>
      <c r="G115" s="14">
        <f>AVERAGE(G91:G114)</f>
        <v>63.445833333333702</v>
      </c>
      <c r="H115" s="14">
        <f>AVERAGE(H91:H114)</f>
        <v>-3.8102854205135372E-13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1"/>
    </row>
    <row r="116" spans="1:28">
      <c r="A116" s="12" t="s">
        <v>2</v>
      </c>
      <c r="B116" s="14">
        <v>7.6092609003288691</v>
      </c>
      <c r="C116" s="14"/>
      <c r="D116" s="14"/>
      <c r="E116" s="14"/>
      <c r="F116" s="10" t="s">
        <v>2</v>
      </c>
      <c r="G116" s="14"/>
      <c r="H116" s="14">
        <f>STDEVP(H91:H114)</f>
        <v>2.6975080589220504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1"/>
    </row>
    <row r="117" spans="1:28">
      <c r="A117" s="12" t="s">
        <v>17</v>
      </c>
      <c r="B117" s="10">
        <v>47.3</v>
      </c>
      <c r="C117" s="10"/>
      <c r="D117" s="10"/>
      <c r="E117" s="10"/>
      <c r="F117" s="10" t="s">
        <v>17</v>
      </c>
      <c r="G117" s="10"/>
      <c r="H117" s="14">
        <f>MIN(H91:H114)</f>
        <v>-4.4044285629023818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1"/>
    </row>
    <row r="118" spans="1:28">
      <c r="A118" s="12" t="s">
        <v>18</v>
      </c>
      <c r="B118" s="10">
        <v>80.599999999999994</v>
      </c>
      <c r="C118" s="10"/>
      <c r="D118" s="10"/>
      <c r="E118" s="10"/>
      <c r="F118" s="10" t="s">
        <v>18</v>
      </c>
      <c r="G118" s="10"/>
      <c r="H118" s="14">
        <f>MAX(H91:H114)</f>
        <v>5.9814698295060111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1"/>
    </row>
    <row r="119" spans="1:28">
      <c r="A119" s="12"/>
      <c r="B119" s="10"/>
      <c r="C119" s="10"/>
      <c r="D119" s="10"/>
      <c r="E119" s="10"/>
      <c r="F119" s="25"/>
      <c r="G119" s="25"/>
      <c r="H119" s="25"/>
      <c r="I119" s="10"/>
      <c r="J119" s="10"/>
      <c r="K119" s="10"/>
      <c r="L119" s="10"/>
      <c r="M119" s="10"/>
      <c r="N119" s="10"/>
      <c r="O119" s="10"/>
      <c r="P119" s="10"/>
      <c r="Q119" s="10"/>
      <c r="R119" s="11"/>
    </row>
    <row r="120" spans="1:28">
      <c r="A120" s="38" t="str">
        <f>"OLS Regression Statistics for "&amp;$B$90&amp;", 11/14/2005 9:03:32 PM"</f>
        <v>OLS Regression Statistics for X, 11/14/2005 9:03:32 PM</v>
      </c>
      <c r="L120" s="10"/>
      <c r="M120" s="10"/>
      <c r="N120" s="10"/>
      <c r="O120" s="10"/>
      <c r="P120" s="10"/>
      <c r="Q120" s="10"/>
      <c r="R120" s="11"/>
    </row>
    <row r="121" spans="1:28">
      <c r="A121" s="27" t="s">
        <v>26</v>
      </c>
      <c r="B121" s="31">
        <f>INDEX(_xll.LR($B$91:$B$114,$C$91:$E$114,1,$B$136:$E$136,),4,1)</f>
        <v>44.170903378460842</v>
      </c>
      <c r="C121" s="39" t="s">
        <v>22</v>
      </c>
      <c r="D121" s="31">
        <f>FDIST(ABS($B$121),INDEX(_xll.LROBS($B$91:$B$114,$C$91:$E$114,$B$136:$E$136,),2,1),INDEX(_xll.LROBS($B$91:$B$114,$C$91:$E$114,$B$136:$E$136,),2,2))</f>
        <v>5.2225694230073379E-9</v>
      </c>
      <c r="E121" s="38" t="s">
        <v>39</v>
      </c>
      <c r="L121" s="10"/>
      <c r="M121" s="10"/>
      <c r="N121" s="10"/>
      <c r="O121" s="10"/>
      <c r="P121" s="10"/>
      <c r="Q121" s="10"/>
      <c r="R121" s="11"/>
    </row>
    <row r="122" spans="1:28" ht="14.25">
      <c r="A122" s="27" t="s">
        <v>50</v>
      </c>
      <c r="B122" s="31">
        <f>INDEX(_xll.LR($B$91:$B$114,$C$91:$E$114,1,$B$136:$E$136,),3,2)</f>
        <v>2.9549720258471637</v>
      </c>
      <c r="C122" s="39" t="s">
        <v>27</v>
      </c>
      <c r="D122" s="31">
        <f>$B$122/AVERAGE($B$91:$B$114)*100</f>
        <v>4.6574721626276956</v>
      </c>
      <c r="E122" s="39" t="s">
        <v>26</v>
      </c>
      <c r="F122" s="31">
        <f>INDEX(_xll.LR($B$91:$B$114,$C$91:$E$114,1,),4,1)</f>
        <v>44.170903378460842</v>
      </c>
      <c r="L122" s="10"/>
      <c r="M122" s="10"/>
      <c r="N122" s="10"/>
      <c r="O122" s="10"/>
      <c r="P122" s="10"/>
      <c r="Q122" s="10"/>
      <c r="R122" s="11"/>
    </row>
    <row r="123" spans="1:28" ht="14.25">
      <c r="A123" s="27" t="s">
        <v>40</v>
      </c>
      <c r="B123" s="31">
        <f>INDEX(_xll.LR($B$91:$B$114,$C$91:$E$114,1,$B$136:$E$136,),3,1)</f>
        <v>0.86886338861694234</v>
      </c>
      <c r="C123" s="39" t="s">
        <v>28</v>
      </c>
      <c r="D123" s="31">
        <f>_xll.LRDW($B$91:$B$114,$C$91:$E$114,1,$B$136:$E$136,,,)</f>
        <v>1.8379397422263104</v>
      </c>
      <c r="E123" s="39" t="s">
        <v>40</v>
      </c>
      <c r="F123" s="31">
        <f>INDEX(_xll.LR($B$91:$B$114,$C$91:$E$114,1,),3,1)</f>
        <v>0.86886338861694234</v>
      </c>
      <c r="L123" s="10"/>
      <c r="M123" s="10"/>
      <c r="N123" s="10"/>
      <c r="O123" s="10"/>
      <c r="P123" s="10"/>
      <c r="Q123" s="10"/>
      <c r="R123" s="11"/>
    </row>
    <row r="124" spans="1:28" ht="14.25">
      <c r="A124" s="27" t="s">
        <v>41</v>
      </c>
      <c r="B124" s="31">
        <f>INDEX(_xll.LR($B$91:$B$114,$C$91:$E$114,1,$B$136:$E$136,),3,3)</f>
        <v>0.84919289690948374</v>
      </c>
      <c r="C124" s="39" t="s">
        <v>30</v>
      </c>
      <c r="D124" s="31">
        <f>_xll.LRRHO($B$91:$B$114,$C$91:$E$114,1,$B$136:$E$136,,,)</f>
        <v>4.6269185565711121E-2</v>
      </c>
      <c r="E124" s="39" t="s">
        <v>41</v>
      </c>
      <c r="F124" s="31">
        <f>INDEX(_xll.LR($B$91:$B$114,$C$91:$E$114,1,),3,3)</f>
        <v>0.84919289690948374</v>
      </c>
      <c r="L124" s="10"/>
      <c r="M124" s="10"/>
      <c r="N124" s="10"/>
      <c r="O124" s="10"/>
      <c r="P124" s="10"/>
      <c r="Q124" s="10"/>
      <c r="R124" s="11"/>
    </row>
    <row r="125" spans="1:28">
      <c r="A125" s="27" t="s">
        <v>42</v>
      </c>
      <c r="B125" s="31">
        <f>_xll.LRAIC($B$91:$B$114,$C$91:$E$114,1,$B$136:$E$136,,,)</f>
        <v>2.234656811395773</v>
      </c>
      <c r="C125" s="39" t="s">
        <v>29</v>
      </c>
      <c r="D125" s="31">
        <f>_xll.LRGQ($B$91:$B$114,$C$91:$E$114,1,$B$136:$E$136,,,)</f>
        <v>2.2442808753819641</v>
      </c>
      <c r="E125" s="27" t="s">
        <v>42</v>
      </c>
      <c r="F125" s="31">
        <f>_xll.LRAIC($B$91:$B$114,$C$91:$E$114,1,,,,)</f>
        <v>2.234656811395773</v>
      </c>
      <c r="L125" s="10"/>
      <c r="M125" s="10"/>
      <c r="N125" s="10"/>
      <c r="O125" s="10"/>
      <c r="P125" s="10"/>
      <c r="Q125" s="10"/>
      <c r="R125" s="11"/>
    </row>
    <row r="126" spans="1:28" ht="13.5" thickBot="1">
      <c r="A126" s="27" t="s">
        <v>43</v>
      </c>
      <c r="B126" s="31">
        <f>_xll.LRSIC($B$91:$B$114,$C$91:$E$114,1,$B$136:$E$136,,,)</f>
        <v>2.3819135401892666</v>
      </c>
      <c r="C126" s="39"/>
      <c r="D126" s="31"/>
      <c r="E126" s="39" t="s">
        <v>43</v>
      </c>
      <c r="F126" s="31">
        <f>_xll.LRSIC($B$91:$B$114,$C$91:$E$114,1,,,,)</f>
        <v>2.3819135401892666</v>
      </c>
      <c r="L126" s="10"/>
      <c r="M126" s="10"/>
      <c r="N126" s="10"/>
      <c r="O126" s="10"/>
      <c r="P126" s="10"/>
      <c r="Q126" s="10"/>
      <c r="R126" s="11"/>
    </row>
    <row r="127" spans="1:28">
      <c r="A127" s="41">
        <v>0.95</v>
      </c>
      <c r="B127" s="22" t="s">
        <v>3</v>
      </c>
      <c r="C127" s="22" t="str">
        <f>$C$90</f>
        <v>Price t-1</v>
      </c>
      <c r="D127" s="22" t="str">
        <f>$D$90</f>
        <v>Acres t-1</v>
      </c>
      <c r="E127" s="22" t="str">
        <f>$E$90</f>
        <v>Acres Idled</v>
      </c>
      <c r="L127" s="10"/>
      <c r="M127" s="10"/>
      <c r="N127" s="10"/>
      <c r="O127" s="10"/>
      <c r="P127" s="10"/>
      <c r="Q127" s="10"/>
      <c r="R127" s="11"/>
    </row>
    <row r="128" spans="1:28">
      <c r="A128" s="27" t="s">
        <v>31</v>
      </c>
      <c r="B128" s="31">
        <f t="array" ref="B128:E129">_xll.LR($B$91:$B$114,$C$91:$E$114,1,$B$136:$E$136,)</f>
        <v>30.28664777002632</v>
      </c>
      <c r="C128" s="31">
        <v>5.8800450035220351</v>
      </c>
      <c r="D128" s="31">
        <v>0.2934135081739736</v>
      </c>
      <c r="E128" s="31">
        <v>-0.28047311380450601</v>
      </c>
      <c r="L128" s="10"/>
      <c r="M128" s="10"/>
      <c r="N128" s="10"/>
      <c r="O128" s="10"/>
      <c r="P128" s="10"/>
      <c r="Q128" s="10"/>
      <c r="R128" s="11"/>
    </row>
    <row r="129" spans="1:25">
      <c r="A129" s="27" t="s">
        <v>23</v>
      </c>
      <c r="B129" s="31">
        <v>5.0859954297213115</v>
      </c>
      <c r="C129" s="31">
        <v>1.0448259744774084</v>
      </c>
      <c r="D129" s="31">
        <v>8.3488495235241322E-2</v>
      </c>
      <c r="E129" s="31">
        <v>6.4926022711973702E-2</v>
      </c>
      <c r="L129" s="10"/>
      <c r="M129" s="10"/>
      <c r="N129" s="10"/>
      <c r="O129" s="10"/>
      <c r="P129" s="10"/>
      <c r="Q129" s="10"/>
      <c r="R129" s="11"/>
    </row>
    <row r="130" spans="1:25">
      <c r="A130" s="27" t="s">
        <v>32</v>
      </c>
      <c r="B130" s="31">
        <f>IF($B$129=0,0,$B$128/$B$129)</f>
        <v>5.9549105359077927</v>
      </c>
      <c r="C130" s="31">
        <f>IF($C$129=0,0,$C$128/$C$129)</f>
        <v>5.6277745262440115</v>
      </c>
      <c r="D130" s="31">
        <f>IF($D$129=0,0,$D$128/$D$129)</f>
        <v>3.5144184518745627</v>
      </c>
      <c r="E130" s="31">
        <f>IF($E$129=0,0,$E$128/$E$129)</f>
        <v>-4.3198874979412683</v>
      </c>
      <c r="L130" s="10"/>
      <c r="M130" s="10"/>
      <c r="N130" s="10"/>
      <c r="O130" s="10"/>
      <c r="P130" s="10"/>
      <c r="Q130" s="10"/>
      <c r="R130" s="11"/>
      <c r="V130" s="10"/>
      <c r="W130" s="10"/>
      <c r="X130" s="10"/>
      <c r="Y130" s="10"/>
    </row>
    <row r="131" spans="1:25">
      <c r="A131" s="27" t="s">
        <v>33</v>
      </c>
      <c r="B131" s="31">
        <f>TDIST(ABS($B$130),INDEX(_xll.LROBS($B$91:$B$114,$C$91:$E$114,$B$136:$E$136,),2,2),2)</f>
        <v>7.9982040014342979E-6</v>
      </c>
      <c r="C131" s="31">
        <f>TDIST(ABS($C$130),INDEX(_xll.LROBS($B$91:$B$114,$C$91:$E$114,$B$136:$E$136,),2,2),2)</f>
        <v>1.6531278346784832E-5</v>
      </c>
      <c r="D131" s="31">
        <f>TDIST(ABS($D$130),INDEX(_xll.LROBS($B$91:$B$114,$C$91:$E$114,$B$136:$E$136,),2,2),2)</f>
        <v>2.1810660272896078E-3</v>
      </c>
      <c r="E131" s="31">
        <f>TDIST(ABS($E$130),INDEX(_xll.LROBS($B$91:$B$114,$C$91:$E$114,$B$136:$E$136,),2,2),2)</f>
        <v>3.3302792365621223E-4</v>
      </c>
      <c r="L131" s="10"/>
      <c r="M131" s="10"/>
      <c r="N131" s="10"/>
      <c r="O131" s="10"/>
      <c r="P131" s="10"/>
      <c r="Q131" s="10"/>
      <c r="R131" s="11"/>
      <c r="V131" s="10"/>
      <c r="W131" s="10"/>
      <c r="X131" s="10"/>
      <c r="Y131" s="10"/>
    </row>
    <row r="132" spans="1:25">
      <c r="A132" s="27" t="s">
        <v>34</v>
      </c>
      <c r="B132" s="31"/>
      <c r="C132" s="31">
        <f>$C$128*AVERAGE($C$91:$C$114)/AVERAGE($B$91:$B$114)</f>
        <v>0.29201353067993441</v>
      </c>
      <c r="D132" s="31">
        <f>$D$128*AVERAGE($D$91:$D$114)/AVERAGE($B$91:$B$114)</f>
        <v>0.29088345014394518</v>
      </c>
      <c r="E132" s="31">
        <f>$E$128*AVERAGE($E$91:$E$114)/AVERAGE($B$91:$B$114)</f>
        <v>-6.0259262613216076E-2</v>
      </c>
      <c r="L132" s="10"/>
      <c r="M132" s="10"/>
      <c r="N132" s="10"/>
      <c r="O132" s="10"/>
      <c r="P132" s="10"/>
      <c r="Q132" s="10"/>
      <c r="R132" s="11"/>
      <c r="V132" s="10"/>
      <c r="W132" s="10"/>
      <c r="X132" s="10"/>
      <c r="Y132" s="10"/>
    </row>
    <row r="133" spans="1:25">
      <c r="A133" s="27" t="s">
        <v>44</v>
      </c>
      <c r="B133" s="31"/>
      <c r="C133" s="31">
        <f>_xll.LRVIF($B$91:$B$114,$C$91:$E$114,1,1,$B$136:$E$136,,,)</f>
        <v>1.4275067993285053</v>
      </c>
      <c r="D133" s="31">
        <f>_xll.LRVIF($B$91:$B$114,$C$91:$E$114,2,1,$B$136:$E$136,,,)</f>
        <v>1.2519670623815551</v>
      </c>
      <c r="E133" s="31">
        <f>_xll.LRVIF($B$91:$B$114,$C$91:$E$114,3,1,$B$136:$E$136,,,)</f>
        <v>1.1584658959041103</v>
      </c>
      <c r="L133" s="10"/>
      <c r="M133" s="10"/>
      <c r="N133" s="10"/>
      <c r="O133" s="10"/>
      <c r="P133" s="10"/>
      <c r="Q133" s="10"/>
      <c r="R133" s="11"/>
      <c r="V133" s="10"/>
      <c r="W133" s="10"/>
      <c r="X133" s="10"/>
      <c r="Y133" s="10"/>
    </row>
    <row r="134" spans="1:25">
      <c r="A134" s="27" t="s">
        <v>45</v>
      </c>
      <c r="B134" s="31"/>
      <c r="C134" s="31">
        <f>_xll.LRPARTCORR($B$91:$B$114,$C$91:$E$114,1,,$B$136:$E$136,)</f>
        <v>0.78290614212761156</v>
      </c>
      <c r="D134" s="31">
        <f>_xll.LRPARTCORR($B$91:$B$114,$C$91:$E$114,2,,$B$136:$E$136,)</f>
        <v>0.61788648452141903</v>
      </c>
      <c r="E134" s="31">
        <f>_xll.LRPARTCORR($B$91:$B$114,$C$91:$E$114,3,,$B$136:$E$136,)</f>
        <v>-0.69475789584322345</v>
      </c>
      <c r="L134" s="10"/>
      <c r="M134" s="10"/>
      <c r="N134" s="10"/>
      <c r="O134" s="10"/>
      <c r="P134" s="10"/>
      <c r="Q134" s="10"/>
      <c r="R134" s="11"/>
    </row>
    <row r="135" spans="1:25" ht="13.5" thickBot="1">
      <c r="A135" s="42" t="s">
        <v>46</v>
      </c>
      <c r="B135" s="16"/>
      <c r="C135" s="16">
        <f>_xll.LRSEMICORR($B$91:$B$114,$C$91:$E$114,1,,$B$136:$E$136,)</f>
        <v>0.45570487029390089</v>
      </c>
      <c r="D135" s="16">
        <f>_xll.LRSEMICORR($B$91:$B$114,$C$91:$E$114,2,,$B$136:$E$136,)</f>
        <v>0.28457742884004911</v>
      </c>
      <c r="E135" s="16">
        <f>_xll.LRSEMICORR($B$91:$B$114,$C$91:$E$114,3,,$B$136:$E$136,)</f>
        <v>-0.34979968773685177</v>
      </c>
      <c r="L135" s="10"/>
      <c r="M135" s="10"/>
      <c r="N135" s="10"/>
      <c r="O135" s="10"/>
      <c r="P135" s="10"/>
      <c r="Q135" s="10"/>
      <c r="R135" s="11"/>
    </row>
    <row r="136" spans="1:25" ht="13.5" thickBot="1">
      <c r="A136" s="43" t="s">
        <v>47</v>
      </c>
      <c r="B136" s="44"/>
      <c r="C136" s="44"/>
      <c r="D136" s="44"/>
      <c r="E136" s="44"/>
      <c r="L136" s="10"/>
      <c r="M136" s="10"/>
      <c r="N136" s="10"/>
      <c r="O136" s="10"/>
      <c r="P136" s="10"/>
      <c r="Q136" s="10"/>
      <c r="R136" s="11"/>
    </row>
    <row r="137" spans="1:25">
      <c r="A137" s="27" t="s">
        <v>37</v>
      </c>
      <c r="B137">
        <f t="array" ref="B137">STDEVP(IF(ISNUMBER($C$139:$C$162),$C$139:$C$162,""))</f>
        <v>2.6975080589220504</v>
      </c>
      <c r="C137" s="27" t="s">
        <v>38</v>
      </c>
      <c r="D137">
        <f>_xll.MAPE($C$139:$C$162,$B$91:$B$114)</f>
        <v>3.1893250018231867</v>
      </c>
      <c r="E137" s="27"/>
      <c r="F137" s="27" t="s">
        <v>48</v>
      </c>
      <c r="G137" s="27" t="s">
        <v>49</v>
      </c>
      <c r="H137" s="27" t="s">
        <v>48</v>
      </c>
      <c r="I137" s="27" t="s">
        <v>49</v>
      </c>
      <c r="L137" s="10"/>
      <c r="M137" s="10"/>
      <c r="N137" s="10"/>
      <c r="O137" s="10"/>
      <c r="P137" s="10"/>
      <c r="Q137" s="10"/>
      <c r="R137" s="11"/>
    </row>
    <row r="138" spans="1:25">
      <c r="A138" s="27" t="str">
        <f>"Actual "&amp;Sheet1!$B$90</f>
        <v>Actual X</v>
      </c>
      <c r="B138" s="27" t="str">
        <f>"Predicted "&amp;Sheet1!$B$90</f>
        <v>Predicted X</v>
      </c>
      <c r="C138" s="27" t="s">
        <v>35</v>
      </c>
      <c r="D138" s="27" t="str">
        <f>"SE Mean Predicted "&amp;$B$90</f>
        <v>SE Mean Predicted X</v>
      </c>
      <c r="E138" s="27" t="str">
        <f>"SE Predicted "&amp;$B$90</f>
        <v>SE Predicted X</v>
      </c>
      <c r="F138" s="27" t="str">
        <f>TEXT($A$127,"0%")&amp;" Conf. Interval"</f>
        <v>95% Conf. Interval</v>
      </c>
      <c r="G138" s="27" t="str">
        <f>TEXT($A$127,"0%")&amp;" Conf. Interval"</f>
        <v>95% Conf. Interval</v>
      </c>
      <c r="H138" s="27" t="str">
        <f>TEXT($A$127,"0%")&amp;" Predict. Interval"</f>
        <v>95% Predict. Interval</v>
      </c>
      <c r="I138" s="27" t="str">
        <f>TEXT($A$127,"0%")&amp;" Predict. Interval"</f>
        <v>95% Predict. Interval</v>
      </c>
      <c r="L138" s="10"/>
      <c r="M138" s="10"/>
      <c r="N138" s="10"/>
      <c r="O138" s="10"/>
      <c r="P138" s="10"/>
      <c r="Q138" s="10"/>
      <c r="R138" s="11"/>
      <c r="S138" s="10"/>
    </row>
    <row r="139" spans="1:25">
      <c r="A139" s="28">
        <f t="array" ref="A139:A162">IF($B$91:$B$114="",NA(),$B$91:$B$114)</f>
        <v>47.3</v>
      </c>
      <c r="B139" s="32">
        <f t="array" ref="B139:C162">IF(_xll.LRCHK($B$91:$B$114,$C$91:$E$114,1,$B$136:$E$136)="",NA(),_xll.LRRESID($B$91:$B$114,$C$91:$E$114,1,$B$136:$E$136))</f>
        <v>46.473608262745316</v>
      </c>
      <c r="C139" s="33">
        <v>0.8263917372546814</v>
      </c>
      <c r="D139" s="32">
        <f t="array" ref="D139:D162">$B$122*(_xll.LRDHATMAT($B$91:$B$114,$C$91:$E$114,$B$136:$E$136,))^0.5</f>
        <v>1.7685539869061702</v>
      </c>
      <c r="E139" s="40">
        <f t="array" ref="E139:E162">($D$139:$D$162^2+$B$122^2)^0.5</f>
        <v>3.4437832217114073</v>
      </c>
      <c r="F139" s="40">
        <f t="array" ref="F139:F162">IF($B$139:$B$162="",NA(),$B$139:$B$162-TINV((1-$A$127),COUNT($C$139:$C$162)-COUNTIF($B$136:$E$136,"="))*($D$139:$D$162))</f>
        <v>42.78446930210157</v>
      </c>
      <c r="G139" s="40">
        <f t="array" ref="G139:G162">IF($B$139:$B$162="",NA(),$B$139:$B$162+TINV((1-$A$127),COUNT($C$139:$C$162)-COUNTIF($B$136:$E$136,"="))*($D$139:$D$162))</f>
        <v>50.162747223389061</v>
      </c>
      <c r="H139" s="40">
        <f t="array" ref="H139:H162">IF($B$139:$B$162="",NA(),$B$139:$B$162-TINV((1-$A$127),COUNT($C$139:$C$162)-COUNTIF($B$136:$E$136,"="))*$B$122*(1+($D$139:$D$162/$B$122)^2)^0.5)</f>
        <v>39.290002362508339</v>
      </c>
      <c r="I139" s="33">
        <f t="array" ref="I139:I162">IF($B$139:$B$162="",NA(),$B$139:$B$162+TINV((1-$A$127),COUNT($C$139:$C$162)-COUNTIF($B$136:$E$136,"="))*$B$122*(1+($D$139:$D$162/$B$122)^2)^0.5)</f>
        <v>53.657214162982292</v>
      </c>
      <c r="L139" s="10"/>
      <c r="M139" s="10"/>
      <c r="N139" s="10"/>
      <c r="O139" s="10"/>
      <c r="P139" s="10"/>
      <c r="Q139" s="10"/>
      <c r="R139" s="11"/>
      <c r="S139" s="10"/>
    </row>
    <row r="140" spans="1:25">
      <c r="A140" s="29">
        <v>54.1</v>
      </c>
      <c r="B140" s="34">
        <v>52.446899064114845</v>
      </c>
      <c r="C140" s="35">
        <v>1.6531009358851563</v>
      </c>
      <c r="D140" s="34">
        <v>1.7402920972881069</v>
      </c>
      <c r="E140" s="14">
        <v>3.4293550789357941</v>
      </c>
      <c r="F140" s="14">
        <v>48.816713371996308</v>
      </c>
      <c r="G140" s="14">
        <v>56.077084756233383</v>
      </c>
      <c r="H140" s="14">
        <v>45.293389742233593</v>
      </c>
      <c r="I140" s="35">
        <v>59.600408385996097</v>
      </c>
      <c r="L140" s="10"/>
      <c r="M140" s="10"/>
      <c r="N140" s="10"/>
      <c r="O140" s="10"/>
      <c r="P140" s="10"/>
      <c r="Q140" s="10"/>
      <c r="R140" s="11"/>
      <c r="S140" s="10"/>
    </row>
    <row r="141" spans="1:25">
      <c r="A141" s="29">
        <v>65.400000000000006</v>
      </c>
      <c r="B141" s="34">
        <v>69.401167001559031</v>
      </c>
      <c r="C141" s="35">
        <v>-4.0011670015590255</v>
      </c>
      <c r="D141" s="34">
        <v>1.5166293472260732</v>
      </c>
      <c r="E141" s="14">
        <v>3.3214491190452811</v>
      </c>
      <c r="F141" s="14">
        <v>66.237533629249526</v>
      </c>
      <c r="G141" s="14">
        <v>72.564800373868536</v>
      </c>
      <c r="H141" s="14">
        <v>62.472745567107289</v>
      </c>
      <c r="I141" s="35">
        <v>76.329588436010766</v>
      </c>
      <c r="L141" s="10"/>
      <c r="M141" s="10"/>
      <c r="N141" s="10"/>
      <c r="O141" s="10"/>
      <c r="P141" s="10"/>
      <c r="Q141" s="10"/>
      <c r="R141" s="11"/>
      <c r="S141" s="10"/>
    </row>
    <row r="142" spans="1:25">
      <c r="A142" s="29">
        <v>69.5</v>
      </c>
      <c r="B142" s="34">
        <v>73.516472863764093</v>
      </c>
      <c r="C142" s="35">
        <v>-4.0164728637640934</v>
      </c>
      <c r="D142" s="34">
        <v>1.1750624897421138</v>
      </c>
      <c r="E142" s="14">
        <v>3.1800364036183963</v>
      </c>
      <c r="F142" s="14">
        <v>71.065335468924332</v>
      </c>
      <c r="G142" s="14">
        <v>75.967610258603855</v>
      </c>
      <c r="H142" s="14">
        <v>66.883033183827166</v>
      </c>
      <c r="I142" s="35">
        <v>80.149912543701021</v>
      </c>
      <c r="L142" s="10"/>
      <c r="M142" s="10"/>
      <c r="N142" s="10"/>
      <c r="O142" s="10"/>
      <c r="P142" s="10"/>
      <c r="Q142" s="10"/>
      <c r="R142" s="11"/>
    </row>
    <row r="143" spans="1:25">
      <c r="A143" s="29">
        <v>70.900000000000006</v>
      </c>
      <c r="B143" s="34">
        <v>71.553046350620718</v>
      </c>
      <c r="C143" s="35">
        <v>-0.6530463506207127</v>
      </c>
      <c r="D143" s="34">
        <v>1.106876173819626</v>
      </c>
      <c r="E143" s="14">
        <v>3.1554769112938956</v>
      </c>
      <c r="F143" s="14">
        <v>69.244143117991882</v>
      </c>
      <c r="G143" s="14">
        <v>73.861949583249555</v>
      </c>
      <c r="H143" s="14">
        <v>64.970836873809475</v>
      </c>
      <c r="I143" s="35">
        <v>78.135255827431962</v>
      </c>
      <c r="L143" s="10"/>
      <c r="M143" s="10"/>
      <c r="N143" s="10"/>
      <c r="O143" s="10"/>
      <c r="P143" s="10"/>
      <c r="Q143" s="10"/>
      <c r="R143" s="11"/>
    </row>
    <row r="144" spans="1:25">
      <c r="A144" s="29">
        <v>66.7</v>
      </c>
      <c r="B144" s="34">
        <v>67.150990764421422</v>
      </c>
      <c r="C144" s="35">
        <v>-0.4509907644214195</v>
      </c>
      <c r="D144" s="34">
        <v>1.5506113096243432</v>
      </c>
      <c r="E144" s="14">
        <v>3.3371028013943786</v>
      </c>
      <c r="F144" s="14">
        <v>63.916472260885641</v>
      </c>
      <c r="G144" s="14">
        <v>70.385509267957204</v>
      </c>
      <c r="H144" s="14">
        <v>60.189916320867809</v>
      </c>
      <c r="I144" s="35">
        <v>74.112065207975036</v>
      </c>
      <c r="L144" s="10"/>
      <c r="M144" s="10"/>
      <c r="N144" s="10"/>
      <c r="O144" s="10"/>
      <c r="P144" s="10"/>
      <c r="Q144" s="10"/>
      <c r="R144" s="11"/>
    </row>
    <row r="145" spans="1:19">
      <c r="A145" s="29">
        <v>56.5</v>
      </c>
      <c r="B145" s="34">
        <v>60.904428562902382</v>
      </c>
      <c r="C145" s="35">
        <v>-4.4044285629023818</v>
      </c>
      <c r="D145" s="34">
        <v>1.2993874718274661</v>
      </c>
      <c r="E145" s="14">
        <v>3.228043908542984</v>
      </c>
      <c r="F145" s="14">
        <v>58.193953800592844</v>
      </c>
      <c r="G145" s="14">
        <v>63.61490332521192</v>
      </c>
      <c r="H145" s="14">
        <v>54.170846982784951</v>
      </c>
      <c r="I145" s="35">
        <v>67.638010143019812</v>
      </c>
      <c r="L145" s="10"/>
      <c r="M145" s="10"/>
      <c r="N145" s="10"/>
      <c r="O145" s="10"/>
      <c r="P145" s="10"/>
      <c r="Q145" s="10"/>
      <c r="R145" s="11"/>
    </row>
    <row r="146" spans="1:19">
      <c r="A146" s="29">
        <v>62.5</v>
      </c>
      <c r="B146" s="34">
        <v>61.99190360432474</v>
      </c>
      <c r="C146" s="35">
        <v>0.50809639567525977</v>
      </c>
      <c r="D146" s="34">
        <v>0.85838447794499084</v>
      </c>
      <c r="E146" s="14">
        <v>3.0771226146379322</v>
      </c>
      <c r="F146" s="14">
        <v>60.201344964755933</v>
      </c>
      <c r="G146" s="14">
        <v>63.782462243893548</v>
      </c>
      <c r="H146" s="14">
        <v>55.573138325806262</v>
      </c>
      <c r="I146" s="35">
        <v>68.410668882843211</v>
      </c>
      <c r="L146" s="10"/>
      <c r="M146" s="10"/>
      <c r="N146" s="10"/>
      <c r="O146" s="10"/>
      <c r="P146" s="10"/>
      <c r="Q146" s="10"/>
      <c r="R146" s="11"/>
    </row>
    <row r="147" spans="1:19">
      <c r="A147" s="29">
        <v>71.099999999999994</v>
      </c>
      <c r="B147" s="34">
        <v>70.954492368874696</v>
      </c>
      <c r="C147" s="35">
        <v>0.14550763112529808</v>
      </c>
      <c r="D147" s="34">
        <v>1.0949172832750311</v>
      </c>
      <c r="E147" s="14">
        <v>3.1513018787088081</v>
      </c>
      <c r="F147" s="14">
        <v>68.670534944720345</v>
      </c>
      <c r="G147" s="14">
        <v>73.238449793029048</v>
      </c>
      <c r="H147" s="14">
        <v>64.380991857402165</v>
      </c>
      <c r="I147" s="35">
        <v>77.527992880347227</v>
      </c>
      <c r="L147" s="10"/>
      <c r="M147" s="10"/>
      <c r="N147" s="10"/>
      <c r="O147" s="10"/>
      <c r="P147" s="10"/>
      <c r="Q147" s="10"/>
      <c r="R147" s="11"/>
    </row>
    <row r="148" spans="1:19">
      <c r="A148" s="29">
        <v>80.599999999999994</v>
      </c>
      <c r="B148" s="34">
        <v>74.618530170493983</v>
      </c>
      <c r="C148" s="35">
        <v>5.9814698295060111</v>
      </c>
      <c r="D148" s="34">
        <v>1.1781565315620515</v>
      </c>
      <c r="E148" s="14">
        <v>3.1811809892556591</v>
      </c>
      <c r="F148" s="14">
        <v>72.160938717531991</v>
      </c>
      <c r="G148" s="14">
        <v>77.076121623455975</v>
      </c>
      <c r="H148" s="14">
        <v>67.982702926762286</v>
      </c>
      <c r="I148" s="35">
        <v>81.25435741422568</v>
      </c>
      <c r="L148" s="10"/>
      <c r="M148" s="10"/>
      <c r="N148" s="10"/>
      <c r="O148" s="10"/>
      <c r="P148" s="10"/>
      <c r="Q148" s="10"/>
      <c r="R148" s="11"/>
    </row>
    <row r="149" spans="1:19">
      <c r="A149" s="29">
        <v>77.900000000000006</v>
      </c>
      <c r="B149" s="34">
        <v>74.009720878691596</v>
      </c>
      <c r="C149" s="35">
        <v>3.89027912130841</v>
      </c>
      <c r="D149" s="34">
        <v>1.5154869219031324</v>
      </c>
      <c r="E149" s="14">
        <v>3.3209276240229508</v>
      </c>
      <c r="F149" s="14">
        <v>70.848470563840152</v>
      </c>
      <c r="G149" s="14">
        <v>77.170971193543039</v>
      </c>
      <c r="H149" s="14">
        <v>67.082387263791247</v>
      </c>
      <c r="I149" s="35">
        <v>80.937054493591944</v>
      </c>
      <c r="L149" s="10"/>
      <c r="M149" s="10"/>
      <c r="N149" s="10"/>
      <c r="O149" s="10"/>
      <c r="P149" s="10"/>
      <c r="Q149" s="10"/>
      <c r="R149" s="11"/>
    </row>
    <row r="150" spans="1:19">
      <c r="A150" s="29">
        <v>61.4</v>
      </c>
      <c r="B150" s="34">
        <v>65.021648982845576</v>
      </c>
      <c r="C150" s="35">
        <v>-3.6216489828455778</v>
      </c>
      <c r="D150" s="34">
        <v>1.6988690899378682</v>
      </c>
      <c r="E150" s="14">
        <v>3.4085210661349317</v>
      </c>
      <c r="F150" s="14">
        <v>61.477870169688153</v>
      </c>
      <c r="G150" s="14">
        <v>68.565427796002993</v>
      </c>
      <c r="H150" s="14">
        <v>57.911598650002404</v>
      </c>
      <c r="I150" s="35">
        <v>72.131699315688749</v>
      </c>
      <c r="L150" s="10"/>
      <c r="M150" s="10"/>
      <c r="N150" s="10"/>
      <c r="O150" s="10"/>
      <c r="P150" s="10"/>
      <c r="Q150" s="10"/>
      <c r="R150" s="11"/>
    </row>
    <row r="151" spans="1:19">
      <c r="A151" s="29">
        <v>66.900000000000006</v>
      </c>
      <c r="B151" s="34">
        <v>63.429769044068401</v>
      </c>
      <c r="C151" s="35">
        <v>3.4702309559316049</v>
      </c>
      <c r="D151" s="34">
        <v>0.90826726650164491</v>
      </c>
      <c r="E151" s="14">
        <v>3.0914089184282396</v>
      </c>
      <c r="F151" s="14">
        <v>61.535156731220532</v>
      </c>
      <c r="G151" s="14">
        <v>65.324381356916263</v>
      </c>
      <c r="H151" s="14">
        <v>56.981203058132103</v>
      </c>
      <c r="I151" s="35">
        <v>69.878335030004706</v>
      </c>
      <c r="L151" s="10"/>
      <c r="M151" s="10"/>
      <c r="N151" s="10"/>
      <c r="O151" s="10"/>
      <c r="P151" s="10"/>
      <c r="Q151" s="10"/>
      <c r="R151" s="11"/>
    </row>
    <row r="152" spans="1:19">
      <c r="A152" s="29">
        <v>64.7</v>
      </c>
      <c r="B152" s="34">
        <v>64.576857701111223</v>
      </c>
      <c r="C152" s="35">
        <v>0.12314229888878003</v>
      </c>
      <c r="D152" s="34">
        <v>0.79041489692366862</v>
      </c>
      <c r="E152" s="14">
        <v>3.0588585097742169</v>
      </c>
      <c r="F152" s="14">
        <v>62.928081122673063</v>
      </c>
      <c r="G152" s="14">
        <v>66.225634279549382</v>
      </c>
      <c r="H152" s="14">
        <v>58.19619067762644</v>
      </c>
      <c r="I152" s="35">
        <v>70.957524724595999</v>
      </c>
      <c r="L152" s="10"/>
      <c r="M152" s="10"/>
      <c r="N152" s="10"/>
      <c r="O152" s="10"/>
      <c r="P152" s="10"/>
      <c r="Q152" s="10"/>
      <c r="R152" s="11"/>
    </row>
    <row r="153" spans="1:19">
      <c r="A153" s="29">
        <v>60.7</v>
      </c>
      <c r="B153" s="34">
        <v>61.325625832690996</v>
      </c>
      <c r="C153" s="35">
        <v>-0.62562583269099292</v>
      </c>
      <c r="D153" s="34">
        <v>0.79443515905773365</v>
      </c>
      <c r="E153" s="14">
        <v>3.0598998178839736</v>
      </c>
      <c r="F153" s="14">
        <v>59.668463134416754</v>
      </c>
      <c r="G153" s="14">
        <v>62.982788530965237</v>
      </c>
      <c r="H153" s="14">
        <v>54.942786678558136</v>
      </c>
      <c r="I153" s="35">
        <v>67.708464986823856</v>
      </c>
      <c r="L153" s="10"/>
      <c r="M153" s="10"/>
      <c r="N153" s="10"/>
      <c r="O153" s="10"/>
      <c r="P153" s="10"/>
      <c r="Q153" s="10"/>
      <c r="R153" s="11"/>
    </row>
    <row r="154" spans="1:19">
      <c r="A154" s="29">
        <v>55.9</v>
      </c>
      <c r="B154" s="34">
        <v>54.456739859242788</v>
      </c>
      <c r="C154" s="35">
        <v>1.4432601407572108</v>
      </c>
      <c r="D154" s="34">
        <v>1.1183544333929687</v>
      </c>
      <c r="E154" s="14">
        <v>3.1595215321673309</v>
      </c>
      <c r="F154" s="14">
        <v>52.123893396774264</v>
      </c>
      <c r="G154" s="14">
        <v>56.789586321711312</v>
      </c>
      <c r="H154" s="14">
        <v>47.866093451155656</v>
      </c>
      <c r="I154" s="35">
        <v>61.047386267329919</v>
      </c>
      <c r="L154" s="10"/>
      <c r="M154" s="10"/>
      <c r="N154" s="10"/>
      <c r="O154" s="10"/>
      <c r="P154" s="10"/>
      <c r="Q154" s="10"/>
      <c r="R154" s="11"/>
    </row>
    <row r="155" spans="1:19">
      <c r="A155" s="29">
        <v>53.2</v>
      </c>
      <c r="B155" s="34">
        <v>53.507235580522298</v>
      </c>
      <c r="C155" s="35">
        <v>-0.30723558052229549</v>
      </c>
      <c r="D155" s="34">
        <v>1.2120110177343981</v>
      </c>
      <c r="E155" s="14">
        <v>3.1938738830218174</v>
      </c>
      <c r="F155" s="14">
        <v>50.979024907080941</v>
      </c>
      <c r="G155" s="14">
        <v>56.035446253963656</v>
      </c>
      <c r="H155" s="14">
        <v>46.84493142443015</v>
      </c>
      <c r="I155" s="35">
        <v>60.169539736614446</v>
      </c>
      <c r="L155" s="10"/>
      <c r="M155" s="10"/>
      <c r="N155" s="10"/>
      <c r="O155" s="10"/>
      <c r="P155" s="10"/>
      <c r="Q155" s="10"/>
      <c r="R155" s="11"/>
    </row>
    <row r="156" spans="1:19">
      <c r="A156" s="29">
        <v>62.2</v>
      </c>
      <c r="B156" s="34">
        <v>62.597960195484902</v>
      </c>
      <c r="C156" s="35">
        <v>-0.3979601954848988</v>
      </c>
      <c r="D156" s="34">
        <v>1.4351133643230976</v>
      </c>
      <c r="E156" s="14">
        <v>3.2850281645669419</v>
      </c>
      <c r="F156" s="14">
        <v>59.604366183392273</v>
      </c>
      <c r="G156" s="14">
        <v>65.591554207577531</v>
      </c>
      <c r="H156" s="14">
        <v>55.745511540572068</v>
      </c>
      <c r="I156" s="35">
        <v>69.450408850397736</v>
      </c>
      <c r="L156" s="10"/>
      <c r="M156" s="10"/>
      <c r="N156" s="10"/>
      <c r="O156" s="10"/>
      <c r="P156" s="10"/>
      <c r="Q156" s="10"/>
      <c r="R156" s="11"/>
    </row>
    <row r="157" spans="1:19">
      <c r="A157" s="29">
        <v>69.3</v>
      </c>
      <c r="B157" s="34">
        <v>65.418184561885539</v>
      </c>
      <c r="C157" s="35">
        <v>3.8818154381144581</v>
      </c>
      <c r="D157" s="34">
        <v>0.97016133455861109</v>
      </c>
      <c r="E157" s="14">
        <v>3.1101563768742939</v>
      </c>
      <c r="F157" s="14">
        <v>63.394463485837782</v>
      </c>
      <c r="G157" s="14">
        <v>67.441905637933289</v>
      </c>
      <c r="H157" s="14">
        <v>58.930512063013559</v>
      </c>
      <c r="I157" s="35">
        <v>71.905857060757512</v>
      </c>
      <c r="L157" s="10"/>
      <c r="M157" s="10"/>
      <c r="N157" s="10"/>
      <c r="O157" s="10"/>
      <c r="P157" s="10"/>
      <c r="Q157" s="10"/>
      <c r="R157" s="10"/>
      <c r="S157" s="10"/>
    </row>
    <row r="158" spans="1:19">
      <c r="A158" s="29">
        <v>57.7</v>
      </c>
      <c r="B158" s="34">
        <v>58.584810182453211</v>
      </c>
      <c r="C158" s="35">
        <v>-0.88481018245320797</v>
      </c>
      <c r="D158" s="34">
        <v>1.2321291494804374</v>
      </c>
      <c r="E158" s="14">
        <v>3.2015624177171178</v>
      </c>
      <c r="F158" s="14">
        <v>56.014633821682452</v>
      </c>
      <c r="G158" s="14">
        <v>61.15498654322397</v>
      </c>
      <c r="H158" s="14">
        <v>51.90646802406954</v>
      </c>
      <c r="I158" s="35">
        <v>65.263152340836882</v>
      </c>
      <c r="L158" s="10"/>
      <c r="M158" s="10"/>
      <c r="N158" s="10"/>
      <c r="O158" s="10"/>
      <c r="P158" s="10"/>
      <c r="Q158" s="10"/>
      <c r="R158" s="10"/>
      <c r="S158" s="10"/>
    </row>
    <row r="159" spans="1:19">
      <c r="A159" s="29">
        <v>62.8</v>
      </c>
      <c r="B159" s="34">
        <v>59.822120405496122</v>
      </c>
      <c r="C159" s="35">
        <v>2.9778795945038752</v>
      </c>
      <c r="D159" s="34">
        <v>0.76205025260780124</v>
      </c>
      <c r="E159" s="14">
        <v>3.0516520543860999</v>
      </c>
      <c r="F159" s="14">
        <v>58.232511438126217</v>
      </c>
      <c r="G159" s="14">
        <v>61.411729372866027</v>
      </c>
      <c r="H159" s="14">
        <v>53.45648578449228</v>
      </c>
      <c r="I159" s="35">
        <v>66.187755026499957</v>
      </c>
    </row>
    <row r="160" spans="1:19">
      <c r="A160" s="29">
        <v>62.7</v>
      </c>
      <c r="B160" s="34">
        <v>63.124818976661956</v>
      </c>
      <c r="C160" s="35">
        <v>-0.42481897666195323</v>
      </c>
      <c r="D160" s="34">
        <v>0.64878710436994713</v>
      </c>
      <c r="E160" s="14">
        <v>3.0253569013152863</v>
      </c>
      <c r="F160" s="14">
        <v>61.77147279576225</v>
      </c>
      <c r="G160" s="14">
        <v>64.478165157561662</v>
      </c>
      <c r="H160" s="14">
        <v>56.814035083647106</v>
      </c>
      <c r="I160" s="35">
        <v>69.435602869676813</v>
      </c>
    </row>
    <row r="161" spans="1:9">
      <c r="A161" s="29">
        <v>61.8</v>
      </c>
      <c r="B161" s="34">
        <v>63.359571564811809</v>
      </c>
      <c r="C161" s="35">
        <v>-1.5595715648118116</v>
      </c>
      <c r="D161" s="34">
        <v>0.64489918257830781</v>
      </c>
      <c r="E161" s="14">
        <v>3.0245255213387536</v>
      </c>
      <c r="F161" s="14">
        <v>62.014335446632082</v>
      </c>
      <c r="G161" s="14">
        <v>64.704807682991543</v>
      </c>
      <c r="H161" s="14">
        <v>57.050521900033829</v>
      </c>
      <c r="I161" s="35">
        <v>69.668621229589789</v>
      </c>
    </row>
    <row r="162" spans="1:9">
      <c r="A162" s="30">
        <v>60.9</v>
      </c>
      <c r="B162" s="36">
        <v>64.453397220221518</v>
      </c>
      <c r="C162" s="37">
        <v>-3.5533972202215196</v>
      </c>
      <c r="D162" s="36">
        <v>0.72703605010962269</v>
      </c>
      <c r="E162" s="24">
        <v>3.0430972859404761</v>
      </c>
      <c r="F162" s="24">
        <v>62.936826599188933</v>
      </c>
      <c r="G162" s="24">
        <v>65.969967841254103</v>
      </c>
      <c r="H162" s="24">
        <v>58.105607533444001</v>
      </c>
      <c r="I162" s="37">
        <v>70.801186906999035</v>
      </c>
    </row>
    <row r="166" spans="1:9">
      <c r="A166" s="27" t="s">
        <v>51</v>
      </c>
      <c r="E166" s="27" t="s">
        <v>66</v>
      </c>
    </row>
    <row r="167" spans="1:9">
      <c r="E167" s="27" t="s">
        <v>67</v>
      </c>
    </row>
    <row r="168" spans="1:9">
      <c r="B168" t="s">
        <v>55</v>
      </c>
      <c r="C168" t="s">
        <v>52</v>
      </c>
      <c r="D168" t="s">
        <v>53</v>
      </c>
      <c r="E168" t="s">
        <v>54</v>
      </c>
    </row>
    <row r="169" spans="1:9">
      <c r="A169">
        <f t="shared" ref="A169:B193" si="6">A10</f>
        <v>1</v>
      </c>
      <c r="B169">
        <f t="shared" si="6"/>
        <v>47.7</v>
      </c>
      <c r="C169" s="31">
        <f>D10</f>
        <v>-15.116</v>
      </c>
      <c r="D169" s="31">
        <f>D46</f>
        <v>-13.906769230769228</v>
      </c>
      <c r="E169" s="31">
        <f>C139</f>
        <v>0.8263917372546814</v>
      </c>
    </row>
    <row r="170" spans="1:9">
      <c r="A170">
        <f t="shared" si="6"/>
        <v>2</v>
      </c>
      <c r="B170">
        <f t="shared" si="6"/>
        <v>47.3</v>
      </c>
      <c r="C170" s="31">
        <f t="shared" ref="C170:C193" si="7">D11</f>
        <v>-15.516000000000005</v>
      </c>
      <c r="D170" s="31">
        <f t="shared" ref="D170:D193" si="8">D47</f>
        <v>-14.407538461538465</v>
      </c>
      <c r="E170" s="31">
        <f t="shared" ref="E170:E193" si="9">C140</f>
        <v>1.6531009358851563</v>
      </c>
    </row>
    <row r="171" spans="1:9">
      <c r="A171">
        <f t="shared" si="6"/>
        <v>3</v>
      </c>
      <c r="B171">
        <f t="shared" si="6"/>
        <v>54.1</v>
      </c>
      <c r="C171" s="31">
        <f t="shared" si="7"/>
        <v>-8.7160000000000011</v>
      </c>
      <c r="D171" s="31">
        <f t="shared" si="8"/>
        <v>-7.7083076923076916</v>
      </c>
      <c r="E171" s="31">
        <f t="shared" si="9"/>
        <v>-4.0011670015590255</v>
      </c>
    </row>
    <row r="172" spans="1:9">
      <c r="A172">
        <f t="shared" si="6"/>
        <v>4</v>
      </c>
      <c r="B172">
        <f t="shared" si="6"/>
        <v>65.400000000000006</v>
      </c>
      <c r="C172" s="31">
        <f t="shared" si="7"/>
        <v>2.5840000000000032</v>
      </c>
      <c r="D172" s="31">
        <f t="shared" si="8"/>
        <v>3.4909230769230817</v>
      </c>
      <c r="E172" s="31">
        <f t="shared" si="9"/>
        <v>-4.0164728637640934</v>
      </c>
    </row>
    <row r="173" spans="1:9">
      <c r="A173">
        <f t="shared" si="6"/>
        <v>5</v>
      </c>
      <c r="B173">
        <f t="shared" si="6"/>
        <v>69.5</v>
      </c>
      <c r="C173" s="31">
        <f t="shared" si="7"/>
        <v>6.6839999999999975</v>
      </c>
      <c r="D173" s="31">
        <f t="shared" si="8"/>
        <v>7.4901538461538451</v>
      </c>
      <c r="E173" s="31">
        <f t="shared" si="9"/>
        <v>-0.6530463506207127</v>
      </c>
    </row>
    <row r="174" spans="1:9">
      <c r="A174">
        <f t="shared" si="6"/>
        <v>6</v>
      </c>
      <c r="B174">
        <f t="shared" si="6"/>
        <v>70.900000000000006</v>
      </c>
      <c r="C174" s="31">
        <f t="shared" si="7"/>
        <v>8.0840000000000032</v>
      </c>
      <c r="D174" s="31">
        <f t="shared" si="8"/>
        <v>8.7893846153846198</v>
      </c>
      <c r="E174" s="31">
        <f t="shared" si="9"/>
        <v>-0.4509907644214195</v>
      </c>
    </row>
    <row r="175" spans="1:9">
      <c r="A175">
        <f t="shared" si="6"/>
        <v>7</v>
      </c>
      <c r="B175">
        <f t="shared" si="6"/>
        <v>66.7</v>
      </c>
      <c r="C175" s="31">
        <f t="shared" si="7"/>
        <v>3.8840000000000003</v>
      </c>
      <c r="D175" s="31">
        <f t="shared" si="8"/>
        <v>4.488615384615386</v>
      </c>
      <c r="E175" s="31">
        <f t="shared" si="9"/>
        <v>-4.4044285629023818</v>
      </c>
    </row>
    <row r="176" spans="1:9">
      <c r="A176">
        <f t="shared" si="6"/>
        <v>8</v>
      </c>
      <c r="B176">
        <f t="shared" si="6"/>
        <v>56.5</v>
      </c>
      <c r="C176" s="31">
        <f t="shared" si="7"/>
        <v>-6.3160000000000025</v>
      </c>
      <c r="D176" s="31">
        <f t="shared" si="8"/>
        <v>-5.8121538461538478</v>
      </c>
      <c r="E176" s="31">
        <f t="shared" si="9"/>
        <v>0.50809639567525977</v>
      </c>
    </row>
    <row r="177" spans="1:5">
      <c r="A177">
        <f t="shared" si="6"/>
        <v>9</v>
      </c>
      <c r="B177">
        <f t="shared" si="6"/>
        <v>62.5</v>
      </c>
      <c r="C177" s="31">
        <f t="shared" si="7"/>
        <v>-0.3160000000000025</v>
      </c>
      <c r="D177" s="31">
        <f t="shared" si="8"/>
        <v>8.7076923076921275E-2</v>
      </c>
      <c r="E177" s="31">
        <f t="shared" si="9"/>
        <v>0.14550763112529808</v>
      </c>
    </row>
    <row r="178" spans="1:5">
      <c r="A178">
        <f t="shared" si="6"/>
        <v>10</v>
      </c>
      <c r="B178">
        <f t="shared" si="6"/>
        <v>71.099999999999994</v>
      </c>
      <c r="C178" s="31">
        <f t="shared" si="7"/>
        <v>8.2839999999999918</v>
      </c>
      <c r="D178" s="31">
        <f t="shared" si="8"/>
        <v>8.5863076923076846</v>
      </c>
      <c r="E178" s="31">
        <f t="shared" si="9"/>
        <v>5.9814698295060111</v>
      </c>
    </row>
    <row r="179" spans="1:5">
      <c r="A179">
        <f t="shared" si="6"/>
        <v>11</v>
      </c>
      <c r="B179">
        <f t="shared" si="6"/>
        <v>80.599999999999994</v>
      </c>
      <c r="C179" s="31">
        <f t="shared" si="7"/>
        <v>17.783999999999992</v>
      </c>
      <c r="D179" s="31">
        <f t="shared" si="8"/>
        <v>17.985538461538454</v>
      </c>
      <c r="E179" s="31">
        <f t="shared" si="9"/>
        <v>3.89027912130841</v>
      </c>
    </row>
    <row r="180" spans="1:5">
      <c r="A180">
        <f t="shared" si="6"/>
        <v>12</v>
      </c>
      <c r="B180">
        <f t="shared" si="6"/>
        <v>77.900000000000006</v>
      </c>
      <c r="C180" s="31">
        <f t="shared" si="7"/>
        <v>15.084000000000003</v>
      </c>
      <c r="D180" s="31">
        <f t="shared" si="8"/>
        <v>15.184769230769234</v>
      </c>
      <c r="E180" s="31">
        <f t="shared" si="9"/>
        <v>-3.6216489828455778</v>
      </c>
    </row>
    <row r="181" spans="1:5">
      <c r="A181">
        <f t="shared" si="6"/>
        <v>13</v>
      </c>
      <c r="B181">
        <f t="shared" si="6"/>
        <v>61.4</v>
      </c>
      <c r="C181" s="31">
        <f t="shared" si="7"/>
        <v>-1.4160000000000039</v>
      </c>
      <c r="D181" s="31">
        <f t="shared" si="8"/>
        <v>-1.4160000000000039</v>
      </c>
      <c r="E181" s="31">
        <f t="shared" si="9"/>
        <v>3.4702309559316049</v>
      </c>
    </row>
    <row r="182" spans="1:5">
      <c r="A182">
        <f t="shared" si="6"/>
        <v>14</v>
      </c>
      <c r="B182">
        <f t="shared" si="6"/>
        <v>66.900000000000006</v>
      </c>
      <c r="C182" s="31">
        <f t="shared" si="7"/>
        <v>4.0840000000000032</v>
      </c>
      <c r="D182" s="31">
        <f t="shared" si="8"/>
        <v>3.9832307692307722</v>
      </c>
      <c r="E182" s="31">
        <f t="shared" si="9"/>
        <v>0.12314229888878003</v>
      </c>
    </row>
    <row r="183" spans="1:5">
      <c r="A183">
        <f t="shared" si="6"/>
        <v>15</v>
      </c>
      <c r="B183">
        <f t="shared" si="6"/>
        <v>64.7</v>
      </c>
      <c r="C183" s="31">
        <f t="shared" si="7"/>
        <v>1.8840000000000003</v>
      </c>
      <c r="D183" s="31">
        <f t="shared" si="8"/>
        <v>1.6824615384615385</v>
      </c>
      <c r="E183" s="31">
        <f t="shared" si="9"/>
        <v>-0.62562583269099292</v>
      </c>
    </row>
    <row r="184" spans="1:5">
      <c r="A184">
        <f t="shared" si="6"/>
        <v>16</v>
      </c>
      <c r="B184">
        <f t="shared" si="6"/>
        <v>60.7</v>
      </c>
      <c r="C184" s="31">
        <f t="shared" si="7"/>
        <v>-2.1159999999999997</v>
      </c>
      <c r="D184" s="31">
        <f t="shared" si="8"/>
        <v>-2.4183076923076854</v>
      </c>
      <c r="E184" s="31">
        <f t="shared" si="9"/>
        <v>1.4432601407572108</v>
      </c>
    </row>
    <row r="185" spans="1:5">
      <c r="A185">
        <f t="shared" si="6"/>
        <v>17</v>
      </c>
      <c r="B185">
        <f t="shared" si="6"/>
        <v>55.9</v>
      </c>
      <c r="C185" s="31">
        <f t="shared" si="7"/>
        <v>-6.9160000000000039</v>
      </c>
      <c r="D185" s="31">
        <f t="shared" si="8"/>
        <v>-7.3190769230769206</v>
      </c>
      <c r="E185" s="31">
        <f t="shared" si="9"/>
        <v>-0.30723558052229549</v>
      </c>
    </row>
    <row r="186" spans="1:5">
      <c r="A186">
        <f t="shared" si="6"/>
        <v>18</v>
      </c>
      <c r="B186">
        <f t="shared" si="6"/>
        <v>53.2</v>
      </c>
      <c r="C186" s="31">
        <f t="shared" si="7"/>
        <v>-9.6159999999999997</v>
      </c>
      <c r="D186" s="31">
        <f t="shared" si="8"/>
        <v>-10.119846153846147</v>
      </c>
      <c r="E186" s="31">
        <f t="shared" si="9"/>
        <v>-0.3979601954848988</v>
      </c>
    </row>
    <row r="187" spans="1:5">
      <c r="A187">
        <f t="shared" si="6"/>
        <v>19</v>
      </c>
      <c r="B187">
        <f t="shared" si="6"/>
        <v>62.2</v>
      </c>
      <c r="C187" s="31">
        <f t="shared" si="7"/>
        <v>-0.61599999999999966</v>
      </c>
      <c r="D187" s="31">
        <f t="shared" si="8"/>
        <v>-1.2206153846153782</v>
      </c>
      <c r="E187" s="31">
        <f t="shared" si="9"/>
        <v>3.8818154381144581</v>
      </c>
    </row>
    <row r="188" spans="1:5">
      <c r="A188">
        <f t="shared" si="6"/>
        <v>20</v>
      </c>
      <c r="B188">
        <f t="shared" si="6"/>
        <v>69.3</v>
      </c>
      <c r="C188" s="31">
        <f t="shared" si="7"/>
        <v>6.4839999999999947</v>
      </c>
      <c r="D188" s="31">
        <f t="shared" si="8"/>
        <v>5.7786153846153852</v>
      </c>
      <c r="E188" s="31">
        <f t="shared" si="9"/>
        <v>-0.88481018245320797</v>
      </c>
    </row>
    <row r="189" spans="1:5">
      <c r="A189">
        <f t="shared" si="6"/>
        <v>21</v>
      </c>
      <c r="B189">
        <f t="shared" si="6"/>
        <v>57.7</v>
      </c>
      <c r="C189" s="31">
        <f t="shared" si="7"/>
        <v>-5.1159999999999997</v>
      </c>
      <c r="D189" s="31">
        <f t="shared" si="8"/>
        <v>-5.9221538461538401</v>
      </c>
      <c r="E189" s="31">
        <f t="shared" si="9"/>
        <v>2.9778795945038752</v>
      </c>
    </row>
    <row r="190" spans="1:5">
      <c r="A190">
        <f t="shared" si="6"/>
        <v>22</v>
      </c>
      <c r="B190">
        <f t="shared" si="6"/>
        <v>62.8</v>
      </c>
      <c r="C190" s="31">
        <f t="shared" si="7"/>
        <v>-1.6000000000005343E-2</v>
      </c>
      <c r="D190" s="31">
        <f t="shared" si="8"/>
        <v>-0.92292307692307674</v>
      </c>
      <c r="E190" s="31">
        <f t="shared" si="9"/>
        <v>-0.42481897666195323</v>
      </c>
    </row>
    <row r="191" spans="1:5">
      <c r="A191">
        <f t="shared" si="6"/>
        <v>23</v>
      </c>
      <c r="B191">
        <f t="shared" si="6"/>
        <v>62.7</v>
      </c>
      <c r="C191" s="31">
        <f t="shared" si="7"/>
        <v>-0.11599999999999966</v>
      </c>
      <c r="D191" s="31">
        <f t="shared" si="8"/>
        <v>-1.123692307692302</v>
      </c>
      <c r="E191" s="31">
        <f t="shared" si="9"/>
        <v>-1.5595715648118116</v>
      </c>
    </row>
    <row r="192" spans="1:5">
      <c r="A192">
        <f t="shared" si="6"/>
        <v>24</v>
      </c>
      <c r="B192">
        <f t="shared" si="6"/>
        <v>61.8</v>
      </c>
      <c r="C192" s="31">
        <f t="shared" si="7"/>
        <v>-1.0160000000000053</v>
      </c>
      <c r="D192" s="31">
        <f t="shared" si="8"/>
        <v>-2.1244615384615386</v>
      </c>
      <c r="E192" s="31">
        <f t="shared" si="9"/>
        <v>-3.5533972202215196</v>
      </c>
    </row>
    <row r="193" spans="1:5">
      <c r="A193">
        <f t="shared" si="6"/>
        <v>25</v>
      </c>
      <c r="B193">
        <f t="shared" si="6"/>
        <v>60.9</v>
      </c>
      <c r="C193" s="31">
        <f t="shared" si="7"/>
        <v>-1.9160000000000039</v>
      </c>
      <c r="D193" s="31">
        <f t="shared" si="8"/>
        <v>-3.1252307692307753</v>
      </c>
      <c r="E193" s="31">
        <f t="shared" si="9"/>
        <v>0</v>
      </c>
    </row>
    <row r="194" spans="1:5">
      <c r="A194" s="27"/>
      <c r="B194" t="str">
        <f>B168</f>
        <v>Data</v>
      </c>
      <c r="C194" t="str">
        <f>C168</f>
        <v>Res Mean</v>
      </c>
      <c r="D194" t="str">
        <f>D168</f>
        <v>Res Trend</v>
      </c>
      <c r="E194" t="str">
        <f>E168</f>
        <v>Res Multiple Regression</v>
      </c>
    </row>
    <row r="195" spans="1:5">
      <c r="A195" s="27" t="s">
        <v>56</v>
      </c>
      <c r="B195">
        <f>AVERAGE(Sheet1!B169:B193)</f>
        <v>62.816000000000003</v>
      </c>
      <c r="C195">
        <f>AVERAGE(Sheet1!C169:C193)</f>
        <v>-1.7053025658242404E-15</v>
      </c>
      <c r="D195">
        <f>AVERAGE(Sheet1!D169:D193)</f>
        <v>8.5265128291212019E-16</v>
      </c>
      <c r="E195">
        <f>AVERAGE(Sheet1!E169:E193)</f>
        <v>-3.6578740036929955E-13</v>
      </c>
    </row>
    <row r="196" spans="1:5">
      <c r="A196" s="27" t="s">
        <v>57</v>
      </c>
      <c r="B196" s="27">
        <f>STDEVP(Sheet1!B169:B193)</f>
        <v>7.9239727409929772</v>
      </c>
      <c r="C196" s="27">
        <f>STDEVP(Sheet1!C169:C193)</f>
        <v>7.9239727409929914</v>
      </c>
      <c r="D196" s="27">
        <f>STDEVP(Sheet1!D169:D193)</f>
        <v>7.8905838333274945</v>
      </c>
      <c r="E196" s="27">
        <f>STDEVP(Sheet1!E169:E193)</f>
        <v>2.6430073285618092</v>
      </c>
    </row>
    <row r="197" spans="1:5">
      <c r="A197" s="27" t="s">
        <v>58</v>
      </c>
      <c r="B197">
        <f>Sheet1!B195-Sheet1!B196*TINV((1-0.95)/2,COUNT(Sheet1!B169:B193))/COUNT(Sheet1!B169:B193)^0.5</f>
        <v>59.036882771169346</v>
      </c>
      <c r="C197">
        <f>Sheet1!C195-Sheet1!C196*TINV((1-0.95)/2,COUNT(Sheet1!C169:C193))/COUNT(Sheet1!C169:C193)^0.5</f>
        <v>-3.7791172288306631</v>
      </c>
      <c r="D197">
        <f>Sheet1!D195-Sheet1!D196*TINV((1-0.95)/2,COUNT(Sheet1!D169:D193))/COUNT(Sheet1!D169:D193)^0.5</f>
        <v>-3.7631933229396486</v>
      </c>
      <c r="E197">
        <f>Sheet1!E195-Sheet1!E196*TINV((1-0.95)/2,COUNT(Sheet1!E169:E193))/COUNT(Sheet1!E169:E193)^0.5</f>
        <v>-1.2605084416336416</v>
      </c>
    </row>
    <row r="198" spans="1:5">
      <c r="A198" s="27" t="s">
        <v>59</v>
      </c>
      <c r="B198">
        <f>Sheet1!B195+Sheet1!B196*TINV((1-0.95)/2,COUNT(Sheet1!B169:B193))/COUNT(Sheet1!B169:B193)^0.5</f>
        <v>66.595117228830659</v>
      </c>
      <c r="C198">
        <f>Sheet1!C195+Sheet1!C196*TINV((1-0.95)/2,COUNT(Sheet1!C169:C193))/COUNT(Sheet1!C169:C193)^0.5</f>
        <v>3.7791172288306596</v>
      </c>
      <c r="D198">
        <f>Sheet1!D195+Sheet1!D196*TINV((1-0.95)/2,COUNT(Sheet1!D169:D193))/COUNT(Sheet1!D169:D193)^0.5</f>
        <v>3.7631933229396504</v>
      </c>
      <c r="E198">
        <f>Sheet1!E195+Sheet1!E196*TINV((1-0.95)/2,COUNT(Sheet1!E169:E193))/COUNT(Sheet1!E169:E193)^0.5</f>
        <v>1.2605084416329102</v>
      </c>
    </row>
    <row r="199" spans="1:5">
      <c r="A199" s="27" t="s">
        <v>60</v>
      </c>
      <c r="B199">
        <f>(Sheet1!B196/Sheet1!B195)*100</f>
        <v>12.614577083852804</v>
      </c>
      <c r="C199">
        <f>(Sheet1!C196/Sheet1!C195)*100</f>
        <v>-4.6466667556809901E+17</v>
      </c>
      <c r="D199">
        <f>(Sheet1!D196/Sheet1!D195)*100</f>
        <v>9.2541745863305638E+17</v>
      </c>
      <c r="E199">
        <f>(Sheet1!E196/Sheet1!E195)*100</f>
        <v>-722552861551115.37</v>
      </c>
    </row>
    <row r="200" spans="1:5">
      <c r="A200" s="27" t="s">
        <v>61</v>
      </c>
      <c r="B200">
        <f>MIN(Sheet1!B169:B193)</f>
        <v>47.3</v>
      </c>
      <c r="C200">
        <f>MIN(Sheet1!C169:C193)</f>
        <v>-15.516000000000005</v>
      </c>
      <c r="D200">
        <f>MIN(Sheet1!D169:D193)</f>
        <v>-14.407538461538465</v>
      </c>
      <c r="E200">
        <f>MIN(Sheet1!E169:E193)</f>
        <v>-4.4044285629023818</v>
      </c>
    </row>
    <row r="201" spans="1:5">
      <c r="A201" s="27" t="s">
        <v>62</v>
      </c>
      <c r="B201">
        <f>MEDIAN(Sheet1!B169:B193)</f>
        <v>62.5</v>
      </c>
      <c r="C201">
        <f>MEDIAN(Sheet1!C169:C193)</f>
        <v>-0.3160000000000025</v>
      </c>
      <c r="D201">
        <f>MEDIAN(Sheet1!D169:D193)</f>
        <v>-1.123692307692302</v>
      </c>
      <c r="E201">
        <f>MEDIAN(Sheet1!E169:E193)</f>
        <v>-0.30723558052229549</v>
      </c>
    </row>
    <row r="202" spans="1:5">
      <c r="A202" s="27" t="s">
        <v>63</v>
      </c>
      <c r="B202">
        <f>MAX(Sheet1!B169:B193)</f>
        <v>80.599999999999994</v>
      </c>
      <c r="C202">
        <f>MAX(Sheet1!C169:C193)</f>
        <v>17.783999999999992</v>
      </c>
      <c r="D202">
        <f>MAX(Sheet1!D169:D193)</f>
        <v>17.985538461538454</v>
      </c>
      <c r="E202">
        <f>MAX(Sheet1!E169:E193)</f>
        <v>5.9814698295060111</v>
      </c>
    </row>
    <row r="203" spans="1:5">
      <c r="A203" s="27" t="s">
        <v>64</v>
      </c>
      <c r="B203">
        <f>SKEW(Sheet1!B169:B193)</f>
        <v>0.11963497581865272</v>
      </c>
      <c r="C203">
        <f>SKEW(Sheet1!C169:C193)</f>
        <v>0.11963497581865318</v>
      </c>
      <c r="D203">
        <f>SKEW(Sheet1!D169:D193)</f>
        <v>0.29599305720741775</v>
      </c>
      <c r="E203">
        <f>SKEW(Sheet1!E169:E193)</f>
        <v>0.22119318370260538</v>
      </c>
    </row>
    <row r="204" spans="1:5">
      <c r="A204" s="27" t="s">
        <v>65</v>
      </c>
      <c r="B204">
        <f>KURT(Sheet1!B169:B193)</f>
        <v>0.265905529028168</v>
      </c>
      <c r="C204">
        <f>KURT(Sheet1!C169:C193)</f>
        <v>0.265905529028168</v>
      </c>
      <c r="D204">
        <f>KURT(Sheet1!D169:D193)</f>
        <v>7.4097906830383753E-2</v>
      </c>
      <c r="E204">
        <f>KURT(Sheet1!E169:E193)</f>
        <v>-0.17668440488745007</v>
      </c>
    </row>
  </sheetData>
  <phoneticPr fontId="0" type="noConversion"/>
  <conditionalFormatting sqref="B127:B128">
    <cfRule type="expression" dxfId="3" priority="1" stopIfTrue="1">
      <formula>$B$131&lt;=(1-$A$127)</formula>
    </cfRule>
  </conditionalFormatting>
  <conditionalFormatting sqref="C127:C128">
    <cfRule type="expression" dxfId="2" priority="2" stopIfTrue="1">
      <formula>$C$131&lt;=(1-$A$127)</formula>
    </cfRule>
  </conditionalFormatting>
  <conditionalFormatting sqref="D127:D128">
    <cfRule type="expression" dxfId="1" priority="3" stopIfTrue="1">
      <formula>$D$131&lt;=(1-$A$127)</formula>
    </cfRule>
  </conditionalFormatting>
  <conditionalFormatting sqref="E127:E128">
    <cfRule type="expression" dxfId="0" priority="4" stopIfTrue="1">
      <formula>$E$131&lt;=(1-$A$127)</formula>
    </cfRule>
  </conditionalFormatting>
  <pageMargins left="1.1299999999999999" right="0.75" top="1.1100000000000001" bottom="0.56999999999999995" header="0.5" footer="0.5"/>
  <pageSetup scale="51" orientation="portrait" r:id="rId1"/>
  <headerFooter alignWithMargins="0"/>
  <rowBreaks count="3" manualBreakCount="3">
    <brk id="4" max="17" man="1"/>
    <brk id="42" max="17" man="1"/>
    <brk id="8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5"/>
  <sheetViews>
    <sheetView workbookViewId="0"/>
  </sheetViews>
  <sheetFormatPr defaultRowHeight="12.75"/>
  <sheetData>
    <row r="1" spans="2:6">
      <c r="B1">
        <v>47.7</v>
      </c>
      <c r="C1">
        <v>62.816000000000003</v>
      </c>
      <c r="E1">
        <v>1</v>
      </c>
      <c r="F1">
        <v>-15.116</v>
      </c>
    </row>
    <row r="2" spans="2:6">
      <c r="B2">
        <v>47.3</v>
      </c>
      <c r="C2">
        <v>62.816000000000003</v>
      </c>
      <c r="E2">
        <v>2</v>
      </c>
      <c r="F2">
        <v>-15.516000000000005</v>
      </c>
    </row>
    <row r="3" spans="2:6">
      <c r="B3">
        <v>54.1</v>
      </c>
      <c r="C3">
        <v>62.816000000000003</v>
      </c>
      <c r="E3">
        <v>3</v>
      </c>
      <c r="F3">
        <v>-8.7160000000000011</v>
      </c>
    </row>
    <row r="4" spans="2:6">
      <c r="B4">
        <v>65.400000000000006</v>
      </c>
      <c r="C4">
        <v>62.816000000000003</v>
      </c>
      <c r="E4">
        <v>4</v>
      </c>
      <c r="F4">
        <v>2.5840000000000032</v>
      </c>
    </row>
    <row r="5" spans="2:6">
      <c r="B5">
        <v>69.5</v>
      </c>
      <c r="C5">
        <v>62.816000000000003</v>
      </c>
      <c r="E5">
        <v>5</v>
      </c>
      <c r="F5">
        <v>6.6839999999999975</v>
      </c>
    </row>
    <row r="6" spans="2:6">
      <c r="B6">
        <v>70.900000000000006</v>
      </c>
      <c r="C6">
        <v>62.816000000000003</v>
      </c>
      <c r="E6">
        <v>6</v>
      </c>
      <c r="F6">
        <v>8.0840000000000032</v>
      </c>
    </row>
    <row r="7" spans="2:6">
      <c r="B7">
        <v>66.7</v>
      </c>
      <c r="C7">
        <v>62.816000000000003</v>
      </c>
      <c r="E7">
        <v>7</v>
      </c>
      <c r="F7">
        <v>3.8840000000000003</v>
      </c>
    </row>
    <row r="8" spans="2:6">
      <c r="B8">
        <v>56.5</v>
      </c>
      <c r="C8">
        <v>62.816000000000003</v>
      </c>
      <c r="E8">
        <v>8</v>
      </c>
      <c r="F8">
        <v>-6.3160000000000025</v>
      </c>
    </row>
    <row r="9" spans="2:6">
      <c r="B9">
        <v>62.5</v>
      </c>
      <c r="C9">
        <v>62.816000000000003</v>
      </c>
      <c r="E9">
        <v>9</v>
      </c>
      <c r="F9">
        <v>-0.3160000000000025</v>
      </c>
    </row>
    <row r="10" spans="2:6">
      <c r="B10">
        <v>71.099999999999994</v>
      </c>
      <c r="C10">
        <v>62.816000000000003</v>
      </c>
      <c r="E10">
        <v>10</v>
      </c>
      <c r="F10">
        <v>8.2839999999999918</v>
      </c>
    </row>
    <row r="11" spans="2:6">
      <c r="B11">
        <v>80.599999999999994</v>
      </c>
      <c r="C11">
        <v>62.816000000000003</v>
      </c>
      <c r="E11">
        <v>11</v>
      </c>
      <c r="F11">
        <v>17.783999999999992</v>
      </c>
    </row>
    <row r="12" spans="2:6">
      <c r="B12">
        <v>77.900000000000006</v>
      </c>
      <c r="C12">
        <v>62.816000000000003</v>
      </c>
      <c r="E12">
        <v>12</v>
      </c>
      <c r="F12">
        <v>15.084000000000003</v>
      </c>
    </row>
    <row r="13" spans="2:6">
      <c r="B13">
        <v>61.4</v>
      </c>
      <c r="C13">
        <v>62.816000000000003</v>
      </c>
      <c r="E13">
        <v>13</v>
      </c>
      <c r="F13">
        <v>-1.4160000000000039</v>
      </c>
    </row>
    <row r="14" spans="2:6">
      <c r="B14">
        <v>66.900000000000006</v>
      </c>
      <c r="C14">
        <v>62.816000000000003</v>
      </c>
      <c r="E14">
        <v>14</v>
      </c>
      <c r="F14">
        <v>4.0840000000000032</v>
      </c>
    </row>
    <row r="15" spans="2:6">
      <c r="B15">
        <v>64.7</v>
      </c>
      <c r="C15">
        <v>62.816000000000003</v>
      </c>
      <c r="E15">
        <v>15</v>
      </c>
      <c r="F15">
        <v>1.8840000000000003</v>
      </c>
    </row>
    <row r="16" spans="2:6">
      <c r="B16">
        <v>60.7</v>
      </c>
      <c r="C16">
        <v>62.816000000000003</v>
      </c>
      <c r="E16">
        <v>16</v>
      </c>
      <c r="F16">
        <v>-2.1159999999999997</v>
      </c>
    </row>
    <row r="17" spans="2:6">
      <c r="B17">
        <v>55.9</v>
      </c>
      <c r="C17">
        <v>62.816000000000003</v>
      </c>
      <c r="E17">
        <v>17</v>
      </c>
      <c r="F17">
        <v>-6.9160000000000039</v>
      </c>
    </row>
    <row r="18" spans="2:6">
      <c r="B18">
        <v>53.2</v>
      </c>
      <c r="C18">
        <v>62.816000000000003</v>
      </c>
      <c r="E18">
        <v>18</v>
      </c>
      <c r="F18">
        <v>-9.6159999999999997</v>
      </c>
    </row>
    <row r="19" spans="2:6">
      <c r="B19">
        <v>62.2</v>
      </c>
      <c r="C19">
        <v>62.816000000000003</v>
      </c>
      <c r="E19">
        <v>19</v>
      </c>
      <c r="F19">
        <v>-0.61599999999999966</v>
      </c>
    </row>
    <row r="20" spans="2:6">
      <c r="B20">
        <v>69.3</v>
      </c>
      <c r="C20">
        <v>62.816000000000003</v>
      </c>
      <c r="E20">
        <v>20</v>
      </c>
      <c r="F20">
        <v>6.4839999999999947</v>
      </c>
    </row>
    <row r="21" spans="2:6">
      <c r="B21">
        <v>57.7</v>
      </c>
      <c r="C21">
        <v>62.816000000000003</v>
      </c>
      <c r="E21">
        <v>21</v>
      </c>
      <c r="F21">
        <v>-5.1159999999999997</v>
      </c>
    </row>
    <row r="22" spans="2:6">
      <c r="B22">
        <v>62.8</v>
      </c>
      <c r="C22">
        <v>62.816000000000003</v>
      </c>
      <c r="E22">
        <v>22</v>
      </c>
      <c r="F22">
        <v>-1.6000000000005343E-2</v>
      </c>
    </row>
    <row r="23" spans="2:6">
      <c r="B23">
        <v>62.7</v>
      </c>
      <c r="C23">
        <v>62.816000000000003</v>
      </c>
      <c r="E23">
        <v>23</v>
      </c>
      <c r="F23">
        <v>-0.11599999999999966</v>
      </c>
    </row>
    <row r="24" spans="2:6">
      <c r="B24">
        <v>61.8</v>
      </c>
      <c r="C24">
        <v>62.816000000000003</v>
      </c>
      <c r="E24">
        <v>24</v>
      </c>
      <c r="F24">
        <v>-1.0160000000000053</v>
      </c>
    </row>
    <row r="25" spans="2:6">
      <c r="B25">
        <v>60.9</v>
      </c>
      <c r="C25">
        <v>62.816000000000003</v>
      </c>
      <c r="E25">
        <v>25</v>
      </c>
      <c r="F25">
        <v>-1.9160000000000039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2000-08-05T16:39:12Z</cp:lastPrinted>
  <dcterms:created xsi:type="dcterms:W3CDTF">1999-04-26T02:34:25Z</dcterms:created>
  <dcterms:modified xsi:type="dcterms:W3CDTF">2011-02-07T04:37:28Z</dcterms:modified>
</cp:coreProperties>
</file>