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55" windowWidth="11160" windowHeight="6900"/>
  </bookViews>
  <sheets>
    <sheet name="Sheet1" sheetId="1" r:id="rId1"/>
    <sheet name="SimData" sheetId="7" r:id="rId2"/>
    <sheet name="SERFTbl1" sheetId="11" r:id="rId3"/>
    <sheet name="Chart1" sheetId="10" r:id="rId4"/>
  </sheets>
  <definedNames>
    <definedName name="_xlnm.Print_Area" localSheetId="0">Sheet1!$A$1:$H$97</definedName>
  </definedNames>
  <calcPr calcId="125725"/>
</workbook>
</file>

<file path=xl/calcChain.xml><?xml version="1.0" encoding="utf-8"?>
<calcChain xmlns="http://schemas.openxmlformats.org/spreadsheetml/2006/main">
  <c r="B4" i="11"/>
  <c r="B12"/>
  <c r="B13" s="1"/>
  <c r="B11"/>
  <c r="I11"/>
  <c r="I12"/>
  <c r="E9"/>
  <c r="E8"/>
  <c r="D5"/>
  <c r="D3"/>
  <c r="A1"/>
  <c r="P119" i="7"/>
  <c r="P117"/>
  <c r="P115"/>
  <c r="P113"/>
  <c r="P111"/>
  <c r="P8"/>
  <c r="G11" i="11" s="1"/>
  <c r="N11" s="1"/>
  <c r="P7" i="7"/>
  <c r="P6"/>
  <c r="P4"/>
  <c r="P5" s="1"/>
  <c r="P3"/>
  <c r="O119"/>
  <c r="O117"/>
  <c r="O115"/>
  <c r="O113"/>
  <c r="O111"/>
  <c r="O8"/>
  <c r="F11" i="11" s="1"/>
  <c r="M11" s="1"/>
  <c r="O7" i="7"/>
  <c r="O6"/>
  <c r="O4"/>
  <c r="O3"/>
  <c r="N119"/>
  <c r="N117"/>
  <c r="N115"/>
  <c r="N113"/>
  <c r="N111"/>
  <c r="N8"/>
  <c r="E11" i="11" s="1"/>
  <c r="L11" s="1"/>
  <c r="N7" i="7"/>
  <c r="N6"/>
  <c r="N4"/>
  <c r="N5" s="1"/>
  <c r="N3"/>
  <c r="M119"/>
  <c r="M117"/>
  <c r="M115"/>
  <c r="M113"/>
  <c r="M111"/>
  <c r="M8"/>
  <c r="D11" i="11" s="1"/>
  <c r="K11" s="1"/>
  <c r="M7" i="7"/>
  <c r="M6"/>
  <c r="M4"/>
  <c r="M3"/>
  <c r="L119"/>
  <c r="L117"/>
  <c r="L115"/>
  <c r="L113"/>
  <c r="L111"/>
  <c r="L8"/>
  <c r="C11" i="11" s="1"/>
  <c r="I3" s="1"/>
  <c r="I1" s="1"/>
  <c r="L7" i="7"/>
  <c r="L6"/>
  <c r="L4"/>
  <c r="L5" s="1"/>
  <c r="L3"/>
  <c r="K119"/>
  <c r="K117"/>
  <c r="K115"/>
  <c r="K113"/>
  <c r="K111"/>
  <c r="K8"/>
  <c r="K7"/>
  <c r="K6"/>
  <c r="K4"/>
  <c r="K3"/>
  <c r="J119"/>
  <c r="J117"/>
  <c r="J115"/>
  <c r="J113"/>
  <c r="J111"/>
  <c r="J8"/>
  <c r="J7"/>
  <c r="J6"/>
  <c r="J4"/>
  <c r="J5" s="1"/>
  <c r="J3"/>
  <c r="I119"/>
  <c r="I117"/>
  <c r="I115"/>
  <c r="I113"/>
  <c r="I111"/>
  <c r="I8"/>
  <c r="I7"/>
  <c r="I6"/>
  <c r="I4"/>
  <c r="I3"/>
  <c r="H119"/>
  <c r="H117"/>
  <c r="H115"/>
  <c r="H113"/>
  <c r="H111"/>
  <c r="H8"/>
  <c r="H7"/>
  <c r="H6"/>
  <c r="H4"/>
  <c r="H5" s="1"/>
  <c r="H3"/>
  <c r="G119"/>
  <c r="G117"/>
  <c r="G115"/>
  <c r="G113"/>
  <c r="G111"/>
  <c r="G8"/>
  <c r="G7"/>
  <c r="G6"/>
  <c r="G4"/>
  <c r="G3"/>
  <c r="F119"/>
  <c r="F117"/>
  <c r="F115"/>
  <c r="F113"/>
  <c r="F111"/>
  <c r="F8"/>
  <c r="Z2" s="1"/>
  <c r="F7"/>
  <c r="F6"/>
  <c r="F4"/>
  <c r="F5" s="1"/>
  <c r="F3"/>
  <c r="E119"/>
  <c r="E117"/>
  <c r="E115"/>
  <c r="E113"/>
  <c r="E111"/>
  <c r="E8"/>
  <c r="X2" s="1"/>
  <c r="E7"/>
  <c r="E6"/>
  <c r="E4"/>
  <c r="E3"/>
  <c r="D119"/>
  <c r="D117"/>
  <c r="D115"/>
  <c r="D113"/>
  <c r="D111"/>
  <c r="D8"/>
  <c r="V2" s="1"/>
  <c r="D7"/>
  <c r="D6"/>
  <c r="D4"/>
  <c r="D5" s="1"/>
  <c r="D3"/>
  <c r="C119"/>
  <c r="C117"/>
  <c r="C115"/>
  <c r="C113"/>
  <c r="C111"/>
  <c r="C8"/>
  <c r="T2" s="1"/>
  <c r="C7"/>
  <c r="C6"/>
  <c r="C4"/>
  <c r="C3"/>
  <c r="B119"/>
  <c r="B117"/>
  <c r="B115"/>
  <c r="B113"/>
  <c r="B111"/>
  <c r="B8"/>
  <c r="R2" s="1"/>
  <c r="B7"/>
  <c r="B6"/>
  <c r="B4"/>
  <c r="B5" s="1"/>
  <c r="B3"/>
  <c r="C44" i="1"/>
  <c r="C58"/>
  <c r="B52"/>
  <c r="B54" s="1"/>
  <c r="B60" s="1"/>
  <c r="B58"/>
  <c r="C69"/>
  <c r="C70"/>
  <c r="C77" s="1"/>
  <c r="D44"/>
  <c r="D58"/>
  <c r="D69"/>
  <c r="D70" s="1"/>
  <c r="E44"/>
  <c r="E58"/>
  <c r="E69"/>
  <c r="E70"/>
  <c r="E73" s="1"/>
  <c r="F44"/>
  <c r="F58"/>
  <c r="F69"/>
  <c r="G44"/>
  <c r="G58"/>
  <c r="G69"/>
  <c r="G70"/>
  <c r="G77"/>
  <c r="C73"/>
  <c r="G86"/>
  <c r="C86"/>
  <c r="C89" s="1"/>
  <c r="D86"/>
  <c r="D89"/>
  <c r="E86"/>
  <c r="E89" s="1"/>
  <c r="F86"/>
  <c r="F89"/>
  <c r="AA4" i="7"/>
  <c r="AA5" s="1"/>
  <c r="AA6" s="1"/>
  <c r="AA7" s="1"/>
  <c r="AA8" s="1"/>
  <c r="AA9" s="1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Y4"/>
  <c r="Y5" s="1"/>
  <c r="Y6" s="1"/>
  <c r="Y7" s="1"/>
  <c r="Y8" s="1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Y101" s="1"/>
  <c r="Y102" s="1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W4"/>
  <c r="W5"/>
  <c r="W6" s="1"/>
  <c r="W7" s="1"/>
  <c r="W8" s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  <c r="W61" s="1"/>
  <c r="W62" s="1"/>
  <c r="W63" s="1"/>
  <c r="W64" s="1"/>
  <c r="W65" s="1"/>
  <c r="W66" s="1"/>
  <c r="W67" s="1"/>
  <c r="W68" s="1"/>
  <c r="W69" s="1"/>
  <c r="W70" s="1"/>
  <c r="W71" s="1"/>
  <c r="W72" s="1"/>
  <c r="W73" s="1"/>
  <c r="W74" s="1"/>
  <c r="W75" s="1"/>
  <c r="W76" s="1"/>
  <c r="W77" s="1"/>
  <c r="W78" s="1"/>
  <c r="W79" s="1"/>
  <c r="W80" s="1"/>
  <c r="W81" s="1"/>
  <c r="W82" s="1"/>
  <c r="W83" s="1"/>
  <c r="W84" s="1"/>
  <c r="W85" s="1"/>
  <c r="W86" s="1"/>
  <c r="W87" s="1"/>
  <c r="W88" s="1"/>
  <c r="W89" s="1"/>
  <c r="W90" s="1"/>
  <c r="W91" s="1"/>
  <c r="W92" s="1"/>
  <c r="W93" s="1"/>
  <c r="W94" s="1"/>
  <c r="W95" s="1"/>
  <c r="W96" s="1"/>
  <c r="W97" s="1"/>
  <c r="W98" s="1"/>
  <c r="W99" s="1"/>
  <c r="W100" s="1"/>
  <c r="W101" s="1"/>
  <c r="W102" s="1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U4"/>
  <c r="U5"/>
  <c r="U6" s="1"/>
  <c r="U7" s="1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S4"/>
  <c r="S5"/>
  <c r="S6" s="1"/>
  <c r="S7" s="1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D24" i="1"/>
  <c r="E24" s="1"/>
  <c r="D32"/>
  <c r="D50" s="1"/>
  <c r="D68" s="1"/>
  <c r="D85" s="1"/>
  <c r="C32"/>
  <c r="C50" s="1"/>
  <c r="C68" s="1"/>
  <c r="C85" s="1"/>
  <c r="A77"/>
  <c r="G76"/>
  <c r="E76"/>
  <c r="D76"/>
  <c r="C76"/>
  <c r="A76"/>
  <c r="B50"/>
  <c r="C13" i="11"/>
  <c r="B26" i="1"/>
  <c r="C12" i="11"/>
  <c r="E12"/>
  <c r="G4"/>
  <c r="F13"/>
  <c r="E13"/>
  <c r="D13"/>
  <c r="P2" i="7"/>
  <c r="O2"/>
  <c r="N2"/>
  <c r="M2"/>
  <c r="L2"/>
  <c r="K2"/>
  <c r="J2"/>
  <c r="I2"/>
  <c r="H2"/>
  <c r="G2"/>
  <c r="F2"/>
  <c r="E2"/>
  <c r="D2"/>
  <c r="C2"/>
  <c r="B2"/>
  <c r="E92" i="1"/>
  <c r="G13" i="11"/>
  <c r="F12"/>
  <c r="D12"/>
  <c r="B25" i="1"/>
  <c r="A1"/>
  <c r="G12" i="11"/>
  <c r="N12" l="1"/>
  <c r="C25" i="1"/>
  <c r="K12" i="11"/>
  <c r="M12"/>
  <c r="N13"/>
  <c r="K13"/>
  <c r="L13"/>
  <c r="M13"/>
  <c r="L12"/>
  <c r="J12"/>
  <c r="J13"/>
  <c r="F24" i="1"/>
  <c r="E32"/>
  <c r="E50" s="1"/>
  <c r="E68" s="1"/>
  <c r="E85" s="1"/>
  <c r="B87"/>
  <c r="B89" s="1"/>
  <c r="B72"/>
  <c r="B73" s="1"/>
  <c r="F70"/>
  <c r="F76"/>
  <c r="E77"/>
  <c r="C5" i="7"/>
  <c r="E5"/>
  <c r="G5"/>
  <c r="I5"/>
  <c r="K5"/>
  <c r="M5"/>
  <c r="O5"/>
  <c r="J11" i="11"/>
  <c r="I13"/>
  <c r="B14"/>
  <c r="D73" i="1"/>
  <c r="D77"/>
  <c r="E14" i="11"/>
  <c r="C14"/>
  <c r="D14"/>
  <c r="F14"/>
  <c r="G14"/>
  <c r="N14" l="1"/>
  <c r="M14"/>
  <c r="K14"/>
  <c r="J14"/>
  <c r="L14"/>
  <c r="B15"/>
  <c r="I14"/>
  <c r="G24" i="1"/>
  <c r="G32" s="1"/>
  <c r="G50" s="1"/>
  <c r="G68" s="1"/>
  <c r="G85" s="1"/>
  <c r="F32"/>
  <c r="F50" s="1"/>
  <c r="F68" s="1"/>
  <c r="F85" s="1"/>
  <c r="F77"/>
  <c r="F73"/>
  <c r="C27"/>
  <c r="C26" s="1"/>
  <c r="D25"/>
  <c r="C15" i="11"/>
  <c r="D15"/>
  <c r="E15"/>
  <c r="F15"/>
  <c r="G15"/>
  <c r="C37" i="1"/>
  <c r="C38" l="1"/>
  <c r="C46" s="1"/>
  <c r="N15" i="11"/>
  <c r="M15"/>
  <c r="L15"/>
  <c r="K15"/>
  <c r="J15"/>
  <c r="I15"/>
  <c r="B16"/>
  <c r="E25" i="1"/>
  <c r="D27"/>
  <c r="D26" s="1"/>
  <c r="G16" i="11"/>
  <c r="D16"/>
  <c r="F16"/>
  <c r="C16"/>
  <c r="E16"/>
  <c r="D37" i="1"/>
  <c r="L16" i="11" l="1"/>
  <c r="J16"/>
  <c r="M16"/>
  <c r="K16"/>
  <c r="N16"/>
  <c r="B17"/>
  <c r="I16"/>
  <c r="D34" i="1"/>
  <c r="D38" s="1"/>
  <c r="D46" s="1"/>
  <c r="C52"/>
  <c r="C54" s="1"/>
  <c r="C60" s="1"/>
  <c r="E27"/>
  <c r="E26" s="1"/>
  <c r="F25"/>
  <c r="D17" i="11"/>
  <c r="E17"/>
  <c r="F17"/>
  <c r="G17"/>
  <c r="C17"/>
  <c r="E37" i="1"/>
  <c r="J17" i="11" l="1"/>
  <c r="N17"/>
  <c r="M17"/>
  <c r="L17"/>
  <c r="K17"/>
  <c r="I17"/>
  <c r="B18"/>
  <c r="G25" i="1"/>
  <c r="F27"/>
  <c r="F26" s="1"/>
  <c r="D52"/>
  <c r="D54" s="1"/>
  <c r="D60" s="1"/>
  <c r="E34"/>
  <c r="E38" s="1"/>
  <c r="E46" s="1"/>
  <c r="C62"/>
  <c r="C78"/>
  <c r="C79" s="1"/>
  <c r="C80" s="1"/>
  <c r="E18" i="11"/>
  <c r="C18"/>
  <c r="D18"/>
  <c r="F18"/>
  <c r="G18"/>
  <c r="F37" i="1"/>
  <c r="N18" i="11" l="1"/>
  <c r="M18"/>
  <c r="K18"/>
  <c r="J18"/>
  <c r="L18"/>
  <c r="D78" i="1"/>
  <c r="D79" s="1"/>
  <c r="D80" s="1"/>
  <c r="D62"/>
  <c r="F34"/>
  <c r="F38" s="1"/>
  <c r="F46" s="1"/>
  <c r="E52"/>
  <c r="E54" s="1"/>
  <c r="E60" s="1"/>
  <c r="B19" i="11"/>
  <c r="I18"/>
  <c r="G27" i="1"/>
  <c r="G26" s="1"/>
  <c r="C19" i="11"/>
  <c r="D19"/>
  <c r="E19"/>
  <c r="F19"/>
  <c r="G19"/>
  <c r="G37" i="1"/>
  <c r="N19" i="11" l="1"/>
  <c r="M19"/>
  <c r="L19"/>
  <c r="K19"/>
  <c r="J19"/>
  <c r="E62" i="1"/>
  <c r="E78"/>
  <c r="E79" s="1"/>
  <c r="E80" s="1"/>
  <c r="I19" i="11"/>
  <c r="B20"/>
  <c r="F52" i="1"/>
  <c r="F54" s="1"/>
  <c r="F60" s="1"/>
  <c r="G34"/>
  <c r="G38" s="1"/>
  <c r="G46" s="1"/>
  <c r="G52" s="1"/>
  <c r="G54" s="1"/>
  <c r="G60" s="1"/>
  <c r="G20" i="11"/>
  <c r="D20"/>
  <c r="F20"/>
  <c r="E20"/>
  <c r="C20"/>
  <c r="J20" l="1"/>
  <c r="L20"/>
  <c r="M20"/>
  <c r="K20"/>
  <c r="N20"/>
  <c r="F78" i="1"/>
  <c r="F79" s="1"/>
  <c r="F80" s="1"/>
  <c r="F62"/>
  <c r="B21" i="11"/>
  <c r="I20"/>
  <c r="G88" i="1"/>
  <c r="G89" s="1"/>
  <c r="C92" s="1"/>
  <c r="D92" s="1"/>
  <c r="B99" s="1"/>
  <c r="G62"/>
  <c r="G71"/>
  <c r="G73" s="1"/>
  <c r="G74" s="1"/>
  <c r="B100" s="1"/>
  <c r="G78"/>
  <c r="G79" s="1"/>
  <c r="G80" s="1"/>
  <c r="G81" s="1"/>
  <c r="B101" s="1"/>
  <c r="G21" i="11"/>
  <c r="D21"/>
  <c r="E21"/>
  <c r="F21"/>
  <c r="C21"/>
  <c r="J21" l="1"/>
  <c r="M21"/>
  <c r="L21"/>
  <c r="K21"/>
  <c r="N21"/>
  <c r="I21"/>
  <c r="B22"/>
  <c r="E22"/>
  <c r="C22"/>
  <c r="D22"/>
  <c r="F22"/>
  <c r="G22"/>
  <c r="N22" l="1"/>
  <c r="M22"/>
  <c r="K22"/>
  <c r="J22"/>
  <c r="L22"/>
  <c r="I22"/>
  <c r="B23"/>
  <c r="C23"/>
  <c r="D23"/>
  <c r="E23"/>
  <c r="F23"/>
  <c r="G23"/>
  <c r="N23" l="1"/>
  <c r="M23"/>
  <c r="L23"/>
  <c r="K23"/>
  <c r="J23"/>
  <c r="I23"/>
  <c r="B24"/>
  <c r="G24"/>
  <c r="D24"/>
  <c r="F24"/>
  <c r="C24"/>
  <c r="E24"/>
  <c r="L24" l="1"/>
  <c r="J24"/>
  <c r="M24"/>
  <c r="K24"/>
  <c r="N24"/>
  <c r="B25"/>
  <c r="I24"/>
  <c r="D25"/>
  <c r="E25"/>
  <c r="F25"/>
  <c r="G25"/>
  <c r="C25"/>
  <c r="J25" l="1"/>
  <c r="N25"/>
  <c r="M25"/>
  <c r="L25"/>
  <c r="K25"/>
  <c r="I25"/>
  <c r="B26"/>
  <c r="E26"/>
  <c r="C26"/>
  <c r="D26"/>
  <c r="F26"/>
  <c r="G26"/>
  <c r="N26" l="1"/>
  <c r="M26"/>
  <c r="K26"/>
  <c r="J26"/>
  <c r="L26"/>
  <c r="B27"/>
  <c r="I26"/>
  <c r="C27"/>
  <c r="D27"/>
  <c r="E27"/>
  <c r="F27"/>
  <c r="G27"/>
  <c r="N27" l="1"/>
  <c r="M27"/>
  <c r="L27"/>
  <c r="K27"/>
  <c r="J27"/>
  <c r="I27"/>
  <c r="B28"/>
  <c r="G28"/>
  <c r="D28"/>
  <c r="F28"/>
  <c r="E28"/>
  <c r="C28"/>
  <c r="J28" l="1"/>
  <c r="L28"/>
  <c r="M28"/>
  <c r="K28"/>
  <c r="N28"/>
  <c r="B29"/>
  <c r="I28"/>
  <c r="G29"/>
  <c r="D29"/>
  <c r="E29"/>
  <c r="F29"/>
  <c r="C29"/>
  <c r="J29" l="1"/>
  <c r="M29"/>
  <c r="L29"/>
  <c r="K29"/>
  <c r="N29"/>
  <c r="I29"/>
  <c r="B30"/>
  <c r="E30"/>
  <c r="C30"/>
  <c r="D30"/>
  <c r="F30"/>
  <c r="G30"/>
  <c r="N30" l="1"/>
  <c r="M30"/>
  <c r="K30"/>
  <c r="J30"/>
  <c r="L30"/>
  <c r="I30"/>
  <c r="B31"/>
  <c r="C31"/>
  <c r="D31"/>
  <c r="E31"/>
  <c r="F31"/>
  <c r="G31"/>
  <c r="N31" l="1"/>
  <c r="M31"/>
  <c r="L31"/>
  <c r="K31"/>
  <c r="J31"/>
  <c r="I31"/>
  <c r="B32"/>
  <c r="G32"/>
  <c r="D32"/>
  <c r="F32"/>
  <c r="E32"/>
  <c r="C32"/>
  <c r="J32" l="1"/>
  <c r="L32"/>
  <c r="M32"/>
  <c r="K32"/>
  <c r="N32"/>
  <c r="B33"/>
  <c r="I32"/>
  <c r="D33"/>
  <c r="E33"/>
  <c r="F33"/>
  <c r="G33"/>
  <c r="C33"/>
  <c r="J33" l="1"/>
  <c r="N33"/>
  <c r="M33"/>
  <c r="L33"/>
  <c r="K33"/>
  <c r="I33"/>
  <c r="B34"/>
  <c r="E34"/>
  <c r="C34"/>
  <c r="D34"/>
  <c r="F34"/>
  <c r="G34"/>
  <c r="N34" l="1"/>
  <c r="M34"/>
  <c r="K34"/>
  <c r="J34"/>
  <c r="L34"/>
  <c r="B35"/>
  <c r="I34"/>
  <c r="C35"/>
  <c r="D35"/>
  <c r="E35"/>
  <c r="F35"/>
  <c r="G35"/>
  <c r="N35" l="1"/>
  <c r="M35"/>
  <c r="L35"/>
  <c r="K35"/>
  <c r="J35"/>
  <c r="I35"/>
  <c r="B36"/>
  <c r="D36"/>
  <c r="F36"/>
  <c r="E36"/>
  <c r="C36"/>
  <c r="G36"/>
  <c r="N36" l="1"/>
  <c r="J36"/>
  <c r="L36"/>
  <c r="M36"/>
  <c r="K36"/>
  <c r="I36"/>
</calcChain>
</file>

<file path=xl/sharedStrings.xml><?xml version="1.0" encoding="utf-8"?>
<sst xmlns="http://schemas.openxmlformats.org/spreadsheetml/2006/main" count="110" uniqueCount="102">
  <si>
    <t>Assume there is a complete financial model that simulates the Income Statement for a business.</t>
  </si>
  <si>
    <t>The Cash Flow Statement and Balance Sheet are where we start for calculating Net Present Value</t>
  </si>
  <si>
    <t>and Internal Rate of Return.</t>
  </si>
  <si>
    <t>Scenario Names 1-5</t>
  </si>
  <si>
    <t>Stoch. Net Cash Income</t>
  </si>
  <si>
    <t>J Factor</t>
  </si>
  <si>
    <t xml:space="preserve">Beginning Cash </t>
  </si>
  <si>
    <t xml:space="preserve">Inflows </t>
  </si>
  <si>
    <t>Total Cash Available</t>
  </si>
  <si>
    <t>Outflows</t>
  </si>
  <si>
    <t>Principle Payments</t>
  </si>
  <si>
    <t>Operator Withdrawals</t>
  </si>
  <si>
    <t>Income Taxes</t>
  </si>
  <si>
    <t>Total Cash Outflows</t>
  </si>
  <si>
    <t>Ending Cash Balance</t>
  </si>
  <si>
    <t>Assets</t>
  </si>
  <si>
    <t>Cash</t>
  </si>
  <si>
    <t>Other</t>
  </si>
  <si>
    <t>Total</t>
  </si>
  <si>
    <t>Liabilities</t>
  </si>
  <si>
    <t>Real Estate</t>
  </si>
  <si>
    <t>Net Worth</t>
  </si>
  <si>
    <t>Real Net Worth</t>
  </si>
  <si>
    <t>Nominal Outflows to Owner</t>
  </si>
  <si>
    <t>P V of Outflows to Owner</t>
  </si>
  <si>
    <t>PV of Ending Net Worth</t>
  </si>
  <si>
    <t>Beginning Net Worth * (-1)</t>
  </si>
  <si>
    <t>Sum up the parts of NPV</t>
  </si>
  <si>
    <t>Nominal Ending Net Worth</t>
  </si>
  <si>
    <t xml:space="preserve">Sum </t>
  </si>
  <si>
    <t>Guess at IRR</t>
  </si>
  <si>
    <t>Fraction</t>
  </si>
  <si>
    <t>Percent</t>
  </si>
  <si>
    <t>Internal Rate of Return</t>
  </si>
  <si>
    <t>Note:  Set the NPV discount rate at alternative rates until you force the NPV to near zero.  This discount rate</t>
  </si>
  <si>
    <t>Stochastic Net Cash Income</t>
  </si>
  <si>
    <t>J Corrected Std Dev</t>
  </si>
  <si>
    <t>a different mean and standard deviation.</t>
  </si>
  <si>
    <t>Table 3. Cash Flow Statement</t>
  </si>
  <si>
    <t>Table 4.  Balance Sheet on December 31,   Based on Cash Values.</t>
  </si>
  <si>
    <t>that differ across scenarios are the mean and standard deviation for the random variable.</t>
  </si>
  <si>
    <t>James W. Richardson</t>
  </si>
  <si>
    <t>Table 6.  Internal Rate of Return</t>
  </si>
  <si>
    <t xml:space="preserve">Table 2.  Simulated random net cash income for 5 years based on the random variable in 1998 and indexed for </t>
  </si>
  <si>
    <t>Mean Net Cash Incomes</t>
  </si>
  <si>
    <t>Std Dev for Net Cash Income</t>
  </si>
  <si>
    <t>Means inflated 6%/year</t>
  </si>
  <si>
    <t>NPV 2 for large Cash Outlays</t>
  </si>
  <si>
    <t>NPV 1 for Small Cash Outlays</t>
  </si>
  <si>
    <t>Nominal Change in Net Worth</t>
  </si>
  <si>
    <t>Present Value Change Net Worth</t>
  </si>
  <si>
    <t>Sum PV outflows &amp; change NW</t>
  </si>
  <si>
    <t>IRR</t>
  </si>
  <si>
    <t>Mean</t>
  </si>
  <si>
    <t>StDev</t>
  </si>
  <si>
    <t>CV</t>
  </si>
  <si>
    <t>Min</t>
  </si>
  <si>
    <t>Max</t>
  </si>
  <si>
    <t>Iteration</t>
  </si>
  <si>
    <t>Table 1.  Information for the Analysis of 5 Scenarios.  For each Scenario the Stochastic Variable has</t>
  </si>
  <si>
    <t>CDFProb.</t>
  </si>
  <si>
    <t xml:space="preserve">A second use of this demo is to show how to use Simetar's Scenario option to simulate 5 scenarios where the values </t>
  </si>
  <si>
    <t>Set up the Scenario Table for 5 scenarios</t>
  </si>
  <si>
    <t>the remaining years.</t>
  </si>
  <si>
    <t xml:space="preserve">Scenario Table </t>
  </si>
  <si>
    <t>Discount rate for calculating NPV</t>
  </si>
  <si>
    <t>Table 5.  Net Present Value is calculated two ways.</t>
  </si>
  <si>
    <t>Beginning Net Worth*(-1)</t>
  </si>
  <si>
    <t xml:space="preserve">is a good guess for IRR in the =IRR(income stream, guess). </t>
  </si>
  <si>
    <t>Chapter 13</t>
  </si>
  <si>
    <t>KOV Summary Table</t>
  </si>
  <si>
    <t>NPV 2</t>
  </si>
  <si>
    <t>NPV 1</t>
  </si>
  <si>
    <t>IRR as %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</si>
  <si>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</si>
  <si>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</si>
  <si>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</si>
  <si>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</si>
  <si>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</si>
  <si>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</si>
  <si>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</si>
  <si>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</si>
  <si>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</si>
  <si>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</si>
  <si>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</si>
  <si>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5 Scenarios, 100 Iterations.  10:44:07 PM 11/13/2005 (0.75 sec.).  © 2005.</t>
  </si>
  <si>
    <t>© 2005</t>
  </si>
  <si>
    <t>Min RAC</t>
  </si>
  <si>
    <t>Max RAC</t>
  </si>
  <si>
    <t>ARAC</t>
  </si>
  <si>
    <t>Initial Wealth</t>
  </si>
  <si>
    <t>a. Parameter (Optional)</t>
  </si>
  <si>
    <t>b. Parameter (Optional)</t>
  </si>
  <si>
    <t>c. Parameter (Optional)</t>
  </si>
  <si>
    <t>Null</t>
  </si>
  <si>
    <t>Overall:</t>
  </si>
  <si>
    <t>Average</t>
  </si>
  <si>
    <t>Std. Dev.</t>
  </si>
  <si>
    <t>Base Scenario</t>
  </si>
  <si>
    <t>Base Alternative for Risk Premiums</t>
  </si>
  <si>
    <t>Note: Upper ARAC equals 4/Average NPV as a proxy fo rwealth</t>
  </si>
  <si>
    <t>© 2011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</si>
</sst>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"/>
    <numFmt numFmtId="167" formatCode="0.000000000"/>
  </numFmts>
  <fonts count="8">
    <font>
      <sz val="9"/>
      <name val="Arial"/>
    </font>
    <font>
      <sz val="9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NumberFormat="1" applyFont="1"/>
    <xf numFmtId="37" fontId="2" fillId="0" borderId="0" xfId="0" applyNumberFormat="1" applyFont="1"/>
    <xf numFmtId="1" fontId="2" fillId="0" borderId="0" xfId="0" applyNumberFormat="1" applyFont="1"/>
    <xf numFmtId="164" fontId="3" fillId="0" borderId="0" xfId="0" applyNumberFormat="1" applyFont="1"/>
    <xf numFmtId="0" fontId="2" fillId="0" borderId="1" xfId="0" applyNumberFormat="1" applyFont="1" applyBorder="1"/>
    <xf numFmtId="0" fontId="3" fillId="0" borderId="2" xfId="0" applyNumberFormat="1" applyFont="1" applyBorder="1"/>
    <xf numFmtId="0" fontId="2" fillId="0" borderId="3" xfId="0" applyNumberFormat="1" applyFont="1" applyBorder="1"/>
    <xf numFmtId="0" fontId="2" fillId="0" borderId="4" xfId="0" applyNumberFormat="1" applyFont="1" applyBorder="1"/>
    <xf numFmtId="0" fontId="2" fillId="0" borderId="0" xfId="0" applyNumberFormat="1" applyFont="1" applyBorder="1"/>
    <xf numFmtId="0" fontId="0" fillId="0" borderId="0" xfId="0" applyBorder="1"/>
    <xf numFmtId="37" fontId="2" fillId="0" borderId="0" xfId="0" applyNumberFormat="1" applyFont="1" applyBorder="1"/>
    <xf numFmtId="37" fontId="2" fillId="0" borderId="5" xfId="0" applyNumberFormat="1" applyFont="1" applyBorder="1"/>
    <xf numFmtId="37" fontId="2" fillId="0" borderId="1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/>
    <xf numFmtId="0" fontId="3" fillId="0" borderId="7" xfId="0" applyNumberFormat="1" applyFont="1" applyBorder="1" applyAlignment="1">
      <alignment horizontal="centerContinuous"/>
    </xf>
    <xf numFmtId="0" fontId="3" fillId="0" borderId="4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4" fillId="0" borderId="0" xfId="0" applyNumberFormat="1" applyFont="1" applyBorder="1"/>
    <xf numFmtId="0" fontId="0" fillId="0" borderId="8" xfId="0" applyBorder="1"/>
    <xf numFmtId="0" fontId="0" fillId="0" borderId="1" xfId="0" applyBorder="1"/>
    <xf numFmtId="15" fontId="2" fillId="0" borderId="4" xfId="0" applyNumberFormat="1" applyFont="1" applyBorder="1"/>
    <xf numFmtId="37" fontId="3" fillId="0" borderId="4" xfId="0" applyNumberFormat="1" applyFont="1" applyBorder="1"/>
    <xf numFmtId="37" fontId="4" fillId="0" borderId="4" xfId="0" applyNumberFormat="1" applyFont="1" applyBorder="1"/>
    <xf numFmtId="37" fontId="2" fillId="0" borderId="4" xfId="0" applyNumberFormat="1" applyFont="1" applyBorder="1"/>
    <xf numFmtId="37" fontId="3" fillId="0" borderId="5" xfId="0" applyNumberFormat="1" applyFont="1" applyBorder="1"/>
    <xf numFmtId="0" fontId="0" fillId="0" borderId="5" xfId="0" applyBorder="1"/>
    <xf numFmtId="164" fontId="3" fillId="0" borderId="0" xfId="0" applyNumberFormat="1" applyFont="1" applyBorder="1"/>
    <xf numFmtId="2" fontId="2" fillId="0" borderId="0" xfId="0" applyNumberFormat="1" applyFont="1" applyBorder="1"/>
    <xf numFmtId="1" fontId="2" fillId="0" borderId="0" xfId="0" applyNumberFormat="1" applyFont="1" applyBorder="1"/>
    <xf numFmtId="0" fontId="3" fillId="0" borderId="0" xfId="0" applyNumberFormat="1" applyFont="1" applyBorder="1"/>
    <xf numFmtId="0" fontId="4" fillId="0" borderId="4" xfId="0" applyNumberFormat="1" applyFont="1" applyBorder="1"/>
    <xf numFmtId="0" fontId="5" fillId="0" borderId="4" xfId="0" applyFont="1" applyBorder="1"/>
    <xf numFmtId="37" fontId="4" fillId="0" borderId="9" xfId="0" applyNumberFormat="1" applyFont="1" applyBorder="1"/>
    <xf numFmtId="0" fontId="4" fillId="0" borderId="1" xfId="0" applyNumberFormat="1" applyFont="1" applyBorder="1"/>
    <xf numFmtId="1" fontId="3" fillId="0" borderId="0" xfId="0" applyNumberFormat="1" applyFont="1" applyBorder="1"/>
    <xf numFmtId="1" fontId="2" fillId="0" borderId="1" xfId="0" applyNumberFormat="1" applyFont="1" applyBorder="1"/>
    <xf numFmtId="37" fontId="4" fillId="0" borderId="10" xfId="0" applyNumberFormat="1" applyFont="1" applyBorder="1"/>
    <xf numFmtId="43" fontId="0" fillId="0" borderId="1" xfId="1" applyFont="1" applyBorder="1"/>
    <xf numFmtId="43" fontId="3" fillId="0" borderId="0" xfId="1" applyFont="1" applyFill="1" applyBorder="1"/>
    <xf numFmtId="43" fontId="3" fillId="0" borderId="1" xfId="1" applyFont="1" applyFill="1" applyBorder="1"/>
    <xf numFmtId="0" fontId="0" fillId="0" borderId="1" xfId="0" applyFill="1" applyBorder="1"/>
    <xf numFmtId="37" fontId="4" fillId="0" borderId="0" xfId="0" applyNumberFormat="1" applyFont="1" applyFill="1" applyBorder="1"/>
    <xf numFmtId="0" fontId="0" fillId="0" borderId="1" xfId="0" applyBorder="1" applyAlignment="1">
      <alignment horizontal="left" indent="1"/>
    </xf>
    <xf numFmtId="0" fontId="5" fillId="0" borderId="8" xfId="0" applyFont="1" applyBorder="1"/>
    <xf numFmtId="0" fontId="4" fillId="0" borderId="2" xfId="0" applyNumberFormat="1" applyFont="1" applyBorder="1"/>
    <xf numFmtId="43" fontId="2" fillId="0" borderId="0" xfId="0" applyNumberFormat="1" applyFont="1"/>
    <xf numFmtId="9" fontId="0" fillId="0" borderId="1" xfId="0" applyNumberFormat="1" applyBorder="1"/>
    <xf numFmtId="0" fontId="5" fillId="0" borderId="0" xfId="0" applyFont="1"/>
    <xf numFmtId="0" fontId="5" fillId="0" borderId="0" xfId="0" applyFont="1" applyAlignment="1">
      <alignment horizontal="right"/>
    </xf>
    <xf numFmtId="4" fontId="0" fillId="0" borderId="0" xfId="0" applyNumberFormat="1"/>
    <xf numFmtId="164" fontId="0" fillId="0" borderId="0" xfId="0" applyNumberFormat="1"/>
    <xf numFmtId="43" fontId="0" fillId="0" borderId="0" xfId="0" applyNumberFormat="1"/>
    <xf numFmtId="167" fontId="5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SERFTbl1!$I$1</c:f>
          <c:strCache>
            <c:ptCount val="1"/>
            <c:pt idx="0">
              <c:v>Neg. Exponential Utility Weighted Risk Premiums Relative to NPV 1: 1</c:v>
            </c:pt>
          </c:strCache>
        </c:strRef>
      </c:tx>
      <c:layout>
        <c:manualLayout>
          <c:xMode val="edge"/>
          <c:yMode val="edge"/>
          <c:x val="0.14647672422646382"/>
          <c:y val="3.253876689024032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8027904520180163"/>
          <c:y val="0.2302743503001623"/>
          <c:w val="0.74177315473657957"/>
          <c:h val="0.58569780402432581"/>
        </c:manualLayout>
      </c:layout>
      <c:scatterChart>
        <c:scatterStyle val="smoothMarker"/>
        <c:ser>
          <c:idx val="0"/>
          <c:order val="0"/>
          <c:tx>
            <c:strRef>
              <c:f>SERFTbl1!$J$11</c:f>
              <c:strCache>
                <c:ptCount val="1"/>
                <c:pt idx="0">
                  <c:v>NPV 1: 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SERFTbl1!$C$11</c:f>
                  <c:strCache>
                    <c:ptCount val="1"/>
                    <c:pt idx="0">
                      <c:v>NPV 1: 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elete val="1"/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3.7037037037037036E-7</c:v>
                </c:pt>
                <c:pt idx="2">
                  <c:v>7.4074074074074073E-7</c:v>
                </c:pt>
                <c:pt idx="3">
                  <c:v>1.111111111111111E-6</c:v>
                </c:pt>
                <c:pt idx="4">
                  <c:v>1.4814814814814815E-6</c:v>
                </c:pt>
                <c:pt idx="5">
                  <c:v>1.8518518518518519E-6</c:v>
                </c:pt>
                <c:pt idx="6">
                  <c:v>2.2222222222222221E-6</c:v>
                </c:pt>
                <c:pt idx="7">
                  <c:v>2.5925925925925925E-6</c:v>
                </c:pt>
                <c:pt idx="8">
                  <c:v>2.9629629629629629E-6</c:v>
                </c:pt>
                <c:pt idx="9">
                  <c:v>3.3333333333333333E-6</c:v>
                </c:pt>
                <c:pt idx="10">
                  <c:v>3.7037037037037037E-6</c:v>
                </c:pt>
                <c:pt idx="11">
                  <c:v>4.0740740740740742E-6</c:v>
                </c:pt>
                <c:pt idx="12">
                  <c:v>4.4444444444444441E-6</c:v>
                </c:pt>
                <c:pt idx="13">
                  <c:v>4.8148148148148141E-6</c:v>
                </c:pt>
                <c:pt idx="14">
                  <c:v>5.1851851851851841E-6</c:v>
                </c:pt>
                <c:pt idx="15">
                  <c:v>5.5555555555555541E-6</c:v>
                </c:pt>
                <c:pt idx="16">
                  <c:v>5.9259259259259241E-6</c:v>
                </c:pt>
                <c:pt idx="17">
                  <c:v>6.2962962962962941E-6</c:v>
                </c:pt>
                <c:pt idx="18">
                  <c:v>6.6666666666666641E-6</c:v>
                </c:pt>
                <c:pt idx="19">
                  <c:v>7.0370370370370341E-6</c:v>
                </c:pt>
                <c:pt idx="20">
                  <c:v>7.4074074074074041E-6</c:v>
                </c:pt>
                <c:pt idx="21">
                  <c:v>7.7777777777777741E-6</c:v>
                </c:pt>
                <c:pt idx="22">
                  <c:v>8.1481481481481449E-6</c:v>
                </c:pt>
                <c:pt idx="23">
                  <c:v>8.5185185185185158E-6</c:v>
                </c:pt>
                <c:pt idx="24">
                  <c:v>8.8888888888888866E-6</c:v>
                </c:pt>
              </c:numCache>
            </c:numRef>
          </c:xVal>
          <c:yVal>
            <c:numRef>
              <c:f>SERFTbl1!$J$12:$J$36</c:f>
              <c:numCache>
                <c:formatCode>_(* #,##0.00_);_(* \(#,##0.00\);_(*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SERFTbl1!$K$11</c:f>
              <c:strCache>
                <c:ptCount val="1"/>
                <c:pt idx="0">
                  <c:v>NPV 1: 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SERFTbl1!$D$11</c:f>
                  <c:strCache>
                    <c:ptCount val="1"/>
                    <c:pt idx="0">
                      <c:v>NPV 1: 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elete val="1"/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3.7037037037037036E-7</c:v>
                </c:pt>
                <c:pt idx="2">
                  <c:v>7.4074074074074073E-7</c:v>
                </c:pt>
                <c:pt idx="3">
                  <c:v>1.111111111111111E-6</c:v>
                </c:pt>
                <c:pt idx="4">
                  <c:v>1.4814814814814815E-6</c:v>
                </c:pt>
                <c:pt idx="5">
                  <c:v>1.8518518518518519E-6</c:v>
                </c:pt>
                <c:pt idx="6">
                  <c:v>2.2222222222222221E-6</c:v>
                </c:pt>
                <c:pt idx="7">
                  <c:v>2.5925925925925925E-6</c:v>
                </c:pt>
                <c:pt idx="8">
                  <c:v>2.9629629629629629E-6</c:v>
                </c:pt>
                <c:pt idx="9">
                  <c:v>3.3333333333333333E-6</c:v>
                </c:pt>
                <c:pt idx="10">
                  <c:v>3.7037037037037037E-6</c:v>
                </c:pt>
                <c:pt idx="11">
                  <c:v>4.0740740740740742E-6</c:v>
                </c:pt>
                <c:pt idx="12">
                  <c:v>4.4444444444444441E-6</c:v>
                </c:pt>
                <c:pt idx="13">
                  <c:v>4.8148148148148141E-6</c:v>
                </c:pt>
                <c:pt idx="14">
                  <c:v>5.1851851851851841E-6</c:v>
                </c:pt>
                <c:pt idx="15">
                  <c:v>5.5555555555555541E-6</c:v>
                </c:pt>
                <c:pt idx="16">
                  <c:v>5.9259259259259241E-6</c:v>
                </c:pt>
                <c:pt idx="17">
                  <c:v>6.2962962962962941E-6</c:v>
                </c:pt>
                <c:pt idx="18">
                  <c:v>6.6666666666666641E-6</c:v>
                </c:pt>
                <c:pt idx="19">
                  <c:v>7.0370370370370341E-6</c:v>
                </c:pt>
                <c:pt idx="20">
                  <c:v>7.4074074074074041E-6</c:v>
                </c:pt>
                <c:pt idx="21">
                  <c:v>7.7777777777777741E-6</c:v>
                </c:pt>
                <c:pt idx="22">
                  <c:v>8.1481481481481449E-6</c:v>
                </c:pt>
                <c:pt idx="23">
                  <c:v>8.5185185185185158E-6</c:v>
                </c:pt>
                <c:pt idx="24">
                  <c:v>8.8888888888888866E-6</c:v>
                </c:pt>
              </c:numCache>
            </c:numRef>
          </c:xVal>
          <c:yVal>
            <c:numRef>
              <c:f>SERFTbl1!$K$12:$K$36</c:f>
              <c:numCache>
                <c:formatCode>_(* #,##0.00_);_(* \(#,##0.00\);_(* "-"??_);_(@_)</c:formatCode>
                <c:ptCount val="25"/>
                <c:pt idx="0">
                  <c:v>28470.173485758714</c:v>
                </c:pt>
                <c:pt idx="1">
                  <c:v>28119.974249066145</c:v>
                </c:pt>
                <c:pt idx="2">
                  <c:v>27768.43791489891</c:v>
                </c:pt>
                <c:pt idx="3">
                  <c:v>27415.619369716325</c:v>
                </c:pt>
                <c:pt idx="4">
                  <c:v>27061.572171587381</c:v>
                </c:pt>
                <c:pt idx="5">
                  <c:v>26706.3487020178</c:v>
                </c:pt>
                <c:pt idx="6">
                  <c:v>26350.000345378823</c:v>
                </c:pt>
                <c:pt idx="7">
                  <c:v>25992.577694595966</c:v>
                </c:pt>
                <c:pt idx="8">
                  <c:v>25634.130781468179</c:v>
                </c:pt>
                <c:pt idx="9">
                  <c:v>25274.709329632693</c:v>
                </c:pt>
                <c:pt idx="10">
                  <c:v>24914.363027941377</c:v>
                </c:pt>
                <c:pt idx="11">
                  <c:v>24553.141821687168</c:v>
                </c:pt>
                <c:pt idx="12">
                  <c:v>24191.096218874387</c:v>
                </c:pt>
                <c:pt idx="13">
                  <c:v>23828.277608473611</c:v>
                </c:pt>
                <c:pt idx="14">
                  <c:v>23464.738587378</c:v>
                </c:pt>
                <c:pt idx="15">
                  <c:v>23100.533292586508</c:v>
                </c:pt>
                <c:pt idx="16">
                  <c:v>22735.717734981794</c:v>
                </c:pt>
                <c:pt idx="17">
                  <c:v>22370.350130933628</c:v>
                </c:pt>
                <c:pt idx="18">
                  <c:v>22004.491227877792</c:v>
                </c:pt>
                <c:pt idx="19">
                  <c:v>21638.204619964992</c:v>
                </c:pt>
                <c:pt idx="20">
                  <c:v>21271.557049867522</c:v>
                </c:pt>
                <c:pt idx="21">
                  <c:v>20904.618692870543</c:v>
                </c:pt>
                <c:pt idx="22">
                  <c:v>20537.463419450447</c:v>
                </c:pt>
                <c:pt idx="23">
                  <c:v>20170.169032682257</c:v>
                </c:pt>
                <c:pt idx="24">
                  <c:v>19802.817476980446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SERFTbl1!$L$11</c:f>
              <c:strCache>
                <c:ptCount val="1"/>
                <c:pt idx="0">
                  <c:v>NPV 1: 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SERFTbl1!$E$11</c:f>
                  <c:strCache>
                    <c:ptCount val="1"/>
                    <c:pt idx="0">
                      <c:v>NPV 1: 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elete val="1"/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3.7037037037037036E-7</c:v>
                </c:pt>
                <c:pt idx="2">
                  <c:v>7.4074074074074073E-7</c:v>
                </c:pt>
                <c:pt idx="3">
                  <c:v>1.111111111111111E-6</c:v>
                </c:pt>
                <c:pt idx="4">
                  <c:v>1.4814814814814815E-6</c:v>
                </c:pt>
                <c:pt idx="5">
                  <c:v>1.8518518518518519E-6</c:v>
                </c:pt>
                <c:pt idx="6">
                  <c:v>2.2222222222222221E-6</c:v>
                </c:pt>
                <c:pt idx="7">
                  <c:v>2.5925925925925925E-6</c:v>
                </c:pt>
                <c:pt idx="8">
                  <c:v>2.9629629629629629E-6</c:v>
                </c:pt>
                <c:pt idx="9">
                  <c:v>3.3333333333333333E-6</c:v>
                </c:pt>
                <c:pt idx="10">
                  <c:v>3.7037037037037037E-6</c:v>
                </c:pt>
                <c:pt idx="11">
                  <c:v>4.0740740740740742E-6</c:v>
                </c:pt>
                <c:pt idx="12">
                  <c:v>4.4444444444444441E-6</c:v>
                </c:pt>
                <c:pt idx="13">
                  <c:v>4.8148148148148141E-6</c:v>
                </c:pt>
                <c:pt idx="14">
                  <c:v>5.1851851851851841E-6</c:v>
                </c:pt>
                <c:pt idx="15">
                  <c:v>5.5555555555555541E-6</c:v>
                </c:pt>
                <c:pt idx="16">
                  <c:v>5.9259259259259241E-6</c:v>
                </c:pt>
                <c:pt idx="17">
                  <c:v>6.2962962962962941E-6</c:v>
                </c:pt>
                <c:pt idx="18">
                  <c:v>6.6666666666666641E-6</c:v>
                </c:pt>
                <c:pt idx="19">
                  <c:v>7.0370370370370341E-6</c:v>
                </c:pt>
                <c:pt idx="20">
                  <c:v>7.4074074074074041E-6</c:v>
                </c:pt>
                <c:pt idx="21">
                  <c:v>7.7777777777777741E-6</c:v>
                </c:pt>
                <c:pt idx="22">
                  <c:v>8.1481481481481449E-6</c:v>
                </c:pt>
                <c:pt idx="23">
                  <c:v>8.5185185185185158E-6</c:v>
                </c:pt>
                <c:pt idx="24">
                  <c:v>8.8888888888888866E-6</c:v>
                </c:pt>
              </c:numCache>
            </c:numRef>
          </c:xVal>
          <c:yVal>
            <c:numRef>
              <c:f>SERFTbl1!$L$12:$L$36</c:f>
              <c:numCache>
                <c:formatCode>_(* #,##0.00_);_(* \(#,##0.00\);_(* "-"??_);_(@_)</c:formatCode>
                <c:ptCount val="25"/>
                <c:pt idx="0">
                  <c:v>5684.2692845534766</c:v>
                </c:pt>
                <c:pt idx="1">
                  <c:v>5806.490042169462</c:v>
                </c:pt>
                <c:pt idx="2">
                  <c:v>5929.1194863213459</c:v>
                </c:pt>
                <c:pt idx="3">
                  <c:v>6052.1430449024774</c:v>
                </c:pt>
                <c:pt idx="4">
                  <c:v>6175.5464586433372</c:v>
                </c:pt>
                <c:pt idx="5">
                  <c:v>6299.3157529240125</c:v>
                </c:pt>
                <c:pt idx="6">
                  <c:v>6423.4372047812794</c:v>
                </c:pt>
                <c:pt idx="7">
                  <c:v>6547.8973052722286</c:v>
                </c:pt>
                <c:pt idx="8">
                  <c:v>6672.6827174344799</c:v>
                </c:pt>
                <c:pt idx="9">
                  <c:v>6797.7802300699404</c:v>
                </c:pt>
                <c:pt idx="10">
                  <c:v>6923.1767076611868</c:v>
                </c:pt>
                <c:pt idx="11">
                  <c:v>7048.8590367465513</c:v>
                </c:pt>
                <c:pt idx="12">
                  <c:v>7174.8140691225999</c:v>
                </c:pt>
                <c:pt idx="13">
                  <c:v>7301.0285622786032</c:v>
                </c:pt>
                <c:pt idx="14">
                  <c:v>7427.4891174930381</c:v>
                </c:pt>
                <c:pt idx="15">
                  <c:v>7554.1821160640684</c:v>
                </c:pt>
                <c:pt idx="16">
                  <c:v>7681.0936541625415</c:v>
                </c:pt>
                <c:pt idx="17">
                  <c:v>7808.20947682322</c:v>
                </c:pt>
                <c:pt idx="18">
                  <c:v>7935.5149116136599</c:v>
                </c:pt>
                <c:pt idx="19">
                  <c:v>8062.9948025328922</c:v>
                </c:pt>
                <c:pt idx="20">
                  <c:v>8190.6334447072004</c:v>
                </c:pt>
                <c:pt idx="21">
                  <c:v>8318.4145204576198</c:v>
                </c:pt>
                <c:pt idx="22">
                  <c:v>8446.3210373184411</c:v>
                </c:pt>
                <c:pt idx="23">
                  <c:v>8574.335268585477</c:v>
                </c:pt>
                <c:pt idx="24">
                  <c:v>8702.4386969660409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SERFTbl1!$M$11</c:f>
              <c:strCache>
                <c:ptCount val="1"/>
                <c:pt idx="0">
                  <c:v>NPV 1: 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SERFTbl1!$F$11</c:f>
                  <c:strCache>
                    <c:ptCount val="1"/>
                    <c:pt idx="0">
                      <c:v>NPV 1: 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elete val="1"/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3.7037037037037036E-7</c:v>
                </c:pt>
                <c:pt idx="2">
                  <c:v>7.4074074074074073E-7</c:v>
                </c:pt>
                <c:pt idx="3">
                  <c:v>1.111111111111111E-6</c:v>
                </c:pt>
                <c:pt idx="4">
                  <c:v>1.4814814814814815E-6</c:v>
                </c:pt>
                <c:pt idx="5">
                  <c:v>1.8518518518518519E-6</c:v>
                </c:pt>
                <c:pt idx="6">
                  <c:v>2.2222222222222221E-6</c:v>
                </c:pt>
                <c:pt idx="7">
                  <c:v>2.5925925925925925E-6</c:v>
                </c:pt>
                <c:pt idx="8">
                  <c:v>2.9629629629629629E-6</c:v>
                </c:pt>
                <c:pt idx="9">
                  <c:v>3.3333333333333333E-6</c:v>
                </c:pt>
                <c:pt idx="10">
                  <c:v>3.7037037037037037E-6</c:v>
                </c:pt>
                <c:pt idx="11">
                  <c:v>4.0740740740740742E-6</c:v>
                </c:pt>
                <c:pt idx="12">
                  <c:v>4.4444444444444441E-6</c:v>
                </c:pt>
                <c:pt idx="13">
                  <c:v>4.8148148148148141E-6</c:v>
                </c:pt>
                <c:pt idx="14">
                  <c:v>5.1851851851851841E-6</c:v>
                </c:pt>
                <c:pt idx="15">
                  <c:v>5.5555555555555541E-6</c:v>
                </c:pt>
                <c:pt idx="16">
                  <c:v>5.9259259259259241E-6</c:v>
                </c:pt>
                <c:pt idx="17">
                  <c:v>6.2962962962962941E-6</c:v>
                </c:pt>
                <c:pt idx="18">
                  <c:v>6.6666666666666641E-6</c:v>
                </c:pt>
                <c:pt idx="19">
                  <c:v>7.0370370370370341E-6</c:v>
                </c:pt>
                <c:pt idx="20">
                  <c:v>7.4074074074074041E-6</c:v>
                </c:pt>
                <c:pt idx="21">
                  <c:v>7.7777777777777741E-6</c:v>
                </c:pt>
                <c:pt idx="22">
                  <c:v>8.1481481481481449E-6</c:v>
                </c:pt>
                <c:pt idx="23">
                  <c:v>8.5185185185185158E-6</c:v>
                </c:pt>
                <c:pt idx="24">
                  <c:v>8.8888888888888866E-6</c:v>
                </c:pt>
              </c:numCache>
            </c:numRef>
          </c:xVal>
          <c:yVal>
            <c:numRef>
              <c:f>SERFTbl1!$M$12:$M$36</c:f>
              <c:numCache>
                <c:formatCode>_(* #,##0.00_);_(* \(#,##0.00\);_(* "-"??_);_(@_)</c:formatCode>
                <c:ptCount val="25"/>
                <c:pt idx="0">
                  <c:v>32.551375326700509</c:v>
                </c:pt>
                <c:pt idx="1">
                  <c:v>-731.66424535680562</c:v>
                </c:pt>
                <c:pt idx="2">
                  <c:v>-1499.0691548264585</c:v>
                </c:pt>
                <c:pt idx="3">
                  <c:v>-2269.5186791964807</c:v>
                </c:pt>
                <c:pt idx="4">
                  <c:v>-3042.8719501148444</c:v>
                </c:pt>
                <c:pt idx="5">
                  <c:v>-3818.9913774452289</c:v>
                </c:pt>
                <c:pt idx="6">
                  <c:v>-4597.7420218888437</c:v>
                </c:pt>
                <c:pt idx="7">
                  <c:v>-5378.9908737177029</c:v>
                </c:pt>
                <c:pt idx="8">
                  <c:v>-6162.6060452495585</c:v>
                </c:pt>
                <c:pt idx="9">
                  <c:v>-6948.4558861659607</c:v>
                </c:pt>
                <c:pt idx="10">
                  <c:v>-7736.4080321075162</c:v>
                </c:pt>
                <c:pt idx="11">
                  <c:v>-8526.3283982613357</c:v>
                </c:pt>
                <c:pt idx="12">
                  <c:v>-9318.0801307983929</c:v>
                </c:pt>
                <c:pt idx="13">
                  <c:v>-10111.522530032613</c:v>
                </c:pt>
                <c:pt idx="14">
                  <c:v>-10906.50996003201</c:v>
                </c:pt>
                <c:pt idx="15">
                  <c:v>-11702.890760079201</c:v>
                </c:pt>
                <c:pt idx="16">
                  <c:v>-12500.506173871167</c:v>
                </c:pt>
                <c:pt idx="17">
                  <c:v>-13299.18931261776</c:v>
                </c:pt>
                <c:pt idx="18">
                  <c:v>-14098.764168237627</c:v>
                </c:pt>
                <c:pt idx="19">
                  <c:v>-14899.04469266528</c:v>
                </c:pt>
                <c:pt idx="20">
                  <c:v>-15699.833958841511</c:v>
                </c:pt>
                <c:pt idx="21">
                  <c:v>-16500.923418273858</c:v>
                </c:pt>
                <c:pt idx="22">
                  <c:v>-17302.092269112938</c:v>
                </c:pt>
                <c:pt idx="23">
                  <c:v>-18103.106947507942</c:v>
                </c:pt>
                <c:pt idx="24">
                  <c:v>-18903.720753581321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SERFTbl1!$N$11</c:f>
              <c:strCache>
                <c:ptCount val="1"/>
                <c:pt idx="0">
                  <c:v>NPV 1: 5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SERFTbl1!$G$11</c:f>
                  <c:strCache>
                    <c:ptCount val="1"/>
                    <c:pt idx="0">
                      <c:v>NPV 1: 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elete val="1"/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3.7037037037037036E-7</c:v>
                </c:pt>
                <c:pt idx="2">
                  <c:v>7.4074074074074073E-7</c:v>
                </c:pt>
                <c:pt idx="3">
                  <c:v>1.111111111111111E-6</c:v>
                </c:pt>
                <c:pt idx="4">
                  <c:v>1.4814814814814815E-6</c:v>
                </c:pt>
                <c:pt idx="5">
                  <c:v>1.8518518518518519E-6</c:v>
                </c:pt>
                <c:pt idx="6">
                  <c:v>2.2222222222222221E-6</c:v>
                </c:pt>
                <c:pt idx="7">
                  <c:v>2.5925925925925925E-6</c:v>
                </c:pt>
                <c:pt idx="8">
                  <c:v>2.9629629629629629E-6</c:v>
                </c:pt>
                <c:pt idx="9">
                  <c:v>3.3333333333333333E-6</c:v>
                </c:pt>
                <c:pt idx="10">
                  <c:v>3.7037037037037037E-6</c:v>
                </c:pt>
                <c:pt idx="11">
                  <c:v>4.0740740740740742E-6</c:v>
                </c:pt>
                <c:pt idx="12">
                  <c:v>4.4444444444444441E-6</c:v>
                </c:pt>
                <c:pt idx="13">
                  <c:v>4.8148148148148141E-6</c:v>
                </c:pt>
                <c:pt idx="14">
                  <c:v>5.1851851851851841E-6</c:v>
                </c:pt>
                <c:pt idx="15">
                  <c:v>5.5555555555555541E-6</c:v>
                </c:pt>
                <c:pt idx="16">
                  <c:v>5.9259259259259241E-6</c:v>
                </c:pt>
                <c:pt idx="17">
                  <c:v>6.2962962962962941E-6</c:v>
                </c:pt>
                <c:pt idx="18">
                  <c:v>6.6666666666666641E-6</c:v>
                </c:pt>
                <c:pt idx="19">
                  <c:v>7.0370370370370341E-6</c:v>
                </c:pt>
                <c:pt idx="20">
                  <c:v>7.4074074074074041E-6</c:v>
                </c:pt>
                <c:pt idx="21">
                  <c:v>7.7777777777777741E-6</c:v>
                </c:pt>
                <c:pt idx="22">
                  <c:v>8.1481481481481449E-6</c:v>
                </c:pt>
                <c:pt idx="23">
                  <c:v>8.5185185185185158E-6</c:v>
                </c:pt>
                <c:pt idx="24">
                  <c:v>8.8888888888888866E-6</c:v>
                </c:pt>
              </c:numCache>
            </c:numRef>
          </c:xVal>
          <c:yVal>
            <c:numRef>
              <c:f>SERFTbl1!$N$12:$N$36</c:f>
              <c:numCache>
                <c:formatCode>_(* #,##0.00_);_(* \(#,##0.00\);_(* "-"??_);_(@_)</c:formatCode>
                <c:ptCount val="25"/>
                <c:pt idx="0">
                  <c:v>-28486.449173422356</c:v>
                </c:pt>
                <c:pt idx="1">
                  <c:v>-27977.325464584574</c:v>
                </c:pt>
                <c:pt idx="2">
                  <c:v>-27466.747007365047</c:v>
                </c:pt>
                <c:pt idx="3">
                  <c:v>-26954.758701932849</c:v>
                </c:pt>
                <c:pt idx="4">
                  <c:v>-26441.404587753233</c:v>
                </c:pt>
                <c:pt idx="5">
                  <c:v>-25926.727909139008</c:v>
                </c:pt>
                <c:pt idx="6">
                  <c:v>-25410.771191423584</c:v>
                </c:pt>
                <c:pt idx="7">
                  <c:v>-24893.576327464078</c:v>
                </c:pt>
                <c:pt idx="8">
                  <c:v>-24375.184674041811</c:v>
                </c:pt>
                <c:pt idx="9">
                  <c:v>-23855.637157697289</c:v>
                </c:pt>
                <c:pt idx="10">
                  <c:v>-23334.974389436713</c:v>
                </c:pt>
                <c:pt idx="11">
                  <c:v>-22813.23678768368</c:v>
                </c:pt>
                <c:pt idx="12">
                  <c:v>-22290.464708776737</c:v>
                </c:pt>
                <c:pt idx="13">
                  <c:v>-21766.698584251106</c:v>
                </c:pt>
                <c:pt idx="14">
                  <c:v>-21241.9790640719</c:v>
                </c:pt>
                <c:pt idx="15">
                  <c:v>-20716.347164934443</c:v>
                </c:pt>
                <c:pt idx="16">
                  <c:v>-20189.844422686787</c:v>
                </c:pt>
                <c:pt idx="17">
                  <c:v>-19662.513047883869</c:v>
                </c:pt>
                <c:pt idx="18">
                  <c:v>-19134.396083435277</c:v>
                </c:pt>
                <c:pt idx="19">
                  <c:v>-18605.537563276419</c:v>
                </c:pt>
                <c:pt idx="20">
                  <c:v>-18075.982670953323</c:v>
                </c:pt>
                <c:pt idx="21">
                  <c:v>-17545.777896994899</c:v>
                </c:pt>
                <c:pt idx="22">
                  <c:v>-17014.97119392798</c:v>
                </c:pt>
                <c:pt idx="23">
                  <c:v>-16483.612127777014</c:v>
                </c:pt>
                <c:pt idx="24">
                  <c:v>-15951.752024897607</c:v>
                </c:pt>
              </c:numCache>
            </c:numRef>
          </c:yVal>
          <c:smooth val="1"/>
        </c:ser>
        <c:axId val="49144960"/>
        <c:axId val="49146880"/>
      </c:scatterChart>
      <c:valAx>
        <c:axId val="49144960"/>
        <c:scaling>
          <c:orientation val="minMax"/>
        </c:scaling>
        <c:axPos val="b"/>
        <c:title>
          <c:tx>
            <c:strRef>
              <c:f>SERFTbl1!$B$11</c:f>
              <c:strCache>
                <c:ptCount val="1"/>
                <c:pt idx="0">
                  <c:v>ARAC</c:v>
                </c:pt>
              </c:strCache>
            </c:strRef>
          </c:tx>
          <c:layout>
            <c:manualLayout>
              <c:xMode val="edge"/>
              <c:yMode val="edge"/>
              <c:x val="0.51266853479262331"/>
              <c:y val="0.8435049570777684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46880"/>
        <c:crosses val="autoZero"/>
        <c:crossBetween val="midCat"/>
      </c:valAx>
      <c:valAx>
        <c:axId val="49146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_(* #,##0.00_);_(* \(#,##0.0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44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895336042605013E-2"/>
          <c:y val="0.93110932947456926"/>
          <c:w val="0.81313361012895935"/>
          <c:h val="5.506560550656055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SERFTbl1!$A$1</c:f>
          <c:strCache>
            <c:ptCount val="1"/>
            <c:pt idx="0">
              <c:v>Stochastic Efficiency with Respect to A Function (SERF) Under a Neg. Exponential Utility Function</c:v>
            </c:pt>
          </c:strCache>
        </c:strRef>
      </c:tx>
      <c:layout>
        <c:manualLayout>
          <c:xMode val="edge"/>
          <c:yMode val="edge"/>
          <c:x val="0.11031423237972793"/>
          <c:y val="3.754473102720037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6275870351107399"/>
          <c:y val="0.19773558340992198"/>
          <c:w val="0.76315747646303578"/>
          <c:h val="0.57318289368192576"/>
        </c:manualLayout>
      </c:layout>
      <c:scatterChart>
        <c:scatterStyle val="smoothMarker"/>
        <c:ser>
          <c:idx val="0"/>
          <c:order val="0"/>
          <c:tx>
            <c:strRef>
              <c:f>SERFTbl1!$C$11</c:f>
              <c:strCache>
                <c:ptCount val="1"/>
                <c:pt idx="0">
                  <c:v>NPV 1: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SERFTbl1!$C$11</c:f>
                  <c:strCache>
                    <c:ptCount val="1"/>
                    <c:pt idx="0">
                      <c:v>NPV 1: 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elete val="1"/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3.7037037037037036E-7</c:v>
                </c:pt>
                <c:pt idx="2">
                  <c:v>7.4074074074074073E-7</c:v>
                </c:pt>
                <c:pt idx="3">
                  <c:v>1.111111111111111E-6</c:v>
                </c:pt>
                <c:pt idx="4">
                  <c:v>1.4814814814814815E-6</c:v>
                </c:pt>
                <c:pt idx="5">
                  <c:v>1.8518518518518519E-6</c:v>
                </c:pt>
                <c:pt idx="6">
                  <c:v>2.2222222222222221E-6</c:v>
                </c:pt>
                <c:pt idx="7">
                  <c:v>2.5925925925925925E-6</c:v>
                </c:pt>
                <c:pt idx="8">
                  <c:v>2.9629629629629629E-6</c:v>
                </c:pt>
                <c:pt idx="9">
                  <c:v>3.3333333333333333E-6</c:v>
                </c:pt>
                <c:pt idx="10">
                  <c:v>3.7037037037037037E-6</c:v>
                </c:pt>
                <c:pt idx="11">
                  <c:v>4.0740740740740742E-6</c:v>
                </c:pt>
                <c:pt idx="12">
                  <c:v>4.4444444444444441E-6</c:v>
                </c:pt>
                <c:pt idx="13">
                  <c:v>4.8148148148148141E-6</c:v>
                </c:pt>
                <c:pt idx="14">
                  <c:v>5.1851851851851841E-6</c:v>
                </c:pt>
                <c:pt idx="15">
                  <c:v>5.5555555555555541E-6</c:v>
                </c:pt>
                <c:pt idx="16">
                  <c:v>5.9259259259259241E-6</c:v>
                </c:pt>
                <c:pt idx="17">
                  <c:v>6.2962962962962941E-6</c:v>
                </c:pt>
                <c:pt idx="18">
                  <c:v>6.6666666666666641E-6</c:v>
                </c:pt>
                <c:pt idx="19">
                  <c:v>7.0370370370370341E-6</c:v>
                </c:pt>
                <c:pt idx="20">
                  <c:v>7.4074074074074041E-6</c:v>
                </c:pt>
                <c:pt idx="21">
                  <c:v>7.7777777777777741E-6</c:v>
                </c:pt>
                <c:pt idx="22">
                  <c:v>8.1481481481481449E-6</c:v>
                </c:pt>
                <c:pt idx="23">
                  <c:v>8.5185185185185158E-6</c:v>
                </c:pt>
                <c:pt idx="24">
                  <c:v>8.8888888888888866E-6</c:v>
                </c:pt>
              </c:numCache>
            </c:numRef>
          </c:xVal>
          <c:yVal>
            <c:numRef>
              <c:f>SERFTbl1!$C$12:$C$36</c:f>
              <c:numCache>
                <c:formatCode>#,##0.00</c:formatCode>
                <c:ptCount val="25"/>
                <c:pt idx="0">
                  <c:v>459136.74833984656</c:v>
                </c:pt>
                <c:pt idx="1">
                  <c:v>458341.45468490222</c:v>
                </c:pt>
                <c:pt idx="2">
                  <c:v>457544.29972797132</c:v>
                </c:pt>
                <c:pt idx="3">
                  <c:v>456745.3351420422</c:v>
                </c:pt>
                <c:pt idx="4">
                  <c:v>455944.6116628102</c:v>
                </c:pt>
                <c:pt idx="5">
                  <c:v>455142.17915688094</c:v>
                </c:pt>
                <c:pt idx="6">
                  <c:v>454338.0867009245</c:v>
                </c:pt>
                <c:pt idx="7">
                  <c:v>453532.38267146243</c:v>
                </c:pt>
                <c:pt idx="8">
                  <c:v>452725.11484486249</c:v>
                </c:pt>
                <c:pt idx="9">
                  <c:v>451916.33050707058</c:v>
                </c:pt>
                <c:pt idx="10">
                  <c:v>451106.07657250797</c:v>
                </c:pt>
                <c:pt idx="11">
                  <c:v>450294.39971150266</c:v>
                </c:pt>
                <c:pt idx="12">
                  <c:v>449481.34648555005</c:v>
                </c:pt>
                <c:pt idx="13">
                  <c:v>448666.96348962671</c:v>
                </c:pt>
                <c:pt idx="14">
                  <c:v>447851.29750072287</c:v>
                </c:pt>
                <c:pt idx="15">
                  <c:v>447034.3956316933</c:v>
                </c:pt>
                <c:pt idx="16">
                  <c:v>446216.30548947392</c:v>
                </c:pt>
                <c:pt idx="17">
                  <c:v>445397.07533666183</c:v>
                </c:pt>
                <c:pt idx="18">
                  <c:v>444576.75425540865</c:v>
                </c:pt>
                <c:pt idx="19">
                  <c:v>443755.39231254294</c:v>
                </c:pt>
                <c:pt idx="20">
                  <c:v>442933.04072479979</c:v>
                </c:pt>
                <c:pt idx="21">
                  <c:v>442109.75202301843</c:v>
                </c:pt>
                <c:pt idx="22">
                  <c:v>441285.58021414466</c:v>
                </c:pt>
                <c:pt idx="23">
                  <c:v>440460.58093986916</c:v>
                </c:pt>
                <c:pt idx="24">
                  <c:v>439634.81163073156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SERFTbl1!$D$11</c:f>
              <c:strCache>
                <c:ptCount val="1"/>
                <c:pt idx="0">
                  <c:v>NPV 1: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SERFTbl1!$D$11</c:f>
                  <c:strCache>
                    <c:ptCount val="1"/>
                    <c:pt idx="0">
                      <c:v>NPV 1: 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elete val="1"/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3.7037037037037036E-7</c:v>
                </c:pt>
                <c:pt idx="2">
                  <c:v>7.4074074074074073E-7</c:v>
                </c:pt>
                <c:pt idx="3">
                  <c:v>1.111111111111111E-6</c:v>
                </c:pt>
                <c:pt idx="4">
                  <c:v>1.4814814814814815E-6</c:v>
                </c:pt>
                <c:pt idx="5">
                  <c:v>1.8518518518518519E-6</c:v>
                </c:pt>
                <c:pt idx="6">
                  <c:v>2.2222222222222221E-6</c:v>
                </c:pt>
                <c:pt idx="7">
                  <c:v>2.5925925925925925E-6</c:v>
                </c:pt>
                <c:pt idx="8">
                  <c:v>2.9629629629629629E-6</c:v>
                </c:pt>
                <c:pt idx="9">
                  <c:v>3.3333333333333333E-6</c:v>
                </c:pt>
                <c:pt idx="10">
                  <c:v>3.7037037037037037E-6</c:v>
                </c:pt>
                <c:pt idx="11">
                  <c:v>4.0740740740740742E-6</c:v>
                </c:pt>
                <c:pt idx="12">
                  <c:v>4.4444444444444441E-6</c:v>
                </c:pt>
                <c:pt idx="13">
                  <c:v>4.8148148148148141E-6</c:v>
                </c:pt>
                <c:pt idx="14">
                  <c:v>5.1851851851851841E-6</c:v>
                </c:pt>
                <c:pt idx="15">
                  <c:v>5.5555555555555541E-6</c:v>
                </c:pt>
                <c:pt idx="16">
                  <c:v>5.9259259259259241E-6</c:v>
                </c:pt>
                <c:pt idx="17">
                  <c:v>6.2962962962962941E-6</c:v>
                </c:pt>
                <c:pt idx="18">
                  <c:v>6.6666666666666641E-6</c:v>
                </c:pt>
                <c:pt idx="19">
                  <c:v>7.0370370370370341E-6</c:v>
                </c:pt>
                <c:pt idx="20">
                  <c:v>7.4074074074074041E-6</c:v>
                </c:pt>
                <c:pt idx="21">
                  <c:v>7.7777777777777741E-6</c:v>
                </c:pt>
                <c:pt idx="22">
                  <c:v>8.1481481481481449E-6</c:v>
                </c:pt>
                <c:pt idx="23">
                  <c:v>8.5185185185185158E-6</c:v>
                </c:pt>
                <c:pt idx="24">
                  <c:v>8.8888888888888866E-6</c:v>
                </c:pt>
              </c:numCache>
            </c:numRef>
          </c:xVal>
          <c:yVal>
            <c:numRef>
              <c:f>SERFTbl1!$D$12:$D$36</c:f>
              <c:numCache>
                <c:formatCode>#,##0.00</c:formatCode>
                <c:ptCount val="25"/>
                <c:pt idx="0">
                  <c:v>487606.92182560527</c:v>
                </c:pt>
                <c:pt idx="1">
                  <c:v>486461.42893396836</c:v>
                </c:pt>
                <c:pt idx="2">
                  <c:v>485312.73764287023</c:v>
                </c:pt>
                <c:pt idx="3">
                  <c:v>484160.95451175852</c:v>
                </c:pt>
                <c:pt idx="4">
                  <c:v>483006.18383439758</c:v>
                </c:pt>
                <c:pt idx="5">
                  <c:v>481848.52785889874</c:v>
                </c:pt>
                <c:pt idx="6">
                  <c:v>480688.08704630332</c:v>
                </c:pt>
                <c:pt idx="7">
                  <c:v>479524.9603660584</c:v>
                </c:pt>
                <c:pt idx="8">
                  <c:v>478359.24562633067</c:v>
                </c:pt>
                <c:pt idx="9">
                  <c:v>477191.03983670328</c:v>
                </c:pt>
                <c:pt idx="10">
                  <c:v>476020.43960044935</c:v>
                </c:pt>
                <c:pt idx="11">
                  <c:v>474847.54153318983</c:v>
                </c:pt>
                <c:pt idx="12">
                  <c:v>473672.44270442444</c:v>
                </c:pt>
                <c:pt idx="13">
                  <c:v>472495.24109810032</c:v>
                </c:pt>
                <c:pt idx="14">
                  <c:v>471316.03608810087</c:v>
                </c:pt>
                <c:pt idx="15">
                  <c:v>470134.92892427981</c:v>
                </c:pt>
                <c:pt idx="16">
                  <c:v>468952.02322445571</c:v>
                </c:pt>
                <c:pt idx="17">
                  <c:v>467767.42546759546</c:v>
                </c:pt>
                <c:pt idx="18">
                  <c:v>466581.24548328645</c:v>
                </c:pt>
                <c:pt idx="19">
                  <c:v>465393.59693250793</c:v>
                </c:pt>
                <c:pt idx="20">
                  <c:v>464204.59777466732</c:v>
                </c:pt>
                <c:pt idx="21">
                  <c:v>463014.37071588897</c:v>
                </c:pt>
                <c:pt idx="22">
                  <c:v>461823.04363359511</c:v>
                </c:pt>
                <c:pt idx="23">
                  <c:v>460630.74997255142</c:v>
                </c:pt>
                <c:pt idx="24">
                  <c:v>459437.62910771201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SERFTbl1!$E$11</c:f>
              <c:strCache>
                <c:ptCount val="1"/>
                <c:pt idx="0">
                  <c:v>NPV 1: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SERFTbl1!$E$11</c:f>
                  <c:strCache>
                    <c:ptCount val="1"/>
                    <c:pt idx="0">
                      <c:v>NPV 1: 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elete val="1"/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3.7037037037037036E-7</c:v>
                </c:pt>
                <c:pt idx="2">
                  <c:v>7.4074074074074073E-7</c:v>
                </c:pt>
                <c:pt idx="3">
                  <c:v>1.111111111111111E-6</c:v>
                </c:pt>
                <c:pt idx="4">
                  <c:v>1.4814814814814815E-6</c:v>
                </c:pt>
                <c:pt idx="5">
                  <c:v>1.8518518518518519E-6</c:v>
                </c:pt>
                <c:pt idx="6">
                  <c:v>2.2222222222222221E-6</c:v>
                </c:pt>
                <c:pt idx="7">
                  <c:v>2.5925925925925925E-6</c:v>
                </c:pt>
                <c:pt idx="8">
                  <c:v>2.9629629629629629E-6</c:v>
                </c:pt>
                <c:pt idx="9">
                  <c:v>3.3333333333333333E-6</c:v>
                </c:pt>
                <c:pt idx="10">
                  <c:v>3.7037037037037037E-6</c:v>
                </c:pt>
                <c:pt idx="11">
                  <c:v>4.0740740740740742E-6</c:v>
                </c:pt>
                <c:pt idx="12">
                  <c:v>4.4444444444444441E-6</c:v>
                </c:pt>
                <c:pt idx="13">
                  <c:v>4.8148148148148141E-6</c:v>
                </c:pt>
                <c:pt idx="14">
                  <c:v>5.1851851851851841E-6</c:v>
                </c:pt>
                <c:pt idx="15">
                  <c:v>5.5555555555555541E-6</c:v>
                </c:pt>
                <c:pt idx="16">
                  <c:v>5.9259259259259241E-6</c:v>
                </c:pt>
                <c:pt idx="17">
                  <c:v>6.2962962962962941E-6</c:v>
                </c:pt>
                <c:pt idx="18">
                  <c:v>6.6666666666666641E-6</c:v>
                </c:pt>
                <c:pt idx="19">
                  <c:v>7.0370370370370341E-6</c:v>
                </c:pt>
                <c:pt idx="20">
                  <c:v>7.4074074074074041E-6</c:v>
                </c:pt>
                <c:pt idx="21">
                  <c:v>7.7777777777777741E-6</c:v>
                </c:pt>
                <c:pt idx="22">
                  <c:v>8.1481481481481449E-6</c:v>
                </c:pt>
                <c:pt idx="23">
                  <c:v>8.5185185185185158E-6</c:v>
                </c:pt>
                <c:pt idx="24">
                  <c:v>8.8888888888888866E-6</c:v>
                </c:pt>
              </c:numCache>
            </c:numRef>
          </c:xVal>
          <c:yVal>
            <c:numRef>
              <c:f>SERFTbl1!$E$12:$E$36</c:f>
              <c:numCache>
                <c:formatCode>#,##0.00</c:formatCode>
                <c:ptCount val="25"/>
                <c:pt idx="0">
                  <c:v>464821.01762440003</c:v>
                </c:pt>
                <c:pt idx="1">
                  <c:v>464147.94472707168</c:v>
                </c:pt>
                <c:pt idx="2">
                  <c:v>463473.41921429266</c:v>
                </c:pt>
                <c:pt idx="3">
                  <c:v>462797.47818694467</c:v>
                </c:pt>
                <c:pt idx="4">
                  <c:v>462120.15812145354</c:v>
                </c:pt>
                <c:pt idx="5">
                  <c:v>461441.49490980495</c:v>
                </c:pt>
                <c:pt idx="6">
                  <c:v>460761.52390570578</c:v>
                </c:pt>
                <c:pt idx="7">
                  <c:v>460080.27997673466</c:v>
                </c:pt>
                <c:pt idx="8">
                  <c:v>459397.79756229697</c:v>
                </c:pt>
                <c:pt idx="9">
                  <c:v>458714.11073714052</c:v>
                </c:pt>
                <c:pt idx="10">
                  <c:v>458029.25328016916</c:v>
                </c:pt>
                <c:pt idx="11">
                  <c:v>457343.25874824921</c:v>
                </c:pt>
                <c:pt idx="12">
                  <c:v>456656.16055467265</c:v>
                </c:pt>
                <c:pt idx="13">
                  <c:v>455967.99205190531</c:v>
                </c:pt>
                <c:pt idx="14">
                  <c:v>455278.78661821591</c:v>
                </c:pt>
                <c:pt idx="15">
                  <c:v>454588.57774775737</c:v>
                </c:pt>
                <c:pt idx="16">
                  <c:v>453897.39914363646</c:v>
                </c:pt>
                <c:pt idx="17">
                  <c:v>453205.28481348505</c:v>
                </c:pt>
                <c:pt idx="18">
                  <c:v>452512.26916702231</c:v>
                </c:pt>
                <c:pt idx="19">
                  <c:v>451818.38711507584</c:v>
                </c:pt>
                <c:pt idx="20">
                  <c:v>451123.67416950699</c:v>
                </c:pt>
                <c:pt idx="21">
                  <c:v>450428.16654347605</c:v>
                </c:pt>
                <c:pt idx="22">
                  <c:v>449731.9012514631</c:v>
                </c:pt>
                <c:pt idx="23">
                  <c:v>449034.91620845464</c:v>
                </c:pt>
                <c:pt idx="24">
                  <c:v>448337.25032769761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SERFTbl1!$F$11</c:f>
              <c:strCache>
                <c:ptCount val="1"/>
                <c:pt idx="0">
                  <c:v>NPV 1: 4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SERFTbl1!$F$11</c:f>
                  <c:strCache>
                    <c:ptCount val="1"/>
                    <c:pt idx="0">
                      <c:v>NPV 1: 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elete val="1"/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3.7037037037037036E-7</c:v>
                </c:pt>
                <c:pt idx="2">
                  <c:v>7.4074074074074073E-7</c:v>
                </c:pt>
                <c:pt idx="3">
                  <c:v>1.111111111111111E-6</c:v>
                </c:pt>
                <c:pt idx="4">
                  <c:v>1.4814814814814815E-6</c:v>
                </c:pt>
                <c:pt idx="5">
                  <c:v>1.8518518518518519E-6</c:v>
                </c:pt>
                <c:pt idx="6">
                  <c:v>2.2222222222222221E-6</c:v>
                </c:pt>
                <c:pt idx="7">
                  <c:v>2.5925925925925925E-6</c:v>
                </c:pt>
                <c:pt idx="8">
                  <c:v>2.9629629629629629E-6</c:v>
                </c:pt>
                <c:pt idx="9">
                  <c:v>3.3333333333333333E-6</c:v>
                </c:pt>
                <c:pt idx="10">
                  <c:v>3.7037037037037037E-6</c:v>
                </c:pt>
                <c:pt idx="11">
                  <c:v>4.0740740740740742E-6</c:v>
                </c:pt>
                <c:pt idx="12">
                  <c:v>4.4444444444444441E-6</c:v>
                </c:pt>
                <c:pt idx="13">
                  <c:v>4.8148148148148141E-6</c:v>
                </c:pt>
                <c:pt idx="14">
                  <c:v>5.1851851851851841E-6</c:v>
                </c:pt>
                <c:pt idx="15">
                  <c:v>5.5555555555555541E-6</c:v>
                </c:pt>
                <c:pt idx="16">
                  <c:v>5.9259259259259241E-6</c:v>
                </c:pt>
                <c:pt idx="17">
                  <c:v>6.2962962962962941E-6</c:v>
                </c:pt>
                <c:pt idx="18">
                  <c:v>6.6666666666666641E-6</c:v>
                </c:pt>
                <c:pt idx="19">
                  <c:v>7.0370370370370341E-6</c:v>
                </c:pt>
                <c:pt idx="20">
                  <c:v>7.4074074074074041E-6</c:v>
                </c:pt>
                <c:pt idx="21">
                  <c:v>7.7777777777777741E-6</c:v>
                </c:pt>
                <c:pt idx="22">
                  <c:v>8.1481481481481449E-6</c:v>
                </c:pt>
                <c:pt idx="23">
                  <c:v>8.5185185185185158E-6</c:v>
                </c:pt>
                <c:pt idx="24">
                  <c:v>8.8888888888888866E-6</c:v>
                </c:pt>
              </c:numCache>
            </c:numRef>
          </c:xVal>
          <c:yVal>
            <c:numRef>
              <c:f>SERFTbl1!$F$12:$F$36</c:f>
              <c:numCache>
                <c:formatCode>#,##0.00</c:formatCode>
                <c:ptCount val="25"/>
                <c:pt idx="0">
                  <c:v>459169.29971517326</c:v>
                </c:pt>
                <c:pt idx="1">
                  <c:v>457609.79043954541</c:v>
                </c:pt>
                <c:pt idx="2">
                  <c:v>456045.23057314486</c:v>
                </c:pt>
                <c:pt idx="3">
                  <c:v>454475.81646284572</c:v>
                </c:pt>
                <c:pt idx="4">
                  <c:v>452901.73971269536</c:v>
                </c:pt>
                <c:pt idx="5">
                  <c:v>451323.18777943571</c:v>
                </c:pt>
                <c:pt idx="6">
                  <c:v>449740.34467903565</c:v>
                </c:pt>
                <c:pt idx="7">
                  <c:v>448153.39179774473</c:v>
                </c:pt>
                <c:pt idx="8">
                  <c:v>446562.50879961293</c:v>
                </c:pt>
                <c:pt idx="9">
                  <c:v>444967.87462090462</c:v>
                </c:pt>
                <c:pt idx="10">
                  <c:v>443369.66854040045</c:v>
                </c:pt>
                <c:pt idx="11">
                  <c:v>441768.07131324132</c:v>
                </c:pt>
                <c:pt idx="12">
                  <c:v>440163.26635475166</c:v>
                </c:pt>
                <c:pt idx="13">
                  <c:v>438555.4409595941</c:v>
                </c:pt>
                <c:pt idx="14">
                  <c:v>436944.78754069086</c:v>
                </c:pt>
                <c:pt idx="15">
                  <c:v>435331.5048716141</c:v>
                </c:pt>
                <c:pt idx="16">
                  <c:v>433715.79931560275</c:v>
                </c:pt>
                <c:pt idx="17">
                  <c:v>432097.88602404407</c:v>
                </c:pt>
                <c:pt idx="18">
                  <c:v>430477.99008717103</c:v>
                </c:pt>
                <c:pt idx="19">
                  <c:v>428856.34761987766</c:v>
                </c:pt>
                <c:pt idx="20">
                  <c:v>427233.20676595828</c:v>
                </c:pt>
                <c:pt idx="21">
                  <c:v>425608.82860474457</c:v>
                </c:pt>
                <c:pt idx="22">
                  <c:v>423983.48794503172</c:v>
                </c:pt>
                <c:pt idx="23">
                  <c:v>422357.47399236122</c:v>
                </c:pt>
                <c:pt idx="24">
                  <c:v>420731.09087715024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SERFTbl1!$G$11</c:f>
              <c:strCache>
                <c:ptCount val="1"/>
                <c:pt idx="0">
                  <c:v>NPV 1: 5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SERFTbl1!$G$11</c:f>
                  <c:strCache>
                    <c:ptCount val="1"/>
                    <c:pt idx="0">
                      <c:v>NPV 1: 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elete val="1"/>
          </c:dLbls>
          <c:xVal>
            <c:numRef>
              <c:f>SERFTbl1!$B$12:$B$36</c:f>
              <c:numCache>
                <c:formatCode>0.0000</c:formatCode>
                <c:ptCount val="25"/>
                <c:pt idx="0" formatCode="General">
                  <c:v>0</c:v>
                </c:pt>
                <c:pt idx="1">
                  <c:v>3.7037037037037036E-7</c:v>
                </c:pt>
                <c:pt idx="2">
                  <c:v>7.4074074074074073E-7</c:v>
                </c:pt>
                <c:pt idx="3">
                  <c:v>1.111111111111111E-6</c:v>
                </c:pt>
                <c:pt idx="4">
                  <c:v>1.4814814814814815E-6</c:v>
                </c:pt>
                <c:pt idx="5">
                  <c:v>1.8518518518518519E-6</c:v>
                </c:pt>
                <c:pt idx="6">
                  <c:v>2.2222222222222221E-6</c:v>
                </c:pt>
                <c:pt idx="7">
                  <c:v>2.5925925925925925E-6</c:v>
                </c:pt>
                <c:pt idx="8">
                  <c:v>2.9629629629629629E-6</c:v>
                </c:pt>
                <c:pt idx="9">
                  <c:v>3.3333333333333333E-6</c:v>
                </c:pt>
                <c:pt idx="10">
                  <c:v>3.7037037037037037E-6</c:v>
                </c:pt>
                <c:pt idx="11">
                  <c:v>4.0740740740740742E-6</c:v>
                </c:pt>
                <c:pt idx="12">
                  <c:v>4.4444444444444441E-6</c:v>
                </c:pt>
                <c:pt idx="13">
                  <c:v>4.8148148148148141E-6</c:v>
                </c:pt>
                <c:pt idx="14">
                  <c:v>5.1851851851851841E-6</c:v>
                </c:pt>
                <c:pt idx="15">
                  <c:v>5.5555555555555541E-6</c:v>
                </c:pt>
                <c:pt idx="16">
                  <c:v>5.9259259259259241E-6</c:v>
                </c:pt>
                <c:pt idx="17">
                  <c:v>6.2962962962962941E-6</c:v>
                </c:pt>
                <c:pt idx="18">
                  <c:v>6.6666666666666641E-6</c:v>
                </c:pt>
                <c:pt idx="19">
                  <c:v>7.0370370370370341E-6</c:v>
                </c:pt>
                <c:pt idx="20">
                  <c:v>7.4074074074074041E-6</c:v>
                </c:pt>
                <c:pt idx="21">
                  <c:v>7.7777777777777741E-6</c:v>
                </c:pt>
                <c:pt idx="22">
                  <c:v>8.1481481481481449E-6</c:v>
                </c:pt>
                <c:pt idx="23">
                  <c:v>8.5185185185185158E-6</c:v>
                </c:pt>
                <c:pt idx="24">
                  <c:v>8.8888888888888866E-6</c:v>
                </c:pt>
              </c:numCache>
            </c:numRef>
          </c:xVal>
          <c:yVal>
            <c:numRef>
              <c:f>SERFTbl1!$G$12:$G$36</c:f>
              <c:numCache>
                <c:formatCode>#,##0.00</c:formatCode>
                <c:ptCount val="25"/>
                <c:pt idx="0">
                  <c:v>430650.2991664242</c:v>
                </c:pt>
                <c:pt idx="1">
                  <c:v>430364.12922031764</c:v>
                </c:pt>
                <c:pt idx="2">
                  <c:v>430077.55272060627</c:v>
                </c:pt>
                <c:pt idx="3">
                  <c:v>429790.57644010935</c:v>
                </c:pt>
                <c:pt idx="4">
                  <c:v>429503.20707505697</c:v>
                </c:pt>
                <c:pt idx="5">
                  <c:v>429215.45124774193</c:v>
                </c:pt>
                <c:pt idx="6">
                  <c:v>428927.31550950091</c:v>
                </c:pt>
                <c:pt idx="7">
                  <c:v>428638.80634399835</c:v>
                </c:pt>
                <c:pt idx="8">
                  <c:v>428349.93017082068</c:v>
                </c:pt>
                <c:pt idx="9">
                  <c:v>428060.69334937329</c:v>
                </c:pt>
                <c:pt idx="10">
                  <c:v>427771.10218307126</c:v>
                </c:pt>
                <c:pt idx="11">
                  <c:v>427481.16292381898</c:v>
                </c:pt>
                <c:pt idx="12">
                  <c:v>427190.88177677331</c:v>
                </c:pt>
                <c:pt idx="13">
                  <c:v>426900.2649053756</c:v>
                </c:pt>
                <c:pt idx="14">
                  <c:v>426609.31843665097</c:v>
                </c:pt>
                <c:pt idx="15">
                  <c:v>426318.04846675886</c:v>
                </c:pt>
                <c:pt idx="16">
                  <c:v>426026.46106678713</c:v>
                </c:pt>
                <c:pt idx="17">
                  <c:v>425734.56228877796</c:v>
                </c:pt>
                <c:pt idx="18">
                  <c:v>425442.35817197338</c:v>
                </c:pt>
                <c:pt idx="19">
                  <c:v>425149.85474926652</c:v>
                </c:pt>
                <c:pt idx="20">
                  <c:v>424857.05805384647</c:v>
                </c:pt>
                <c:pt idx="21">
                  <c:v>424563.97412602353</c:v>
                </c:pt>
                <c:pt idx="22">
                  <c:v>424270.60902021668</c:v>
                </c:pt>
                <c:pt idx="23">
                  <c:v>423976.96881209215</c:v>
                </c:pt>
                <c:pt idx="24">
                  <c:v>423683.05960583396</c:v>
                </c:pt>
              </c:numCache>
            </c:numRef>
          </c:yVal>
          <c:smooth val="1"/>
        </c:ser>
        <c:axId val="49228032"/>
        <c:axId val="49246592"/>
      </c:scatterChart>
      <c:valAx>
        <c:axId val="49228032"/>
        <c:scaling>
          <c:orientation val="minMax"/>
        </c:scaling>
        <c:axPos val="b"/>
        <c:title>
          <c:tx>
            <c:strRef>
              <c:f>SERFTbl1!$B$11</c:f>
              <c:strCache>
                <c:ptCount val="1"/>
                <c:pt idx="0">
                  <c:v>ARAC</c:v>
                </c:pt>
              </c:strCache>
            </c:strRef>
          </c:tx>
          <c:layout>
            <c:manualLayout>
              <c:xMode val="edge"/>
              <c:yMode val="edge"/>
              <c:x val="0.50816884096235326"/>
              <c:y val="0.84851092121472849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46592"/>
        <c:crosses val="autoZero"/>
        <c:crossBetween val="midCat"/>
      </c:valAx>
      <c:valAx>
        <c:axId val="49246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280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31423237972793"/>
          <c:y val="0.93361231154304936"/>
          <c:w val="0.78305020689216709"/>
          <c:h val="5.506560550656055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8057713651498335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812430632630414E-2"/>
          <c:y val="0.12071778140293637"/>
          <c:w val="0.91009988901220862"/>
          <c:h val="0.76998368678629692"/>
        </c:manualLayout>
      </c:layout>
      <c:scatterChart>
        <c:scatterStyle val="smoothMarker"/>
        <c:ser>
          <c:idx val="0"/>
          <c:order val="0"/>
          <c:tx>
            <c:strRef>
              <c:f>SimData!$R$2</c:f>
              <c:strCache>
                <c:ptCount val="1"/>
                <c:pt idx="0">
                  <c:v>IRR as %: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SimData!$R$3:$R$102</c:f>
              <c:numCache>
                <c:formatCode>General</c:formatCode>
                <c:ptCount val="100"/>
                <c:pt idx="0">
                  <c:v>6.7808479239530861</c:v>
                </c:pt>
                <c:pt idx="1">
                  <c:v>6.8386616128045832</c:v>
                </c:pt>
                <c:pt idx="2">
                  <c:v>6.989149576994401</c:v>
                </c:pt>
                <c:pt idx="3">
                  <c:v>7.6001382269715476</c:v>
                </c:pt>
                <c:pt idx="4">
                  <c:v>7.7039027817539889</c:v>
                </c:pt>
                <c:pt idx="5">
                  <c:v>7.8563216196791767</c:v>
                </c:pt>
                <c:pt idx="6">
                  <c:v>8.0545897340095802</c:v>
                </c:pt>
                <c:pt idx="7">
                  <c:v>8.1645210617468535</c:v>
                </c:pt>
                <c:pt idx="8">
                  <c:v>8.20476195883389</c:v>
                </c:pt>
                <c:pt idx="9">
                  <c:v>8.2833670353010316</c:v>
                </c:pt>
                <c:pt idx="10">
                  <c:v>8.3317663534211466</c:v>
                </c:pt>
                <c:pt idx="11">
                  <c:v>8.3436309969210107</c:v>
                </c:pt>
                <c:pt idx="12">
                  <c:v>8.4758252107076153</c:v>
                </c:pt>
                <c:pt idx="13">
                  <c:v>8.4794503876747527</c:v>
                </c:pt>
                <c:pt idx="14">
                  <c:v>8.5198232363578903</c:v>
                </c:pt>
                <c:pt idx="15">
                  <c:v>8.5471767056294095</c:v>
                </c:pt>
                <c:pt idx="16">
                  <c:v>8.7206822704319045</c:v>
                </c:pt>
                <c:pt idx="17">
                  <c:v>8.7254465690796525</c:v>
                </c:pt>
                <c:pt idx="18">
                  <c:v>8.7439324414175896</c:v>
                </c:pt>
                <c:pt idx="19">
                  <c:v>8.7534918697095971</c:v>
                </c:pt>
                <c:pt idx="20">
                  <c:v>8.8464765790805586</c:v>
                </c:pt>
                <c:pt idx="21">
                  <c:v>8.8733858506003198</c:v>
                </c:pt>
                <c:pt idx="22">
                  <c:v>8.8858863485609501</c:v>
                </c:pt>
                <c:pt idx="23">
                  <c:v>8.9060378752519505</c:v>
                </c:pt>
                <c:pt idx="24">
                  <c:v>8.9151321497602272</c:v>
                </c:pt>
                <c:pt idx="25">
                  <c:v>8.9439079681303753</c:v>
                </c:pt>
                <c:pt idx="26">
                  <c:v>8.9669865736560013</c:v>
                </c:pt>
                <c:pt idx="27">
                  <c:v>8.9693829808635606</c:v>
                </c:pt>
                <c:pt idx="28">
                  <c:v>9.0054214439436713</c:v>
                </c:pt>
                <c:pt idx="29">
                  <c:v>9.0682287994795612</c:v>
                </c:pt>
                <c:pt idx="30">
                  <c:v>9.1035824523924092</c:v>
                </c:pt>
                <c:pt idx="31">
                  <c:v>9.1065417429843141</c:v>
                </c:pt>
                <c:pt idx="32">
                  <c:v>9.1104790478540281</c:v>
                </c:pt>
                <c:pt idx="33">
                  <c:v>9.123577249267699</c:v>
                </c:pt>
                <c:pt idx="34">
                  <c:v>9.1989802733569057</c:v>
                </c:pt>
                <c:pt idx="35">
                  <c:v>9.2550380726642825</c:v>
                </c:pt>
                <c:pt idx="36">
                  <c:v>9.2565109374852934</c:v>
                </c:pt>
                <c:pt idx="37">
                  <c:v>9.299474725012681</c:v>
                </c:pt>
                <c:pt idx="38">
                  <c:v>9.3020516484233742</c:v>
                </c:pt>
                <c:pt idx="39">
                  <c:v>9.3479608749191669</c:v>
                </c:pt>
                <c:pt idx="40">
                  <c:v>9.3757889626633588</c:v>
                </c:pt>
                <c:pt idx="41">
                  <c:v>9.3786594583391736</c:v>
                </c:pt>
                <c:pt idx="42">
                  <c:v>9.4132934372496315</c:v>
                </c:pt>
                <c:pt idx="43">
                  <c:v>9.4553499036360815</c:v>
                </c:pt>
                <c:pt idx="44">
                  <c:v>9.4684768292815225</c:v>
                </c:pt>
                <c:pt idx="45">
                  <c:v>9.4701304046267811</c:v>
                </c:pt>
                <c:pt idx="46">
                  <c:v>9.4891736967407248</c:v>
                </c:pt>
                <c:pt idx="47">
                  <c:v>9.5032248694221089</c:v>
                </c:pt>
                <c:pt idx="48">
                  <c:v>9.5199147009403902</c:v>
                </c:pt>
                <c:pt idx="49">
                  <c:v>9.5318967588351207</c:v>
                </c:pt>
                <c:pt idx="50">
                  <c:v>9.555872738868775</c:v>
                </c:pt>
                <c:pt idx="51">
                  <c:v>9.6529121141265595</c:v>
                </c:pt>
                <c:pt idx="52">
                  <c:v>9.6839144639394785</c:v>
                </c:pt>
                <c:pt idx="53">
                  <c:v>9.7312036815839367</c:v>
                </c:pt>
                <c:pt idx="54">
                  <c:v>9.7879578297564258</c:v>
                </c:pt>
                <c:pt idx="55">
                  <c:v>9.7905965692208454</c:v>
                </c:pt>
                <c:pt idx="56">
                  <c:v>9.8379897604979529</c:v>
                </c:pt>
                <c:pt idx="57">
                  <c:v>9.8651774323808272</c:v>
                </c:pt>
                <c:pt idx="58">
                  <c:v>9.8679098292869476</c:v>
                </c:pt>
                <c:pt idx="59">
                  <c:v>9.913734431866164</c:v>
                </c:pt>
                <c:pt idx="60">
                  <c:v>9.9247050608826086</c:v>
                </c:pt>
                <c:pt idx="61">
                  <c:v>9.9558018624711799</c:v>
                </c:pt>
                <c:pt idx="62">
                  <c:v>10.000250119377538</c:v>
                </c:pt>
                <c:pt idx="63">
                  <c:v>10.024544295746262</c:v>
                </c:pt>
                <c:pt idx="64">
                  <c:v>10.057515412220752</c:v>
                </c:pt>
                <c:pt idx="65">
                  <c:v>10.059855751484251</c:v>
                </c:pt>
                <c:pt idx="66">
                  <c:v>10.075567912379366</c:v>
                </c:pt>
                <c:pt idx="67">
                  <c:v>10.099013370936589</c:v>
                </c:pt>
                <c:pt idx="68">
                  <c:v>10.121866059831365</c:v>
                </c:pt>
                <c:pt idx="69">
                  <c:v>10.161483783013054</c:v>
                </c:pt>
                <c:pt idx="70">
                  <c:v>10.210763792217127</c:v>
                </c:pt>
                <c:pt idx="71">
                  <c:v>10.313631093638939</c:v>
                </c:pt>
                <c:pt idx="72">
                  <c:v>10.32735179956023</c:v>
                </c:pt>
                <c:pt idx="73">
                  <c:v>10.341825020911392</c:v>
                </c:pt>
                <c:pt idx="74">
                  <c:v>10.405432498453205</c:v>
                </c:pt>
                <c:pt idx="75">
                  <c:v>10.484761393023749</c:v>
                </c:pt>
                <c:pt idx="76">
                  <c:v>10.528724112807133</c:v>
                </c:pt>
                <c:pt idx="77">
                  <c:v>10.538937591829095</c:v>
                </c:pt>
                <c:pt idx="78">
                  <c:v>10.56113603249325</c:v>
                </c:pt>
                <c:pt idx="79">
                  <c:v>10.597231582279738</c:v>
                </c:pt>
                <c:pt idx="80">
                  <c:v>10.624632421939141</c:v>
                </c:pt>
                <c:pt idx="81">
                  <c:v>10.647086852403701</c:v>
                </c:pt>
                <c:pt idx="82">
                  <c:v>10.698605479363753</c:v>
                </c:pt>
                <c:pt idx="83">
                  <c:v>10.701596398265549</c:v>
                </c:pt>
                <c:pt idx="84">
                  <c:v>10.763999250065936</c:v>
                </c:pt>
                <c:pt idx="85">
                  <c:v>10.764291443874214</c:v>
                </c:pt>
                <c:pt idx="86">
                  <c:v>10.780542313297651</c:v>
                </c:pt>
                <c:pt idx="87">
                  <c:v>10.942044876481742</c:v>
                </c:pt>
                <c:pt idx="88">
                  <c:v>10.988620865708848</c:v>
                </c:pt>
                <c:pt idx="89">
                  <c:v>10.997826973976519</c:v>
                </c:pt>
                <c:pt idx="90">
                  <c:v>11.008723773066563</c:v>
                </c:pt>
                <c:pt idx="91">
                  <c:v>11.148829332756762</c:v>
                </c:pt>
                <c:pt idx="92">
                  <c:v>11.209840542199203</c:v>
                </c:pt>
                <c:pt idx="93">
                  <c:v>11.403982111455685</c:v>
                </c:pt>
                <c:pt idx="94">
                  <c:v>11.411351703176036</c:v>
                </c:pt>
                <c:pt idx="95">
                  <c:v>11.456451953988125</c:v>
                </c:pt>
                <c:pt idx="96">
                  <c:v>11.480564456845366</c:v>
                </c:pt>
                <c:pt idx="97">
                  <c:v>11.487170778309483</c:v>
                </c:pt>
                <c:pt idx="98">
                  <c:v>11.560428827056755</c:v>
                </c:pt>
                <c:pt idx="99">
                  <c:v>11.813541447763514</c:v>
                </c:pt>
              </c:numCache>
            </c:numRef>
          </c:xVal>
          <c:yVal>
            <c:numRef>
              <c:f>SimData!$S$3:$S$102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SimData!$T$2</c:f>
              <c:strCache>
                <c:ptCount val="1"/>
                <c:pt idx="0">
                  <c:v>IRR as %: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SimData!$T$3:$T$102</c:f>
              <c:numCache>
                <c:formatCode>General</c:formatCode>
                <c:ptCount val="100"/>
                <c:pt idx="0">
                  <c:v>6.6924405883619569</c:v>
                </c:pt>
                <c:pt idx="1">
                  <c:v>6.7620456718524942</c:v>
                </c:pt>
                <c:pt idx="2">
                  <c:v>6.9430729241841762</c:v>
                </c:pt>
                <c:pt idx="3">
                  <c:v>7.6758233767707047</c:v>
                </c:pt>
                <c:pt idx="4">
                  <c:v>7.7999194887150587</c:v>
                </c:pt>
                <c:pt idx="5">
                  <c:v>7.98202444465913</c:v>
                </c:pt>
                <c:pt idx="6">
                  <c:v>8.2185940871642131</c:v>
                </c:pt>
                <c:pt idx="7">
                  <c:v>8.3496105739350135</c:v>
                </c:pt>
                <c:pt idx="8">
                  <c:v>8.3975430301999197</c:v>
                </c:pt>
                <c:pt idx="9">
                  <c:v>8.4911313803068786</c:v>
                </c:pt>
                <c:pt idx="10">
                  <c:v>8.5487293654182874</c:v>
                </c:pt>
                <c:pt idx="11">
                  <c:v>8.5628458532636529</c:v>
                </c:pt>
                <c:pt idx="12">
                  <c:v>8.7200470243709454</c:v>
                </c:pt>
                <c:pt idx="13">
                  <c:v>8.7243558378273569</c:v>
                </c:pt>
                <c:pt idx="14">
                  <c:v>8.7723345477547277</c:v>
                </c:pt>
                <c:pt idx="15">
                  <c:v>8.8048331794218555</c:v>
                </c:pt>
                <c:pt idx="16">
                  <c:v>9.0108259454075696</c:v>
                </c:pt>
                <c:pt idx="17">
                  <c:v>9.0164786987647858</c:v>
                </c:pt>
                <c:pt idx="18">
                  <c:v>9.0384100295519278</c:v>
                </c:pt>
                <c:pt idx="19">
                  <c:v>9.0497500420946526</c:v>
                </c:pt>
                <c:pt idx="20">
                  <c:v>9.1600143212183998</c:v>
                </c:pt>
                <c:pt idx="21">
                  <c:v>9.1919106489927582</c:v>
                </c:pt>
                <c:pt idx="22">
                  <c:v>9.2067257828439164</c:v>
                </c:pt>
                <c:pt idx="23">
                  <c:v>9.230605885052702</c:v>
                </c:pt>
                <c:pt idx="24">
                  <c:v>9.2413817343750964</c:v>
                </c:pt>
                <c:pt idx="25">
                  <c:v>9.2754737934831013</c:v>
                </c:pt>
                <c:pt idx="26">
                  <c:v>9.3028111136977714</c:v>
                </c:pt>
                <c:pt idx="27">
                  <c:v>9.3056494780585837</c:v>
                </c:pt>
                <c:pt idx="28">
                  <c:v>9.3483285790982453</c:v>
                </c:pt>
                <c:pt idx="29">
                  <c:v>9.4226834361111944</c:v>
                </c:pt>
                <c:pt idx="30">
                  <c:v>9.464522740604874</c:v>
                </c:pt>
                <c:pt idx="31">
                  <c:v>9.4680244482375588</c:v>
                </c:pt>
                <c:pt idx="32">
                  <c:v>9.4726833215661923</c:v>
                </c:pt>
                <c:pt idx="33">
                  <c:v>9.4881810418644665</c:v>
                </c:pt>
                <c:pt idx="34">
                  <c:v>9.5773701185743612</c:v>
                </c:pt>
                <c:pt idx="35">
                  <c:v>9.6436469386225294</c:v>
                </c:pt>
                <c:pt idx="36">
                  <c:v>9.6453879532953248</c:v>
                </c:pt>
                <c:pt idx="37">
                  <c:v>9.6961659745584896</c:v>
                </c:pt>
                <c:pt idx="38">
                  <c:v>9.6992111114224855</c:v>
                </c:pt>
                <c:pt idx="39">
                  <c:v>9.753452791985044</c:v>
                </c:pt>
                <c:pt idx="40">
                  <c:v>9.7863233438495243</c:v>
                </c:pt>
                <c:pt idx="41">
                  <c:v>9.7897136194823844</c:v>
                </c:pt>
                <c:pt idx="42">
                  <c:v>9.830613776191452</c:v>
                </c:pt>
                <c:pt idx="43">
                  <c:v>9.8802663795368595</c:v>
                </c:pt>
                <c:pt idx="44">
                  <c:v>9.8957613545211967</c:v>
                </c:pt>
                <c:pt idx="45">
                  <c:v>9.8977131309610566</c:v>
                </c:pt>
                <c:pt idx="46">
                  <c:v>9.9201890599007729</c:v>
                </c:pt>
                <c:pt idx="47">
                  <c:v>9.9367711595714123</c:v>
                </c:pt>
                <c:pt idx="48">
                  <c:v>9.9564651509957542</c:v>
                </c:pt>
                <c:pt idx="49">
                  <c:v>9.9706026024821099</c:v>
                </c:pt>
                <c:pt idx="50">
                  <c:v>9.9988880708879027</c:v>
                </c:pt>
                <c:pt idx="51">
                  <c:v>10.113322881794177</c:v>
                </c:pt>
                <c:pt idx="52">
                  <c:v>10.149867068205975</c:v>
                </c:pt>
                <c:pt idx="53">
                  <c:v>10.20559491324596</c:v>
                </c:pt>
                <c:pt idx="54">
                  <c:v>10.272453512310607</c:v>
                </c:pt>
                <c:pt idx="55">
                  <c:v>10.275561437031708</c:v>
                </c:pt>
                <c:pt idx="56">
                  <c:v>10.331372196337965</c:v>
                </c:pt>
                <c:pt idx="57">
                  <c:v>10.363380809070046</c:v>
                </c:pt>
                <c:pt idx="58">
                  <c:v>10.366597399072477</c:v>
                </c:pt>
                <c:pt idx="59">
                  <c:v>10.420533694605307</c:v>
                </c:pt>
                <c:pt idx="60">
                  <c:v>10.433443887566327</c:v>
                </c:pt>
                <c:pt idx="61">
                  <c:v>10.470033423548559</c:v>
                </c:pt>
                <c:pt idx="62">
                  <c:v>10.522319774067345</c:v>
                </c:pt>
                <c:pt idx="63">
                  <c:v>10.550891606767857</c:v>
                </c:pt>
                <c:pt idx="64">
                  <c:v>10.589660945235522</c:v>
                </c:pt>
                <c:pt idx="65">
                  <c:v>10.592412534226014</c:v>
                </c:pt>
                <c:pt idx="66">
                  <c:v>10.610884585863504</c:v>
                </c:pt>
                <c:pt idx="67">
                  <c:v>10.638444802449108</c:v>
                </c:pt>
                <c:pt idx="68">
                  <c:v>10.665304176289778</c:v>
                </c:pt>
                <c:pt idx="69">
                  <c:v>10.711858511172929</c:v>
                </c:pt>
                <c:pt idx="70">
                  <c:v>10.769750241718299</c:v>
                </c:pt>
                <c:pt idx="71">
                  <c:v>10.890534496404072</c:v>
                </c:pt>
                <c:pt idx="72">
                  <c:v>10.906638986586477</c:v>
                </c:pt>
                <c:pt idx="73">
                  <c:v>10.923625199417732</c:v>
                </c:pt>
                <c:pt idx="74">
                  <c:v>10.998258265626724</c:v>
                </c:pt>
                <c:pt idx="75">
                  <c:v>11.091295555199343</c:v>
                </c:pt>
                <c:pt idx="76">
                  <c:v>11.142835100289258</c:v>
                </c:pt>
                <c:pt idx="77">
                  <c:v>11.154806789087935</c:v>
                </c:pt>
                <c:pt idx="78">
                  <c:v>11.180823944139719</c:v>
                </c:pt>
                <c:pt idx="79">
                  <c:v>11.22312111302679</c:v>
                </c:pt>
                <c:pt idx="80">
                  <c:v>11.255223317986125</c:v>
                </c:pt>
                <c:pt idx="81">
                  <c:v>11.281526308874689</c:v>
                </c:pt>
                <c:pt idx="82">
                  <c:v>11.341860966204793</c:v>
                </c:pt>
                <c:pt idx="83">
                  <c:v>11.345363104246026</c:v>
                </c:pt>
                <c:pt idx="84">
                  <c:v>11.418417202240546</c:v>
                </c:pt>
                <c:pt idx="85">
                  <c:v>11.418759202508898</c:v>
                </c:pt>
                <c:pt idx="86">
                  <c:v>11.437779168125765</c:v>
                </c:pt>
                <c:pt idx="87">
                  <c:v>11.626697358041586</c:v>
                </c:pt>
                <c:pt idx="88">
                  <c:v>11.681144901498181</c:v>
                </c:pt>
                <c:pt idx="89">
                  <c:v>11.691905045273911</c:v>
                </c:pt>
                <c:pt idx="90">
                  <c:v>11.704640493578292</c:v>
                </c:pt>
                <c:pt idx="91">
                  <c:v>11.868311144385025</c:v>
                </c:pt>
                <c:pt idx="92">
                  <c:v>11.939540679505326</c:v>
                </c:pt>
                <c:pt idx="93">
                  <c:v>12.166023784860714</c:v>
                </c:pt>
                <c:pt idx="94">
                  <c:v>12.174615879054146</c:v>
                </c:pt>
                <c:pt idx="95">
                  <c:v>12.22718936804802</c:v>
                </c:pt>
                <c:pt idx="96">
                  <c:v>12.255291605696488</c:v>
                </c:pt>
                <c:pt idx="97">
                  <c:v>12.262990330122335</c:v>
                </c:pt>
                <c:pt idx="98">
                  <c:v>12.348341968816106</c:v>
                </c:pt>
                <c:pt idx="99">
                  <c:v>12.642956582907233</c:v>
                </c:pt>
              </c:numCache>
            </c:numRef>
          </c:xVal>
          <c:yVal>
            <c:numRef>
              <c:f>SimData!$U$3:$U$102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SimData!$V$2</c:f>
              <c:strCache>
                <c:ptCount val="1"/>
                <c:pt idx="0">
                  <c:v>IRR as %: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SimData!$V$3:$V$102</c:f>
              <c:numCache>
                <c:formatCode>General</c:formatCode>
                <c:ptCount val="100"/>
                <c:pt idx="0">
                  <c:v>7.1249189242760176</c:v>
                </c:pt>
                <c:pt idx="1">
                  <c:v>7.1773899192223389</c:v>
                </c:pt>
                <c:pt idx="2">
                  <c:v>7.3140250909202678</c:v>
                </c:pt>
                <c:pt idx="3">
                  <c:v>7.8695627457805077</c:v>
                </c:pt>
                <c:pt idx="4">
                  <c:v>7.964034368511383</c:v>
                </c:pt>
                <c:pt idx="5">
                  <c:v>8.1028673688143158</c:v>
                </c:pt>
                <c:pt idx="6">
                  <c:v>8.2835767561507883</c:v>
                </c:pt>
                <c:pt idx="7">
                  <c:v>8.383827552519767</c:v>
                </c:pt>
                <c:pt idx="8">
                  <c:v>8.4205346017698535</c:v>
                </c:pt>
                <c:pt idx="9">
                  <c:v>8.4922518146840407</c:v>
                </c:pt>
                <c:pt idx="10">
                  <c:v>8.536419941412893</c:v>
                </c:pt>
                <c:pt idx="11">
                  <c:v>8.5472484913458242</c:v>
                </c:pt>
                <c:pt idx="12">
                  <c:v>8.6679290534959552</c:v>
                </c:pt>
                <c:pt idx="13">
                  <c:v>8.671239273179852</c:v>
                </c:pt>
                <c:pt idx="14">
                  <c:v>8.708107323248198</c:v>
                </c:pt>
                <c:pt idx="15">
                  <c:v>8.7330891493107998</c:v>
                </c:pt>
                <c:pt idx="16">
                  <c:v>8.8916061041007044</c:v>
                </c:pt>
                <c:pt idx="17">
                  <c:v>8.895960163825972</c:v>
                </c:pt>
                <c:pt idx="18">
                  <c:v>8.9128549480554202</c:v>
                </c:pt>
                <c:pt idx="19">
                  <c:v>8.9215920110938782</c:v>
                </c:pt>
                <c:pt idx="20">
                  <c:v>9.0065924464961178</c:v>
                </c:pt>
                <c:pt idx="21">
                  <c:v>9.0311961376702712</c:v>
                </c:pt>
                <c:pt idx="22">
                  <c:v>9.0426263613450963</c:v>
                </c:pt>
                <c:pt idx="23">
                  <c:v>9.0610535653606394</c:v>
                </c:pt>
                <c:pt idx="24">
                  <c:v>9.0693700750023947</c:v>
                </c:pt>
                <c:pt idx="25">
                  <c:v>9.0956866029186187</c:v>
                </c:pt>
                <c:pt idx="26">
                  <c:v>9.1167946759583689</c:v>
                </c:pt>
                <c:pt idx="27">
                  <c:v>9.118986563907951</c:v>
                </c:pt>
                <c:pt idx="28">
                  <c:v>9.1519514960559096</c:v>
                </c:pt>
                <c:pt idx="29">
                  <c:v>9.2094119167655908</c:v>
                </c:pt>
                <c:pt idx="30">
                  <c:v>9.2417611710706069</c:v>
                </c:pt>
                <c:pt idx="31">
                  <c:v>9.2444691514961619</c:v>
                </c:pt>
                <c:pt idx="32">
                  <c:v>9.2480721325173523</c:v>
                </c:pt>
                <c:pt idx="33">
                  <c:v>9.2600584837125783</c:v>
                </c:pt>
                <c:pt idx="34">
                  <c:v>9.3290710892834259</c:v>
                </c:pt>
                <c:pt idx="35">
                  <c:v>9.3803892400179603</c:v>
                </c:pt>
                <c:pt idx="36">
                  <c:v>9.381737704283772</c:v>
                </c:pt>
                <c:pt idx="37">
                  <c:v>9.4210756054783893</c:v>
                </c:pt>
                <c:pt idx="38">
                  <c:v>9.4234352304059676</c:v>
                </c:pt>
                <c:pt idx="39">
                  <c:v>9.4654765505610428</c:v>
                </c:pt>
                <c:pt idx="40">
                  <c:v>9.4909631997081281</c:v>
                </c:pt>
                <c:pt idx="41">
                  <c:v>9.4935923070016113</c:v>
                </c:pt>
                <c:pt idx="42">
                  <c:v>9.5253157774028008</c:v>
                </c:pt>
                <c:pt idx="43">
                  <c:v>9.5638428478417392</c:v>
                </c:pt>
                <c:pt idx="44">
                  <c:v>9.5758692486180017</c:v>
                </c:pt>
                <c:pt idx="45">
                  <c:v>9.5773842296253804</c:v>
                </c:pt>
                <c:pt idx="46">
                  <c:v>9.5948320024095111</c:v>
                </c:pt>
                <c:pt idx="47">
                  <c:v>9.6077066140340985</c:v>
                </c:pt>
                <c:pt idx="48">
                  <c:v>9.622999710163068</c:v>
                </c:pt>
                <c:pt idx="49">
                  <c:v>9.6339795319007244</c:v>
                </c:pt>
                <c:pt idx="50">
                  <c:v>9.6559513409045206</c:v>
                </c:pt>
                <c:pt idx="51">
                  <c:v>9.7448966989226502</c:v>
                </c:pt>
                <c:pt idx="52">
                  <c:v>9.773319081588415</c:v>
                </c:pt>
                <c:pt idx="53">
                  <c:v>9.8166784754717717</c:v>
                </c:pt>
                <c:pt idx="54">
                  <c:v>9.8687250151909964</c:v>
                </c:pt>
                <c:pt idx="55">
                  <c:v>9.8711451104107528</c:v>
                </c:pt>
                <c:pt idx="56">
                  <c:v>9.9146148407272587</c:v>
                </c:pt>
                <c:pt idx="57">
                  <c:v>9.9395547681956824</c:v>
                </c:pt>
                <c:pt idx="58">
                  <c:v>9.9420613844523817</c:v>
                </c:pt>
                <c:pt idx="59">
                  <c:v>9.9841027338626969</c:v>
                </c:pt>
                <c:pt idx="60">
                  <c:v>9.9941685511926668</c:v>
                </c:pt>
                <c:pt idx="61">
                  <c:v>10.022702541152668</c:v>
                </c:pt>
                <c:pt idx="62">
                  <c:v>10.063492567654617</c:v>
                </c:pt>
                <c:pt idx="63">
                  <c:v>10.085789704110089</c:v>
                </c:pt>
                <c:pt idx="64">
                  <c:v>10.11605327653319</c:v>
                </c:pt>
                <c:pt idx="65">
                  <c:v>10.118201550995503</c:v>
                </c:pt>
                <c:pt idx="66">
                  <c:v>10.132624674801505</c:v>
                </c:pt>
                <c:pt idx="67">
                  <c:v>10.154147990002084</c:v>
                </c:pt>
                <c:pt idx="68">
                  <c:v>10.175128674518751</c:v>
                </c:pt>
                <c:pt idx="69">
                  <c:v>10.211504666838083</c:v>
                </c:pt>
                <c:pt idx="70">
                  <c:v>10.256758687141144</c:v>
                </c:pt>
                <c:pt idx="71">
                  <c:v>10.351244772003788</c:v>
                </c:pt>
                <c:pt idx="72">
                  <c:v>10.363849877995627</c:v>
                </c:pt>
                <c:pt idx="73">
                  <c:v>10.377146901561478</c:v>
                </c:pt>
                <c:pt idx="74">
                  <c:v>10.435592318257257</c:v>
                </c:pt>
                <c:pt idx="75">
                  <c:v>10.508499535916325</c:v>
                </c:pt>
                <c:pt idx="76">
                  <c:v>10.548911216701862</c:v>
                </c:pt>
                <c:pt idx="77">
                  <c:v>10.558300502298277</c:v>
                </c:pt>
                <c:pt idx="78">
                  <c:v>10.578708627736418</c:v>
                </c:pt>
                <c:pt idx="79">
                  <c:v>10.611896045616252</c:v>
                </c:pt>
                <c:pt idx="80">
                  <c:v>10.63709173566588</c:v>
                </c:pt>
                <c:pt idx="81">
                  <c:v>10.657740678024879</c:v>
                </c:pt>
                <c:pt idx="82">
                  <c:v>10.705122252381058</c:v>
                </c:pt>
                <c:pt idx="83">
                  <c:v>10.707873224716986</c:v>
                </c:pt>
                <c:pt idx="84">
                  <c:v>10.765275561616257</c:v>
                </c:pt>
                <c:pt idx="85">
                  <c:v>10.765544366927831</c:v>
                </c:pt>
                <c:pt idx="86">
                  <c:v>10.780494822468711</c:v>
                </c:pt>
                <c:pt idx="87">
                  <c:v>10.929114024928129</c:v>
                </c:pt>
                <c:pt idx="88">
                  <c:v>10.971988101457644</c:v>
                </c:pt>
                <c:pt idx="89">
                  <c:v>10.98046321256124</c:v>
                </c:pt>
                <c:pt idx="90">
                  <c:v>10.990495072291212</c:v>
                </c:pt>
                <c:pt idx="91">
                  <c:v>11.119509009762735</c:v>
                </c:pt>
                <c:pt idx="92">
                  <c:v>11.175707145106394</c:v>
                </c:pt>
                <c:pt idx="93">
                  <c:v>11.35460116787225</c:v>
                </c:pt>
                <c:pt idx="94">
                  <c:v>11.36139399274218</c:v>
                </c:pt>
                <c:pt idx="95">
                  <c:v>11.402967777852629</c:v>
                </c:pt>
                <c:pt idx="96">
                  <c:v>11.42519714954785</c:v>
                </c:pt>
                <c:pt idx="97">
                  <c:v>11.431287807725385</c:v>
                </c:pt>
                <c:pt idx="98">
                  <c:v>11.498835545023178</c:v>
                </c:pt>
                <c:pt idx="99">
                  <c:v>11.732329776242356</c:v>
                </c:pt>
              </c:numCache>
            </c:numRef>
          </c:xVal>
          <c:yVal>
            <c:numRef>
              <c:f>SimData!$W$3:$W$102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SimData!$X$2</c:f>
              <c:strCache>
                <c:ptCount val="1"/>
                <c:pt idx="0">
                  <c:v>IRR as %: 4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SimData!$X$3:$X$102</c:f>
              <c:numCache>
                <c:formatCode>General</c:formatCode>
                <c:ptCount val="100"/>
                <c:pt idx="0">
                  <c:v>5.5367250906862209</c:v>
                </c:pt>
                <c:pt idx="1">
                  <c:v>5.6217616387357516</c:v>
                </c:pt>
                <c:pt idx="2">
                  <c:v>5.8426618835650226</c:v>
                </c:pt>
                <c:pt idx="3">
                  <c:v>6.7330616251076352</c:v>
                </c:pt>
                <c:pt idx="4">
                  <c:v>6.883278480647685</c:v>
                </c:pt>
                <c:pt idx="5">
                  <c:v>7.1034196072556979</c:v>
                </c:pt>
                <c:pt idx="6">
                  <c:v>7.3888854920712648</c:v>
                </c:pt>
                <c:pt idx="7">
                  <c:v>7.5467343921728922</c:v>
                </c:pt>
                <c:pt idx="8">
                  <c:v>7.6044399617883354</c:v>
                </c:pt>
                <c:pt idx="9">
                  <c:v>7.7170436167255776</c:v>
                </c:pt>
                <c:pt idx="10">
                  <c:v>7.7863007231100401</c:v>
                </c:pt>
                <c:pt idx="11">
                  <c:v>7.8032696514576418</c:v>
                </c:pt>
                <c:pt idx="12">
                  <c:v>7.9921019920781236</c:v>
                </c:pt>
                <c:pt idx="13">
                  <c:v>7.9972743653784724</c:v>
                </c:pt>
                <c:pt idx="14">
                  <c:v>8.0548565095513549</c:v>
                </c:pt>
                <c:pt idx="15">
                  <c:v>8.0938472634970413</c:v>
                </c:pt>
                <c:pt idx="16">
                  <c:v>8.3407514836814958</c:v>
                </c:pt>
                <c:pt idx="17">
                  <c:v>8.3475211286089159</c:v>
                </c:pt>
                <c:pt idx="18">
                  <c:v>8.3737828263396104</c:v>
                </c:pt>
                <c:pt idx="19">
                  <c:v>8.3873601275918688</c:v>
                </c:pt>
                <c:pt idx="20">
                  <c:v>8.5193145321432855</c:v>
                </c:pt>
                <c:pt idx="21">
                  <c:v>8.5574636126147112</c:v>
                </c:pt>
                <c:pt idx="22">
                  <c:v>8.5751797299763783</c:v>
                </c:pt>
                <c:pt idx="23">
                  <c:v>8.6037314740881623</c:v>
                </c:pt>
                <c:pt idx="24">
                  <c:v>8.6166136277265473</c:v>
                </c:pt>
                <c:pt idx="25">
                  <c:v>8.6573622841721356</c:v>
                </c:pt>
                <c:pt idx="26">
                  <c:v>8.6900294071148743</c:v>
                </c:pt>
                <c:pt idx="27">
                  <c:v>8.693420748692839</c:v>
                </c:pt>
                <c:pt idx="28">
                  <c:v>8.7444055836056158</c:v>
                </c:pt>
                <c:pt idx="29">
                  <c:v>8.8331898557972846</c:v>
                </c:pt>
                <c:pt idx="30">
                  <c:v>8.8831259126149469</c:v>
                </c:pt>
                <c:pt idx="31">
                  <c:v>8.8873045342536336</c:v>
                </c:pt>
                <c:pt idx="32">
                  <c:v>8.8928638366014603</c:v>
                </c:pt>
                <c:pt idx="33">
                  <c:v>8.9113553819369784</c:v>
                </c:pt>
                <c:pt idx="34">
                  <c:v>9.0177307088700935</c:v>
                </c:pt>
                <c:pt idx="35">
                  <c:v>9.0967312985613358</c:v>
                </c:pt>
                <c:pt idx="36">
                  <c:v>9.0988060090970198</c:v>
                </c:pt>
                <c:pt idx="37">
                  <c:v>9.159304340382139</c:v>
                </c:pt>
                <c:pt idx="38">
                  <c:v>9.1629316524361091</c:v>
                </c:pt>
                <c:pt idx="39">
                  <c:v>9.2275292255391541</c:v>
                </c:pt>
                <c:pt idx="40">
                  <c:v>9.2666624684930596</c:v>
                </c:pt>
                <c:pt idx="41">
                  <c:v>9.2706981226767713</c:v>
                </c:pt>
                <c:pt idx="42">
                  <c:v>9.3193759144091288</c:v>
                </c:pt>
                <c:pt idx="43">
                  <c:v>9.3784502586825074</c:v>
                </c:pt>
                <c:pt idx="44">
                  <c:v>9.3968809158107742</c:v>
                </c:pt>
                <c:pt idx="45">
                  <c:v>9.3992023234866551</c:v>
                </c:pt>
                <c:pt idx="46">
                  <c:v>9.4259323257431049</c:v>
                </c:pt>
                <c:pt idx="47">
                  <c:v>9.4456500581826059</c:v>
                </c:pt>
                <c:pt idx="48">
                  <c:v>9.4690649376776701</c:v>
                </c:pt>
                <c:pt idx="49">
                  <c:v>9.4858713147256459</c:v>
                </c:pt>
                <c:pt idx="50">
                  <c:v>9.5194912770527473</c:v>
                </c:pt>
                <c:pt idx="51">
                  <c:v>9.6554353543322708</c:v>
                </c:pt>
                <c:pt idx="52">
                  <c:v>9.6988240201057359</c:v>
                </c:pt>
                <c:pt idx="53">
                  <c:v>9.7649666954571082</c:v>
                </c:pt>
                <c:pt idx="54">
                  <c:v>9.844284415862214</c:v>
                </c:pt>
                <c:pt idx="55">
                  <c:v>9.8479705537397866</c:v>
                </c:pt>
                <c:pt idx="56">
                  <c:v>9.9141502989168089</c:v>
                </c:pt>
                <c:pt idx="57">
                  <c:v>9.9520935289370467</c:v>
                </c:pt>
                <c:pt idx="58">
                  <c:v>9.9559060059221736</c:v>
                </c:pt>
                <c:pt idx="59">
                  <c:v>10.019820902514951</c:v>
                </c:pt>
                <c:pt idx="60">
                  <c:v>10.035115849225065</c:v>
                </c:pt>
                <c:pt idx="61">
                  <c:v>10.078456359813522</c:v>
                </c:pt>
                <c:pt idx="62">
                  <c:v>10.140369883985938</c:v>
                </c:pt>
                <c:pt idx="63">
                  <c:v>10.174192588223812</c:v>
                </c:pt>
                <c:pt idx="64">
                  <c:v>10.220075732252296</c:v>
                </c:pt>
                <c:pt idx="65">
                  <c:v>10.22333172497275</c:v>
                </c:pt>
                <c:pt idx="66">
                  <c:v>10.245188287517307</c:v>
                </c:pt>
                <c:pt idx="67">
                  <c:v>10.277792788857575</c:v>
                </c:pt>
                <c:pt idx="68">
                  <c:v>10.309561975045231</c:v>
                </c:pt>
                <c:pt idx="69">
                  <c:v>10.364611844319844</c:v>
                </c:pt>
                <c:pt idx="70">
                  <c:v>10.433042536736343</c:v>
                </c:pt>
                <c:pt idx="71">
                  <c:v>10.575724611529967</c:v>
                </c:pt>
                <c:pt idx="72">
                  <c:v>10.594739599664473</c:v>
                </c:pt>
                <c:pt idx="73">
                  <c:v>10.614793324487055</c:v>
                </c:pt>
                <c:pt idx="74">
                  <c:v>10.702875910280666</c:v>
                </c:pt>
                <c:pt idx="75">
                  <c:v>10.812614956870814</c:v>
                </c:pt>
                <c:pt idx="76">
                  <c:v>10.87337614028487</c:v>
                </c:pt>
                <c:pt idx="77">
                  <c:v>10.887486738291855</c:v>
                </c:pt>
                <c:pt idx="78">
                  <c:v>10.918148190124564</c:v>
                </c:pt>
                <c:pt idx="79">
                  <c:v>10.967984024046535</c:v>
                </c:pt>
                <c:pt idx="80">
                  <c:v>11.005798138669229</c:v>
                </c:pt>
                <c:pt idx="81">
                  <c:v>11.0367749697461</c:v>
                </c:pt>
                <c:pt idx="82">
                  <c:v>11.107809525636455</c:v>
                </c:pt>
                <c:pt idx="83">
                  <c:v>11.111931840795677</c:v>
                </c:pt>
                <c:pt idx="84">
                  <c:v>11.197900286846195</c:v>
                </c:pt>
                <c:pt idx="85">
                  <c:v>11.198302644590177</c:v>
                </c:pt>
                <c:pt idx="86">
                  <c:v>11.220677851669009</c:v>
                </c:pt>
                <c:pt idx="87">
                  <c:v>11.442766115809144</c:v>
                </c:pt>
                <c:pt idx="88">
                  <c:v>11.506721130321724</c:v>
                </c:pt>
                <c:pt idx="89">
                  <c:v>11.519357422853952</c:v>
                </c:pt>
                <c:pt idx="90">
                  <c:v>11.534312262715414</c:v>
                </c:pt>
                <c:pt idx="91">
                  <c:v>11.726392924560265</c:v>
                </c:pt>
                <c:pt idx="92">
                  <c:v>11.809921603351007</c:v>
                </c:pt>
                <c:pt idx="93">
                  <c:v>12.07525272350725</c:v>
                </c:pt>
                <c:pt idx="94">
                  <c:v>12.085310905789704</c:v>
                </c:pt>
                <c:pt idx="95">
                  <c:v>12.146842968165265</c:v>
                </c:pt>
                <c:pt idx="96">
                  <c:v>12.179725301260095</c:v>
                </c:pt>
                <c:pt idx="97">
                  <c:v>12.188732515060078</c:v>
                </c:pt>
                <c:pt idx="98">
                  <c:v>12.288560865235825</c:v>
                </c:pt>
                <c:pt idx="99">
                  <c:v>12.632729552456611</c:v>
                </c:pt>
              </c:numCache>
            </c:numRef>
          </c:xVal>
          <c:yVal>
            <c:numRef>
              <c:f>SimData!$Y$3:$Y$102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SimData!$Z$2</c:f>
              <c:strCache>
                <c:ptCount val="1"/>
                <c:pt idx="0">
                  <c:v>IRR as %: 5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SimData!$Z$3:$Z$102</c:f>
              <c:numCache>
                <c:formatCode>General</c:formatCode>
                <c:ptCount val="100"/>
                <c:pt idx="0">
                  <c:v>7.4664807882819249</c:v>
                </c:pt>
                <c:pt idx="1">
                  <c:v>7.5002532935392106</c:v>
                </c:pt>
                <c:pt idx="2">
                  <c:v>7.5883156080047351</c:v>
                </c:pt>
                <c:pt idx="3">
                  <c:v>7.9481106976777198</c:v>
                </c:pt>
                <c:pt idx="4">
                  <c:v>8.0095723184140173</c:v>
                </c:pt>
                <c:pt idx="5">
                  <c:v>8.1000396077014578</c:v>
                </c:pt>
                <c:pt idx="6">
                  <c:v>8.218051962636725</c:v>
                </c:pt>
                <c:pt idx="7">
                  <c:v>8.2836457758268622</c:v>
                </c:pt>
                <c:pt idx="8">
                  <c:v>8.3076853315109638</c:v>
                </c:pt>
                <c:pt idx="9">
                  <c:v>8.3546874704538681</c:v>
                </c:pt>
                <c:pt idx="10">
                  <c:v>8.3836570048509138</c:v>
                </c:pt>
                <c:pt idx="11">
                  <c:v>8.3907619887993103</c:v>
                </c:pt>
                <c:pt idx="12">
                  <c:v>8.470014390783442</c:v>
                </c:pt>
                <c:pt idx="13">
                  <c:v>8.4721900535901291</c:v>
                </c:pt>
                <c:pt idx="14">
                  <c:v>8.4964283020690416</c:v>
                </c:pt>
                <c:pt idx="15">
                  <c:v>8.5128589272592503</c:v>
                </c:pt>
                <c:pt idx="16">
                  <c:v>8.6172430935567323</c:v>
                </c:pt>
                <c:pt idx="17">
                  <c:v>8.6201133545960964</c:v>
                </c:pt>
                <c:pt idx="18">
                  <c:v>8.631252210539305</c:v>
                </c:pt>
                <c:pt idx="19">
                  <c:v>8.6370135950930162</c:v>
                </c:pt>
                <c:pt idx="20">
                  <c:v>8.6930991185786457</c:v>
                </c:pt>
                <c:pt idx="21">
                  <c:v>8.7093449875638544</c:v>
                </c:pt>
                <c:pt idx="22">
                  <c:v>8.7168941740524204</c:v>
                </c:pt>
                <c:pt idx="23">
                  <c:v>8.7290669586734033</c:v>
                </c:pt>
                <c:pt idx="24">
                  <c:v>8.7345617062102345</c:v>
                </c:pt>
                <c:pt idx="25">
                  <c:v>8.7519530757755479</c:v>
                </c:pt>
                <c:pt idx="26">
                  <c:v>8.765906751120065</c:v>
                </c:pt>
                <c:pt idx="27">
                  <c:v>8.7673559385887732</c:v>
                </c:pt>
                <c:pt idx="28">
                  <c:v>8.7891560248240399</c:v>
                </c:pt>
                <c:pt idx="29">
                  <c:v>8.8271776944590741</c:v>
                </c:pt>
                <c:pt idx="30">
                  <c:v>8.8485957875805212</c:v>
                </c:pt>
                <c:pt idx="31">
                  <c:v>8.8503891213305348</c:v>
                </c:pt>
                <c:pt idx="32">
                  <c:v>8.8527752584737307</c:v>
                </c:pt>
                <c:pt idx="33">
                  <c:v>8.8607142336908336</c:v>
                </c:pt>
                <c:pt idx="34">
                  <c:v>8.9064477222421878</c:v>
                </c:pt>
                <c:pt idx="35">
                  <c:v>8.9404819280820025</c:v>
                </c:pt>
                <c:pt idx="36">
                  <c:v>8.9413765345824352</c:v>
                </c:pt>
                <c:pt idx="37">
                  <c:v>8.9674811904875753</c:v>
                </c:pt>
                <c:pt idx="38">
                  <c:v>8.9690474607381638</c:v>
                </c:pt>
                <c:pt idx="39">
                  <c:v>8.9969616131383727</c:v>
                </c:pt>
                <c:pt idx="40">
                  <c:v>9.0138913340341151</c:v>
                </c:pt>
                <c:pt idx="41">
                  <c:v>9.0156380567225458</c:v>
                </c:pt>
                <c:pt idx="42">
                  <c:v>9.0367191093436059</c:v>
                </c:pt>
                <c:pt idx="43">
                  <c:v>9.0623328844873932</c:v>
                </c:pt>
                <c:pt idx="44">
                  <c:v>9.070330935197596</c:v>
                </c:pt>
                <c:pt idx="45">
                  <c:v>9.0713385473033181</c:v>
                </c:pt>
                <c:pt idx="46">
                  <c:v>9.0829444511132973</c:v>
                </c:pt>
                <c:pt idx="47">
                  <c:v>9.0915100447384773</c:v>
                </c:pt>
                <c:pt idx="48">
                  <c:v>9.101686512516789</c:v>
                </c:pt>
                <c:pt idx="49">
                  <c:v>9.1089940312376143</c:v>
                </c:pt>
                <c:pt idx="50">
                  <c:v>9.1236202465416216</c:v>
                </c:pt>
                <c:pt idx="51">
                  <c:v>9.1828714127733182</c:v>
                </c:pt>
                <c:pt idx="52">
                  <c:v>9.2018192108409238</c:v>
                </c:pt>
                <c:pt idx="53">
                  <c:v>9.2307379648669681</c:v>
                </c:pt>
                <c:pt idx="54">
                  <c:v>9.2654716666777084</c:v>
                </c:pt>
                <c:pt idx="55">
                  <c:v>9.2670872951345622</c:v>
                </c:pt>
                <c:pt idx="56">
                  <c:v>9.29611562538458</c:v>
                </c:pt>
                <c:pt idx="57">
                  <c:v>9.3127772761513778</c:v>
                </c:pt>
                <c:pt idx="58">
                  <c:v>9.314452164784246</c:v>
                </c:pt>
                <c:pt idx="59">
                  <c:v>9.3425515449011929</c:v>
                </c:pt>
                <c:pt idx="60">
                  <c:v>9.34928149316403</c:v>
                </c:pt>
                <c:pt idx="61">
                  <c:v>9.3683637920405598</c:v>
                </c:pt>
                <c:pt idx="62">
                  <c:v>9.3956542892736401</c:v>
                </c:pt>
                <c:pt idx="63">
                  <c:v>9.4105780597897528</c:v>
                </c:pt>
                <c:pt idx="64">
                  <c:v>9.4308405483208819</c:v>
                </c:pt>
                <c:pt idx="65">
                  <c:v>9.4322791830407837</c:v>
                </c:pt>
                <c:pt idx="66">
                  <c:v>9.4419389168673096</c:v>
                </c:pt>
                <c:pt idx="67">
                  <c:v>9.4563571709905521</c:v>
                </c:pt>
                <c:pt idx="68">
                  <c:v>9.4704156575066847</c:v>
                </c:pt>
                <c:pt idx="69">
                  <c:v>9.4947987801107718</c:v>
                </c:pt>
                <c:pt idx="70">
                  <c:v>9.5251483611073091</c:v>
                </c:pt>
                <c:pt idx="71">
                  <c:v>9.5885704969334462</c:v>
                </c:pt>
                <c:pt idx="72">
                  <c:v>9.5970370789147683</c:v>
                </c:pt>
                <c:pt idx="73">
                  <c:v>9.6059698405261162</c:v>
                </c:pt>
                <c:pt idx="74">
                  <c:v>9.6452501192676507</c:v>
                </c:pt>
                <c:pt idx="75">
                  <c:v>9.6942897131600088</c:v>
                </c:pt>
                <c:pt idx="76">
                  <c:v>9.7214908066749395</c:v>
                </c:pt>
                <c:pt idx="77">
                  <c:v>9.7278126681019899</c:v>
                </c:pt>
                <c:pt idx="78">
                  <c:v>9.7415560945334025</c:v>
                </c:pt>
                <c:pt idx="79">
                  <c:v>9.7639128206404209</c:v>
                </c:pt>
                <c:pt idx="80">
                  <c:v>9.7808919889557622</c:v>
                </c:pt>
                <c:pt idx="81">
                  <c:v>9.7948110476457941</c:v>
                </c:pt>
                <c:pt idx="82">
                  <c:v>9.826763352509877</c:v>
                </c:pt>
                <c:pt idx="83">
                  <c:v>9.8286190701865088</c:v>
                </c:pt>
                <c:pt idx="84">
                  <c:v>9.8673550530612122</c:v>
                </c:pt>
                <c:pt idx="85">
                  <c:v>9.8675365107825286</c:v>
                </c:pt>
                <c:pt idx="86">
                  <c:v>9.8776297894492071</c:v>
                </c:pt>
                <c:pt idx="87">
                  <c:v>9.9780645803522017</c:v>
                </c:pt>
                <c:pt idx="88">
                  <c:v>10.007071891026603</c:v>
                </c:pt>
                <c:pt idx="89">
                  <c:v>10.01280767390845</c:v>
                </c:pt>
                <c:pt idx="90">
                  <c:v>10.019597790481203</c:v>
                </c:pt>
                <c:pt idx="91">
                  <c:v>10.106994661251958</c:v>
                </c:pt>
                <c:pt idx="92">
                  <c:v>10.14510684681203</c:v>
                </c:pt>
                <c:pt idx="93">
                  <c:v>10.266598758738784</c:v>
                </c:pt>
                <c:pt idx="94">
                  <c:v>10.271217053107808</c:v>
                </c:pt>
                <c:pt idx="95">
                  <c:v>10.299490275759291</c:v>
                </c:pt>
                <c:pt idx="96">
                  <c:v>10.314613592996324</c:v>
                </c:pt>
                <c:pt idx="97">
                  <c:v>10.318757947319911</c:v>
                </c:pt>
                <c:pt idx="98">
                  <c:v>10.364740433297149</c:v>
                </c:pt>
                <c:pt idx="99">
                  <c:v>10.52397122614938</c:v>
                </c:pt>
              </c:numCache>
            </c:numRef>
          </c:xVal>
          <c:yVal>
            <c:numRef>
              <c:f>SimData!$AA$3:$AA$102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axId val="161805824"/>
        <c:axId val="49009408"/>
      </c:scatterChart>
      <c:valAx>
        <c:axId val="161805824"/>
        <c:scaling>
          <c:orientation val="minMax"/>
          <c:min val="4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09408"/>
        <c:crosses val="autoZero"/>
        <c:crossBetween val="midCat"/>
      </c:valAx>
      <c:valAx>
        <c:axId val="4900940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1239804241435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8058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861265260821311"/>
          <c:y val="0.95758564437194127"/>
          <c:w val="0.54938956714761378"/>
          <c:h val="3.75203915171288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11</xdr:row>
      <xdr:rowOff>0</xdr:rowOff>
    </xdr:from>
    <xdr:to>
      <xdr:col>24</xdr:col>
      <xdr:colOff>247650</xdr:colOff>
      <xdr:row>37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8</xdr:col>
      <xdr:colOff>561975</xdr:colOff>
      <xdr:row>36</xdr:row>
      <xdr:rowOff>123825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workbookViewId="0">
      <selection activeCell="A3" sqref="A3"/>
    </sheetView>
  </sheetViews>
  <sheetFormatPr defaultColWidth="14.7109375" defaultRowHeight="12.75"/>
  <cols>
    <col min="1" max="1" width="23.28515625" style="1" customWidth="1"/>
    <col min="2" max="7" width="12.7109375" style="1" customWidth="1"/>
    <col min="8" max="9" width="12.7109375" style="9" customWidth="1"/>
    <col min="10" max="24" width="12.7109375" style="1" customWidth="1"/>
    <col min="25" max="16384" width="14.7109375" style="1"/>
  </cols>
  <sheetData>
    <row r="1" spans="1:7">
      <c r="A1" s="47" t="str">
        <f ca="1">_xll.WBNAME()</f>
        <v>Net Present Value Demo.xlsx</v>
      </c>
      <c r="B1" s="7"/>
      <c r="C1" s="7"/>
      <c r="D1" s="7"/>
      <c r="E1" s="7"/>
      <c r="F1" s="7"/>
      <c r="G1" s="7"/>
    </row>
    <row r="2" spans="1:7">
      <c r="A2" s="23" t="s">
        <v>41</v>
      </c>
      <c r="B2" s="9"/>
      <c r="C2" s="9"/>
      <c r="D2" s="9"/>
      <c r="E2" s="9"/>
      <c r="F2" s="9"/>
      <c r="G2" s="9"/>
    </row>
    <row r="3" spans="1:7">
      <c r="A3" s="23" t="s">
        <v>101</v>
      </c>
      <c r="B3" s="9"/>
      <c r="C3" s="9"/>
      <c r="D3" s="9"/>
      <c r="E3" s="9"/>
      <c r="F3" s="9"/>
      <c r="G3" s="9"/>
    </row>
    <row r="4" spans="1:7">
      <c r="A4" s="23" t="s">
        <v>69</v>
      </c>
      <c r="B4" s="9"/>
      <c r="C4" s="9"/>
      <c r="D4" s="9"/>
      <c r="E4" s="9"/>
      <c r="F4" s="9"/>
      <c r="G4" s="9"/>
    </row>
    <row r="5" spans="1:7">
      <c r="A5" s="8"/>
      <c r="B5" s="9"/>
      <c r="C5" s="9"/>
      <c r="D5" s="9"/>
      <c r="E5" s="9"/>
      <c r="F5" s="9"/>
      <c r="G5" s="9"/>
    </row>
    <row r="6" spans="1:7">
      <c r="A6" s="8" t="s">
        <v>0</v>
      </c>
      <c r="B6" s="9"/>
      <c r="C6" s="9"/>
      <c r="D6" s="9"/>
      <c r="E6" s="9"/>
      <c r="F6" s="9"/>
      <c r="G6" s="9"/>
    </row>
    <row r="7" spans="1:7">
      <c r="A7" s="8" t="s">
        <v>1</v>
      </c>
      <c r="B7" s="9"/>
      <c r="C7" s="9"/>
      <c r="D7" s="9"/>
      <c r="E7" s="9"/>
      <c r="F7" s="9"/>
      <c r="G7" s="9"/>
    </row>
    <row r="8" spans="1:7">
      <c r="A8" s="8" t="s">
        <v>2</v>
      </c>
      <c r="B8" s="9"/>
      <c r="C8" s="9"/>
      <c r="D8" s="9"/>
      <c r="E8" s="9"/>
      <c r="F8" s="9"/>
      <c r="G8" s="9"/>
    </row>
    <row r="9" spans="1:7">
      <c r="A9" s="8" t="s">
        <v>61</v>
      </c>
      <c r="B9" s="9"/>
      <c r="C9" s="9"/>
      <c r="D9" s="9"/>
      <c r="E9" s="9"/>
      <c r="F9" s="9"/>
      <c r="G9" s="9"/>
    </row>
    <row r="10" spans="1:7">
      <c r="A10" s="8" t="s">
        <v>40</v>
      </c>
      <c r="B10" s="9"/>
      <c r="C10" s="9"/>
      <c r="D10" s="9"/>
      <c r="E10" s="9"/>
      <c r="F10" s="9"/>
      <c r="G10" s="9"/>
    </row>
    <row r="11" spans="1:7">
      <c r="A11" s="8"/>
      <c r="B11" s="9"/>
      <c r="C11" s="9"/>
      <c r="D11" s="9"/>
      <c r="E11" s="9"/>
      <c r="F11" s="9"/>
      <c r="G11" s="9"/>
    </row>
    <row r="12" spans="1:7">
      <c r="A12" s="33" t="s">
        <v>59</v>
      </c>
      <c r="B12" s="9"/>
      <c r="C12" s="9"/>
      <c r="D12" s="9"/>
      <c r="E12" s="9"/>
      <c r="F12" s="9"/>
      <c r="G12" s="9"/>
    </row>
    <row r="13" spans="1:7" ht="13.5" thickBot="1">
      <c r="A13" s="33" t="s">
        <v>37</v>
      </c>
      <c r="B13" s="9"/>
      <c r="C13" s="9"/>
      <c r="D13" s="9"/>
      <c r="E13" s="9"/>
      <c r="F13" s="9"/>
      <c r="G13" s="9"/>
    </row>
    <row r="14" spans="1:7">
      <c r="A14" s="14"/>
      <c r="B14" s="15"/>
      <c r="C14" s="16" t="s">
        <v>3</v>
      </c>
      <c r="D14" s="16"/>
      <c r="E14" s="16"/>
      <c r="F14" s="16"/>
      <c r="G14" s="16"/>
    </row>
    <row r="15" spans="1:7">
      <c r="A15" s="17" t="s">
        <v>62</v>
      </c>
      <c r="B15" s="9"/>
      <c r="C15" s="18">
        <v>1</v>
      </c>
      <c r="D15" s="18">
        <v>2</v>
      </c>
      <c r="E15" s="18">
        <v>3</v>
      </c>
      <c r="F15" s="18">
        <v>4</v>
      </c>
      <c r="G15" s="18">
        <v>5</v>
      </c>
    </row>
    <row r="16" spans="1:7">
      <c r="A16" s="8" t="s">
        <v>44</v>
      </c>
      <c r="B16" s="9"/>
      <c r="C16" s="9">
        <v>100000</v>
      </c>
      <c r="D16" s="9">
        <v>105000</v>
      </c>
      <c r="E16" s="9">
        <v>101000</v>
      </c>
      <c r="F16" s="9">
        <v>100000</v>
      </c>
      <c r="G16" s="9">
        <v>95000</v>
      </c>
    </row>
    <row r="17" spans="1:256" ht="13.5" thickBot="1">
      <c r="A17" s="19" t="s">
        <v>45</v>
      </c>
      <c r="B17" s="5"/>
      <c r="C17" s="5">
        <v>25000</v>
      </c>
      <c r="D17" s="5">
        <v>30000</v>
      </c>
      <c r="E17" s="5">
        <v>23000</v>
      </c>
      <c r="F17" s="5">
        <v>35000</v>
      </c>
      <c r="G17" s="5">
        <v>15000</v>
      </c>
    </row>
    <row r="18" spans="1:256">
      <c r="A18" s="8"/>
      <c r="B18" s="9"/>
      <c r="C18" s="9"/>
      <c r="D18" s="9"/>
      <c r="E18" s="9"/>
      <c r="F18" s="9"/>
      <c r="G18" s="9"/>
    </row>
    <row r="19" spans="1:256">
      <c r="A19" s="8"/>
      <c r="B19" s="9"/>
      <c r="C19" s="9"/>
      <c r="D19" s="9"/>
      <c r="E19" s="9"/>
      <c r="F19" s="9"/>
      <c r="G19" s="9"/>
    </row>
    <row r="20" spans="1:256">
      <c r="A20" s="8"/>
      <c r="B20" s="9"/>
      <c r="C20" s="9"/>
      <c r="D20" s="9"/>
      <c r="E20" s="9"/>
      <c r="F20" s="9"/>
      <c r="G20" s="9"/>
    </row>
    <row r="21" spans="1:256">
      <c r="A21" s="33" t="s">
        <v>43</v>
      </c>
      <c r="B21" s="9"/>
      <c r="C21" s="9"/>
      <c r="D21" s="9"/>
      <c r="E21" s="9"/>
      <c r="F21" s="9"/>
      <c r="G21" s="9"/>
    </row>
    <row r="22" spans="1:256" ht="13.5" thickBot="1">
      <c r="A22" s="33" t="s">
        <v>63</v>
      </c>
      <c r="B22" s="9"/>
      <c r="C22" s="9"/>
      <c r="D22" s="9"/>
      <c r="E22" s="9"/>
      <c r="F22" s="9"/>
      <c r="G22" s="9"/>
    </row>
    <row r="23" spans="1:256">
      <c r="A23" s="6" t="s">
        <v>4</v>
      </c>
      <c r="B23" s="7"/>
      <c r="C23" s="7"/>
      <c r="D23" s="7"/>
      <c r="E23" s="7"/>
      <c r="F23" s="7"/>
      <c r="G23" s="7"/>
    </row>
    <row r="24" spans="1:256" ht="13.5" thickBot="1">
      <c r="A24" s="8"/>
      <c r="B24" s="20" t="s">
        <v>64</v>
      </c>
      <c r="C24" s="46">
        <v>2003</v>
      </c>
      <c r="D24" s="21">
        <f>1+C24</f>
        <v>2004</v>
      </c>
      <c r="E24" s="21">
        <f>1+D24</f>
        <v>2005</v>
      </c>
      <c r="F24" s="21">
        <f>1+E24</f>
        <v>2006</v>
      </c>
      <c r="G24" s="21">
        <f>1+F24</f>
        <v>2007</v>
      </c>
    </row>
    <row r="25" spans="1:256" ht="13.5" thickBot="1">
      <c r="A25" s="8" t="s">
        <v>46</v>
      </c>
      <c r="B25" s="35">
        <f ca="1">_xll.SCENARIO(C16,D16,E16,F16,G16)</f>
        <v>100000</v>
      </c>
      <c r="C25" s="9">
        <f ca="1">1.06*B25</f>
        <v>106000</v>
      </c>
      <c r="D25" s="9">
        <f ca="1">1.06*C25</f>
        <v>112360</v>
      </c>
      <c r="E25" s="9">
        <f ca="1">1.06*D25</f>
        <v>119101.6</v>
      </c>
      <c r="F25" s="9">
        <f ca="1">1.06*E25</f>
        <v>126247.69600000001</v>
      </c>
      <c r="G25" s="9">
        <f ca="1">1.06*F25</f>
        <v>133822.55776000003</v>
      </c>
    </row>
    <row r="26" spans="1:256" ht="13.5" thickBot="1">
      <c r="A26" s="8" t="s">
        <v>36</v>
      </c>
      <c r="B26" s="39">
        <f ca="1">_xll.SCENARIO(C17,D17,E17,F17,G17)</f>
        <v>25000</v>
      </c>
      <c r="C26" s="9">
        <f ca="1">$B$26*C27</f>
        <v>26500</v>
      </c>
      <c r="D26" s="9">
        <f ca="1">$B$26*D27</f>
        <v>28090</v>
      </c>
      <c r="E26" s="9">
        <f ca="1">$B$26*E27</f>
        <v>29775.4</v>
      </c>
      <c r="F26" s="9">
        <f ca="1">$B$26*F27</f>
        <v>31561.924000000003</v>
      </c>
      <c r="G26" s="9">
        <f ca="1">$B$26*G27</f>
        <v>33455.639440000006</v>
      </c>
    </row>
    <row r="27" spans="1:256" ht="13.5" thickBot="1">
      <c r="A27" s="19" t="s">
        <v>5</v>
      </c>
      <c r="B27" s="13"/>
      <c r="C27" s="5">
        <f ca="1">C25/$B$25</f>
        <v>1.06</v>
      </c>
      <c r="D27" s="5">
        <f ca="1">D25/$B$25</f>
        <v>1.1235999999999999</v>
      </c>
      <c r="E27" s="5">
        <f ca="1">E25/$B$25</f>
        <v>1.1910160000000001</v>
      </c>
      <c r="F27" s="5">
        <f ca="1">F25/$B$25</f>
        <v>1.2624769600000001</v>
      </c>
      <c r="G27" s="5">
        <f ca="1">G25/$B$25</f>
        <v>1.3382255776000003</v>
      </c>
    </row>
    <row r="28" spans="1:256">
      <c r="A28" s="8"/>
      <c r="B28" s="11"/>
      <c r="C28" s="11"/>
      <c r="D28" s="11"/>
      <c r="E28" s="11"/>
      <c r="F28" s="11"/>
      <c r="G28" s="11"/>
      <c r="H28" s="11"/>
      <c r="I28" s="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>
      <c r="A29" s="8"/>
      <c r="B29" s="11"/>
      <c r="C29" s="11"/>
      <c r="D29" s="11"/>
      <c r="E29" s="11"/>
      <c r="F29" s="11"/>
      <c r="G29" s="11"/>
      <c r="H29" s="11"/>
      <c r="I29" s="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>
      <c r="A30" s="8"/>
      <c r="B30" s="10"/>
      <c r="C30" s="11"/>
      <c r="D30" s="11"/>
      <c r="E30" s="11"/>
      <c r="F30" s="11"/>
      <c r="G30" s="11"/>
      <c r="H30" s="11"/>
      <c r="I30" s="1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>
      <c r="A31" s="34" t="s">
        <v>38</v>
      </c>
      <c r="B31" s="11"/>
      <c r="C31" s="11"/>
      <c r="D31" s="11"/>
      <c r="E31" s="11"/>
      <c r="F31" s="11"/>
      <c r="G31" s="11"/>
      <c r="H31" s="11"/>
      <c r="I31" s="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3.5" thickBot="1">
      <c r="A32" s="12"/>
      <c r="B32" s="22"/>
      <c r="C32" s="22">
        <f>C24</f>
        <v>2003</v>
      </c>
      <c r="D32" s="22">
        <f>D24</f>
        <v>2004</v>
      </c>
      <c r="E32" s="22">
        <f>E24</f>
        <v>2005</v>
      </c>
      <c r="F32" s="22">
        <f>F24</f>
        <v>2006</v>
      </c>
      <c r="G32" s="22">
        <f>G24</f>
        <v>2007</v>
      </c>
      <c r="H32" s="31"/>
      <c r="I32" s="3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>
      <c r="A33" s="8"/>
      <c r="B33" s="10"/>
      <c r="C33" s="10"/>
      <c r="D33" s="10"/>
      <c r="E33" s="10"/>
      <c r="F33" s="10"/>
      <c r="G33" s="10"/>
      <c r="H33" s="11"/>
      <c r="I33" s="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>
      <c r="A34" s="24" t="s">
        <v>6</v>
      </c>
      <c r="B34" s="11"/>
      <c r="C34" s="11">
        <v>50000</v>
      </c>
      <c r="D34" s="11">
        <f ca="1">C46</f>
        <v>19777.383015875428</v>
      </c>
      <c r="E34" s="11">
        <f ca="1">D46</f>
        <v>11867.839647384782</v>
      </c>
      <c r="F34" s="11">
        <f ca="1">E46</f>
        <v>32828.571263778809</v>
      </c>
      <c r="G34" s="11">
        <f ca="1">F46</f>
        <v>33144.79475913677</v>
      </c>
      <c r="H34" s="11"/>
      <c r="I34" s="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>
      <c r="A35" s="8"/>
      <c r="B35" s="11"/>
      <c r="C35" s="11"/>
      <c r="D35" s="11"/>
      <c r="E35" s="11"/>
      <c r="F35" s="11"/>
      <c r="G35" s="11"/>
      <c r="H35" s="11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>
      <c r="A36" s="24" t="s">
        <v>7</v>
      </c>
      <c r="B36" s="11"/>
      <c r="C36" s="11"/>
      <c r="D36" s="11"/>
      <c r="E36" s="11"/>
      <c r="F36" s="11"/>
      <c r="G36" s="11"/>
      <c r="H36" s="11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>
      <c r="A37" s="25" t="s">
        <v>35</v>
      </c>
      <c r="B37" s="20"/>
      <c r="C37" s="44">
        <f ca="1">_xll.NORM(C25,C26)</f>
        <v>48481.495206751257</v>
      </c>
      <c r="D37" s="44">
        <f ca="1">_xll.NORM(D25,D26)</f>
        <v>74938.999382340728</v>
      </c>
      <c r="E37" s="44">
        <f ca="1">_xll.NORM(E25,E26)</f>
        <v>108781.04930389792</v>
      </c>
      <c r="F37" s="44">
        <f ca="1">_xll.NORM(F25,F26)</f>
        <v>93169.299293325283</v>
      </c>
      <c r="G37" s="44">
        <f ca="1">_xll.NORM(G25,G26)</f>
        <v>101353.1741905168</v>
      </c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>
      <c r="A38" s="26" t="s">
        <v>8</v>
      </c>
      <c r="B38" s="11"/>
      <c r="C38" s="11">
        <f ca="1">SUM(C34:C37)</f>
        <v>98481.495206751249</v>
      </c>
      <c r="D38" s="11">
        <f ca="1">SUM(D34:D37)</f>
        <v>94716.382398216156</v>
      </c>
      <c r="E38" s="11">
        <f ca="1">SUM(E34:E37)</f>
        <v>120648.8889512827</v>
      </c>
      <c r="F38" s="11">
        <f ca="1">SUM(F34:F37)</f>
        <v>125997.87055710409</v>
      </c>
      <c r="G38" s="11">
        <f ca="1">SUM(G34:G37)</f>
        <v>134497.96894965356</v>
      </c>
      <c r="H38" s="11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>
      <c r="A39" s="26"/>
      <c r="B39" s="11"/>
      <c r="C39" s="11"/>
      <c r="D39" s="11"/>
      <c r="E39" s="11"/>
      <c r="F39" s="11"/>
      <c r="G39" s="11"/>
      <c r="H39" s="11"/>
      <c r="I39" s="1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>
      <c r="A40" s="24" t="s">
        <v>9</v>
      </c>
      <c r="B40" s="11"/>
      <c r="C40" s="11"/>
      <c r="D40" s="11"/>
      <c r="E40" s="11"/>
      <c r="F40" s="11"/>
      <c r="G40" s="11"/>
      <c r="H40" s="11"/>
      <c r="I40" s="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>
      <c r="A41" s="26" t="s">
        <v>10</v>
      </c>
      <c r="B41" s="11"/>
      <c r="C41" s="11">
        <v>8704.1121908758232</v>
      </c>
      <c r="D41" s="11">
        <v>7848.5427508313724</v>
      </c>
      <c r="E41" s="11">
        <v>7820.3176875038853</v>
      </c>
      <c r="F41" s="11">
        <v>7853.0757979673162</v>
      </c>
      <c r="G41" s="11">
        <v>9298.5102062525166</v>
      </c>
      <c r="H41" s="11"/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>
      <c r="A42" s="26" t="s">
        <v>11</v>
      </c>
      <c r="B42" s="11"/>
      <c r="C42" s="11">
        <v>60000</v>
      </c>
      <c r="D42" s="11">
        <v>65000</v>
      </c>
      <c r="E42" s="11">
        <v>70000</v>
      </c>
      <c r="F42" s="11">
        <v>75000</v>
      </c>
      <c r="G42" s="11">
        <v>80000</v>
      </c>
      <c r="H42" s="11"/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>
      <c r="A43" s="26" t="s">
        <v>12</v>
      </c>
      <c r="B43" s="11"/>
      <c r="C43" s="11">
        <v>10000</v>
      </c>
      <c r="D43" s="11">
        <v>10000</v>
      </c>
      <c r="E43" s="11">
        <v>10000</v>
      </c>
      <c r="F43" s="11">
        <v>10000</v>
      </c>
      <c r="G43" s="11">
        <v>10000</v>
      </c>
      <c r="H43" s="11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>
      <c r="A44" s="26" t="s">
        <v>13</v>
      </c>
      <c r="B44" s="11"/>
      <c r="C44" s="11">
        <f>SUM(C41:C43)</f>
        <v>78704.112190875821</v>
      </c>
      <c r="D44" s="11">
        <f>SUM(D41:D43)</f>
        <v>82848.542750831373</v>
      </c>
      <c r="E44" s="11">
        <f>SUM(E41:E43)</f>
        <v>87820.317687503892</v>
      </c>
      <c r="F44" s="11">
        <f>SUM(F41:F43)</f>
        <v>92853.075797967322</v>
      </c>
      <c r="G44" s="11">
        <f>SUM(G41:G43)</f>
        <v>99298.510206252511</v>
      </c>
      <c r="H44" s="11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>
      <c r="A45" s="26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3.5" thickBot="1">
      <c r="A46" s="27" t="s">
        <v>14</v>
      </c>
      <c r="B46" s="22"/>
      <c r="C46" s="40">
        <f ca="1">C38-C44</f>
        <v>19777.383015875428</v>
      </c>
      <c r="D46" s="40">
        <f ca="1">D38-D44</f>
        <v>11867.839647384782</v>
      </c>
      <c r="E46" s="40">
        <f ca="1">E38-E44</f>
        <v>32828.571263778809</v>
      </c>
      <c r="F46" s="40">
        <f ca="1">F38-F44</f>
        <v>33144.79475913677</v>
      </c>
      <c r="G46" s="40">
        <f ca="1">G38-G44</f>
        <v>35199.458743401046</v>
      </c>
      <c r="H46" s="11"/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>
      <c r="A47" s="8"/>
      <c r="B47" s="9"/>
      <c r="C47" s="9"/>
      <c r="D47" s="9"/>
      <c r="E47" s="9"/>
      <c r="F47" s="9"/>
      <c r="G47" s="9"/>
    </row>
    <row r="48" spans="1:256">
      <c r="A48" s="8"/>
      <c r="B48" s="9"/>
      <c r="C48" s="9"/>
      <c r="D48" s="9"/>
      <c r="E48" s="9"/>
      <c r="F48" s="9"/>
      <c r="G48" s="9"/>
    </row>
    <row r="49" spans="1:256">
      <c r="A49" s="17" t="s">
        <v>39</v>
      </c>
      <c r="B49" s="9"/>
      <c r="C49" s="9"/>
      <c r="D49" s="9"/>
      <c r="E49" s="9"/>
      <c r="F49" s="9"/>
      <c r="G49" s="9"/>
    </row>
    <row r="50" spans="1:256" ht="13.5" thickBot="1">
      <c r="A50" s="28"/>
      <c r="B50" s="22">
        <f>C24-1</f>
        <v>2002</v>
      </c>
      <c r="C50" s="22">
        <f>C32</f>
        <v>2003</v>
      </c>
      <c r="D50" s="22">
        <f>D32</f>
        <v>2004</v>
      </c>
      <c r="E50" s="22">
        <f>E32</f>
        <v>2005</v>
      </c>
      <c r="F50" s="22">
        <f>F32</f>
        <v>2006</v>
      </c>
      <c r="G50" s="22">
        <f>G32</f>
        <v>2007</v>
      </c>
    </row>
    <row r="51" spans="1:256">
      <c r="A51" s="24" t="s">
        <v>15</v>
      </c>
      <c r="B51" s="11"/>
      <c r="C51" s="11"/>
      <c r="D51" s="11"/>
      <c r="E51" s="11"/>
      <c r="F51" s="11"/>
      <c r="G51" s="11"/>
      <c r="H51" s="11"/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>
      <c r="A52" s="26" t="s">
        <v>16</v>
      </c>
      <c r="B52" s="11">
        <f>C34</f>
        <v>50000</v>
      </c>
      <c r="C52" s="11">
        <f ca="1">C46</f>
        <v>19777.383015875428</v>
      </c>
      <c r="D52" s="11">
        <f ca="1">D46</f>
        <v>11867.839647384782</v>
      </c>
      <c r="E52" s="11">
        <f ca="1">E46</f>
        <v>32828.571263778809</v>
      </c>
      <c r="F52" s="11">
        <f ca="1">F46</f>
        <v>33144.79475913677</v>
      </c>
      <c r="G52" s="11">
        <f ca="1">G46</f>
        <v>35199.458743401046</v>
      </c>
      <c r="H52" s="11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>
      <c r="A53" s="26" t="s">
        <v>17</v>
      </c>
      <c r="B53" s="11">
        <v>1000000</v>
      </c>
      <c r="C53" s="11">
        <v>1000000</v>
      </c>
      <c r="D53" s="11">
        <v>1000000</v>
      </c>
      <c r="E53" s="11">
        <v>1000000</v>
      </c>
      <c r="F53" s="11">
        <v>1000000</v>
      </c>
      <c r="G53" s="11">
        <v>1000000</v>
      </c>
      <c r="H53" s="11"/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>
      <c r="A54" s="26" t="s">
        <v>18</v>
      </c>
      <c r="B54" s="11">
        <f t="shared" ref="B54:G54" si="0">SUM(B52:B53)</f>
        <v>1050000</v>
      </c>
      <c r="C54" s="11">
        <f t="shared" ca="1" si="0"/>
        <v>1019777.3830158755</v>
      </c>
      <c r="D54" s="11">
        <f t="shared" ca="1" si="0"/>
        <v>1011867.8396473848</v>
      </c>
      <c r="E54" s="11">
        <f t="shared" ca="1" si="0"/>
        <v>1032828.5712637788</v>
      </c>
      <c r="F54" s="11">
        <f t="shared" ca="1" si="0"/>
        <v>1033144.7947591367</v>
      </c>
      <c r="G54" s="11">
        <f t="shared" ca="1" si="0"/>
        <v>1035199.4587434011</v>
      </c>
      <c r="H54" s="11"/>
      <c r="I54" s="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>
      <c r="A55" s="26"/>
      <c r="B55" s="11"/>
      <c r="C55" s="11"/>
      <c r="D55" s="11"/>
      <c r="E55" s="11"/>
      <c r="F55" s="11"/>
      <c r="G55" s="11"/>
      <c r="H55" s="11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>
      <c r="A56" s="24" t="s">
        <v>19</v>
      </c>
      <c r="B56" s="11"/>
      <c r="C56" s="11"/>
      <c r="D56" s="11"/>
      <c r="E56" s="11"/>
      <c r="F56" s="11"/>
      <c r="G56" s="11"/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>
      <c r="A57" s="26" t="s">
        <v>20</v>
      </c>
      <c r="B57" s="11">
        <v>50000</v>
      </c>
      <c r="C57" s="11">
        <v>45000</v>
      </c>
      <c r="D57" s="11">
        <v>44000</v>
      </c>
      <c r="E57" s="11">
        <v>43000</v>
      </c>
      <c r="F57" s="11">
        <v>42000</v>
      </c>
      <c r="G57" s="11">
        <v>40000</v>
      </c>
      <c r="H57" s="11"/>
      <c r="I57" s="1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>
      <c r="A58" s="26" t="s">
        <v>18</v>
      </c>
      <c r="B58" s="11">
        <f t="shared" ref="B58:G58" si="1">SUM(B57:B57)</f>
        <v>50000</v>
      </c>
      <c r="C58" s="11">
        <f t="shared" si="1"/>
        <v>45000</v>
      </c>
      <c r="D58" s="11">
        <f t="shared" si="1"/>
        <v>44000</v>
      </c>
      <c r="E58" s="11">
        <f t="shared" si="1"/>
        <v>43000</v>
      </c>
      <c r="F58" s="11">
        <f t="shared" si="1"/>
        <v>42000</v>
      </c>
      <c r="G58" s="11">
        <f t="shared" si="1"/>
        <v>40000</v>
      </c>
      <c r="H58" s="11"/>
      <c r="I58" s="1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>
      <c r="A59" s="26"/>
      <c r="B59" s="11"/>
      <c r="C59" s="11"/>
      <c r="D59" s="11"/>
      <c r="E59" s="11"/>
      <c r="F59" s="11"/>
      <c r="G59" s="11"/>
      <c r="H59" s="11"/>
      <c r="I59" s="1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>
      <c r="A60" s="24" t="s">
        <v>21</v>
      </c>
      <c r="B60" s="11">
        <f t="shared" ref="B60:G60" si="2">B54-B58</f>
        <v>1000000</v>
      </c>
      <c r="C60" s="11">
        <f t="shared" ca="1" si="2"/>
        <v>974777.38301587547</v>
      </c>
      <c r="D60" s="11">
        <f t="shared" ca="1" si="2"/>
        <v>967867.83964738483</v>
      </c>
      <c r="E60" s="11">
        <f t="shared" ca="1" si="2"/>
        <v>989828.57126377884</v>
      </c>
      <c r="F60" s="11">
        <f t="shared" ca="1" si="2"/>
        <v>991144.79475913674</v>
      </c>
      <c r="G60" s="11">
        <f t="shared" ca="1" si="2"/>
        <v>995199.4587434011</v>
      </c>
      <c r="H60" s="11"/>
      <c r="I60" s="1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>
      <c r="A61" s="26"/>
      <c r="B61" s="11"/>
      <c r="C61" s="11"/>
      <c r="D61" s="11"/>
      <c r="E61" s="11"/>
      <c r="F61" s="11"/>
      <c r="G61" s="11"/>
      <c r="H61" s="11"/>
      <c r="I61" s="1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3.5" thickBot="1">
      <c r="A62" s="28" t="s">
        <v>22</v>
      </c>
      <c r="B62" s="22"/>
      <c r="C62" s="22">
        <f ca="1">C60/(1+$C$64)</f>
        <v>928359.41239607183</v>
      </c>
      <c r="D62" s="22">
        <f ca="1">D60/((1+$C$64)^2)</f>
        <v>877884.66181168694</v>
      </c>
      <c r="E62" s="22">
        <f ca="1">E60/((1+$C$64)^3)</f>
        <v>855051.13595834468</v>
      </c>
      <c r="F62" s="22">
        <f ca="1">F60/((1+$C$64)^4)</f>
        <v>815417.27552543371</v>
      </c>
      <c r="G62" s="22">
        <f ca="1">G60/((1+$C$64)^5)</f>
        <v>779764.81678070233</v>
      </c>
      <c r="H62" s="11"/>
      <c r="I62" s="1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>
      <c r="A63" s="8"/>
      <c r="B63" s="9"/>
      <c r="C63" s="9"/>
      <c r="D63" s="9"/>
      <c r="E63" s="9"/>
      <c r="F63" s="9"/>
      <c r="G63" s="9"/>
    </row>
    <row r="64" spans="1:256">
      <c r="A64" s="17" t="s">
        <v>65</v>
      </c>
      <c r="B64" s="9"/>
      <c r="C64" s="29">
        <v>0.05</v>
      </c>
      <c r="D64" s="9"/>
      <c r="E64" s="9"/>
      <c r="F64" s="9"/>
      <c r="G64" s="9"/>
    </row>
    <row r="65" spans="1:7">
      <c r="A65" s="17"/>
      <c r="B65" s="9"/>
      <c r="D65" s="9"/>
      <c r="E65" s="9"/>
      <c r="F65" s="9"/>
      <c r="G65" s="9"/>
    </row>
    <row r="66" spans="1:7">
      <c r="A66" s="8"/>
      <c r="B66" s="9"/>
      <c r="C66" s="9"/>
      <c r="D66" s="9"/>
      <c r="E66" s="9"/>
      <c r="F66" s="9"/>
      <c r="G66" s="9"/>
    </row>
    <row r="67" spans="1:7">
      <c r="A67" s="17" t="s">
        <v>66</v>
      </c>
      <c r="B67" s="9"/>
      <c r="C67" s="9"/>
      <c r="D67" s="9"/>
      <c r="E67" s="9"/>
      <c r="F67" s="9"/>
      <c r="G67" s="9"/>
    </row>
    <row r="68" spans="1:7" ht="13.5" thickBot="1">
      <c r="A68" s="28"/>
      <c r="B68" s="22"/>
      <c r="C68" s="22">
        <f>C50</f>
        <v>2003</v>
      </c>
      <c r="D68" s="22">
        <f>D50</f>
        <v>2004</v>
      </c>
      <c r="E68" s="22">
        <f>E50</f>
        <v>2005</v>
      </c>
      <c r="F68" s="22">
        <f>F50</f>
        <v>2006</v>
      </c>
      <c r="G68" s="22">
        <f>G50</f>
        <v>2007</v>
      </c>
    </row>
    <row r="69" spans="1:7">
      <c r="A69" s="8" t="s">
        <v>23</v>
      </c>
      <c r="B69" s="30"/>
      <c r="C69" s="31">
        <f>$C$42</f>
        <v>60000</v>
      </c>
      <c r="D69" s="31">
        <f>$D$42</f>
        <v>65000</v>
      </c>
      <c r="E69" s="31">
        <f>$E$42</f>
        <v>70000</v>
      </c>
      <c r="F69" s="31">
        <f>$F$42</f>
        <v>75000</v>
      </c>
      <c r="G69" s="31">
        <f>$G$42</f>
        <v>80000</v>
      </c>
    </row>
    <row r="70" spans="1:7">
      <c r="A70" s="8" t="s">
        <v>24</v>
      </c>
      <c r="B70" s="9"/>
      <c r="C70" s="31">
        <f>C69/((1+$C$64)^1)</f>
        <v>57142.857142857138</v>
      </c>
      <c r="D70" s="31">
        <f>D$69/((1+$C$64)^2)</f>
        <v>58956.91609977324</v>
      </c>
      <c r="E70" s="31">
        <f>E$69/((1+$C$64)^3)</f>
        <v>60468.631897203319</v>
      </c>
      <c r="F70" s="31">
        <f>F$69/((1+$C$64)^4)</f>
        <v>61702.685609391148</v>
      </c>
      <c r="G70" s="31">
        <f>G$69/((1+$C$64)^5)</f>
        <v>62682.093317476712</v>
      </c>
    </row>
    <row r="71" spans="1:7">
      <c r="A71" s="8" t="s">
        <v>25</v>
      </c>
      <c r="B71" s="9"/>
      <c r="C71" s="31"/>
      <c r="D71" s="31"/>
      <c r="E71" s="31"/>
      <c r="F71" s="31"/>
      <c r="G71" s="31">
        <f ca="1">G60/((1+$C$64)^5)</f>
        <v>779764.81678070233</v>
      </c>
    </row>
    <row r="72" spans="1:7">
      <c r="A72" s="8" t="s">
        <v>26</v>
      </c>
      <c r="B72" s="9">
        <f>B60*(-1)</f>
        <v>-1000000</v>
      </c>
      <c r="C72" s="31"/>
      <c r="D72" s="31"/>
      <c r="E72" s="31"/>
      <c r="F72" s="31"/>
      <c r="G72" s="31"/>
    </row>
    <row r="73" spans="1:7">
      <c r="A73" s="8" t="s">
        <v>27</v>
      </c>
      <c r="B73" s="9">
        <f>B72</f>
        <v>-1000000</v>
      </c>
      <c r="C73" s="31">
        <f>SUM(C70:C72)</f>
        <v>57142.857142857138</v>
      </c>
      <c r="D73" s="31">
        <f>SUM(D70:D72)</f>
        <v>58956.91609977324</v>
      </c>
      <c r="E73" s="31">
        <f>SUM(E70:E72)</f>
        <v>60468.631897203319</v>
      </c>
      <c r="F73" s="31">
        <f>SUM(F70:F72)</f>
        <v>61702.685609391148</v>
      </c>
      <c r="G73" s="31">
        <f ca="1">SUM(G70:G72)</f>
        <v>842446.91009817901</v>
      </c>
    </row>
    <row r="74" spans="1:7">
      <c r="A74" s="20" t="s">
        <v>47</v>
      </c>
      <c r="B74" s="9"/>
      <c r="C74" s="31"/>
      <c r="D74" s="31"/>
      <c r="E74" s="31"/>
      <c r="F74" s="31"/>
      <c r="G74" s="41">
        <f ca="1">SUM(B73:G73)</f>
        <v>80718.000847403891</v>
      </c>
    </row>
    <row r="75" spans="1:7">
      <c r="A75" s="33"/>
      <c r="B75" s="9"/>
      <c r="C75" s="31"/>
      <c r="D75" s="31"/>
      <c r="E75" s="31"/>
      <c r="F75" s="31"/>
      <c r="G75" s="37"/>
    </row>
    <row r="76" spans="1:7">
      <c r="A76" s="8" t="str">
        <f>A69</f>
        <v>Nominal Outflows to Owner</v>
      </c>
      <c r="B76" s="9"/>
      <c r="C76" s="31">
        <f t="shared" ref="C76:G77" si="3">C69</f>
        <v>60000</v>
      </c>
      <c r="D76" s="31">
        <f t="shared" si="3"/>
        <v>65000</v>
      </c>
      <c r="E76" s="31">
        <f t="shared" si="3"/>
        <v>70000</v>
      </c>
      <c r="F76" s="31">
        <f t="shared" si="3"/>
        <v>75000</v>
      </c>
      <c r="G76" s="31">
        <f t="shared" si="3"/>
        <v>80000</v>
      </c>
    </row>
    <row r="77" spans="1:7">
      <c r="A77" s="8" t="str">
        <f>A70</f>
        <v>P V of Outflows to Owner</v>
      </c>
      <c r="B77" s="9"/>
      <c r="C77" s="31">
        <f t="shared" si="3"/>
        <v>57142.857142857138</v>
      </c>
      <c r="D77" s="31">
        <f t="shared" si="3"/>
        <v>58956.91609977324</v>
      </c>
      <c r="E77" s="31">
        <f t="shared" si="3"/>
        <v>60468.631897203319</v>
      </c>
      <c r="F77" s="31">
        <f t="shared" si="3"/>
        <v>61702.685609391148</v>
      </c>
      <c r="G77" s="31">
        <f t="shared" si="3"/>
        <v>62682.093317476712</v>
      </c>
    </row>
    <row r="78" spans="1:7">
      <c r="A78" s="8" t="s">
        <v>49</v>
      </c>
      <c r="B78" s="9"/>
      <c r="C78" s="31">
        <f ca="1">C60-B60</f>
        <v>-25222.616984124528</v>
      </c>
      <c r="D78" s="31">
        <f ca="1">D60-C60</f>
        <v>-6909.5433684906457</v>
      </c>
      <c r="E78" s="31">
        <f ca="1">E60-D60</f>
        <v>21960.731616394012</v>
      </c>
      <c r="F78" s="31">
        <f ca="1">F60-E60</f>
        <v>1316.2234953579027</v>
      </c>
      <c r="G78" s="31">
        <f ca="1">G60-F60</f>
        <v>4054.6639842643635</v>
      </c>
    </row>
    <row r="79" spans="1:7">
      <c r="A79" s="8" t="s">
        <v>50</v>
      </c>
      <c r="B79" s="9"/>
      <c r="C79" s="31">
        <f ca="1">C78/((1+$C$64)^1)</f>
        <v>-24021.539984880503</v>
      </c>
      <c r="D79" s="31">
        <f ca="1">D78/((1+$C$64)^1)</f>
        <v>-6580.5174938006148</v>
      </c>
      <c r="E79" s="31">
        <f ca="1">E78/((1+$C$64)^1)</f>
        <v>20914.982491803821</v>
      </c>
      <c r="F79" s="31">
        <f ca="1">F78/((1+$C$64)^1)</f>
        <v>1253.5461860551454</v>
      </c>
      <c r="G79" s="31">
        <f ca="1">G78/((1+$C$64)^1)</f>
        <v>3861.5847469184414</v>
      </c>
    </row>
    <row r="80" spans="1:7">
      <c r="A80" s="8" t="s">
        <v>51</v>
      </c>
      <c r="B80" s="9"/>
      <c r="C80" s="31">
        <f ca="1">C77+C79</f>
        <v>33121.317157976635</v>
      </c>
      <c r="D80" s="31">
        <f ca="1">D77+D79</f>
        <v>52376.398605972623</v>
      </c>
      <c r="E80" s="31">
        <f ca="1">E77+E79</f>
        <v>81383.61438900714</v>
      </c>
      <c r="F80" s="31">
        <f ca="1">F77+F79</f>
        <v>62956.231795446292</v>
      </c>
      <c r="G80" s="31">
        <f ca="1">G77+G79</f>
        <v>66543.67806439515</v>
      </c>
    </row>
    <row r="81" spans="1:256" ht="13.5" thickBot="1">
      <c r="A81" s="36" t="s">
        <v>48</v>
      </c>
      <c r="B81" s="5"/>
      <c r="C81" s="38"/>
      <c r="D81" s="38"/>
      <c r="E81" s="38"/>
      <c r="F81" s="38"/>
      <c r="G81" s="42">
        <f ca="1">SUM(C80:G80)</f>
        <v>296381.24001279788</v>
      </c>
    </row>
    <row r="82" spans="1:256">
      <c r="A82" s="8"/>
      <c r="B82" s="9"/>
      <c r="C82" s="9"/>
      <c r="D82" s="9"/>
      <c r="E82" s="9"/>
      <c r="F82" s="9"/>
      <c r="G82" s="9"/>
    </row>
    <row r="83" spans="1:256">
      <c r="A83" s="8"/>
      <c r="B83" s="9"/>
      <c r="C83" s="9"/>
      <c r="D83" s="9"/>
      <c r="E83" s="9"/>
      <c r="F83" s="9"/>
      <c r="G83" s="9"/>
    </row>
    <row r="84" spans="1:256">
      <c r="A84" s="17" t="s">
        <v>42</v>
      </c>
      <c r="B84" s="9"/>
      <c r="C84" s="9"/>
      <c r="D84" s="9"/>
      <c r="E84" s="9"/>
      <c r="F84" s="9"/>
      <c r="G84" s="9"/>
    </row>
    <row r="85" spans="1:256" ht="13.5" thickBot="1">
      <c r="A85" s="28"/>
      <c r="B85" s="22"/>
      <c r="C85" s="22">
        <f>C68</f>
        <v>2003</v>
      </c>
      <c r="D85" s="22">
        <f>D68</f>
        <v>2004</v>
      </c>
      <c r="E85" s="22">
        <f>E68</f>
        <v>2005</v>
      </c>
      <c r="F85" s="22">
        <f>F68</f>
        <v>2006</v>
      </c>
      <c r="G85" s="22">
        <f>G68</f>
        <v>2007</v>
      </c>
    </row>
    <row r="86" spans="1:256">
      <c r="A86" s="8" t="s">
        <v>23</v>
      </c>
      <c r="B86" s="30"/>
      <c r="C86" s="30">
        <f>$C$42</f>
        <v>60000</v>
      </c>
      <c r="D86" s="30">
        <f>$D$42</f>
        <v>65000</v>
      </c>
      <c r="E86" s="30">
        <f>$E$42</f>
        <v>70000</v>
      </c>
      <c r="F86" s="30">
        <f>$F$42</f>
        <v>75000</v>
      </c>
      <c r="G86" s="30">
        <f>$G$42</f>
        <v>80000</v>
      </c>
      <c r="H86" s="29"/>
      <c r="I86" s="2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>
      <c r="A87" s="8" t="s">
        <v>67</v>
      </c>
      <c r="B87" s="30">
        <f>$B$60*(-1)</f>
        <v>-1000000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29"/>
      <c r="I87" s="2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>
      <c r="A88" s="8" t="s">
        <v>28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f ca="1">G60</f>
        <v>995199.4587434011</v>
      </c>
      <c r="H88" s="29"/>
      <c r="I88" s="2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>
      <c r="A89" s="8" t="s">
        <v>29</v>
      </c>
      <c r="B89" s="30">
        <f>B87</f>
        <v>-1000000</v>
      </c>
      <c r="C89" s="30">
        <f>SUM(C86:C88)</f>
        <v>60000</v>
      </c>
      <c r="D89" s="30">
        <f>SUM(D86:D88)</f>
        <v>65000</v>
      </c>
      <c r="E89" s="30">
        <f>SUM(E86:E88)</f>
        <v>70000</v>
      </c>
      <c r="F89" s="30">
        <f>SUM(F86:F88)</f>
        <v>75000</v>
      </c>
      <c r="G89" s="30">
        <f ca="1">SUM(G86:G88)</f>
        <v>1075199.4587434011</v>
      </c>
      <c r="H89" s="29"/>
      <c r="I89" s="2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>
      <c r="A90" s="8"/>
      <c r="B90" s="30"/>
      <c r="C90" s="30"/>
      <c r="D90" s="30"/>
      <c r="E90" s="30"/>
      <c r="F90" s="30"/>
      <c r="G90" s="30"/>
      <c r="H90" s="29"/>
      <c r="I90" s="2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>
      <c r="A91" s="8" t="s">
        <v>30</v>
      </c>
      <c r="B91" s="32">
        <v>0.05</v>
      </c>
      <c r="C91" s="9" t="s">
        <v>31</v>
      </c>
      <c r="D91" s="9" t="s">
        <v>32</v>
      </c>
      <c r="E91" s="9"/>
      <c r="F91" s="9"/>
      <c r="G91" s="9"/>
      <c r="H91" s="29"/>
      <c r="I91" s="2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3.5" thickBot="1">
      <c r="A92" s="28" t="s">
        <v>33</v>
      </c>
      <c r="B92" s="22" t="s">
        <v>52</v>
      </c>
      <c r="C92" s="49">
        <f ca="1">IRR(B89:G89,B91)</f>
        <v>6.8501416464797849E-2</v>
      </c>
      <c r="D92" s="43">
        <f ca="1">C92*100</f>
        <v>6.8501416464797851</v>
      </c>
      <c r="E92" s="45" t="str">
        <f ca="1">_xll.VFORMULA(C92)</f>
        <v>=IRR(B89:G89,B91)</v>
      </c>
      <c r="F92" s="22"/>
      <c r="G92" s="22"/>
      <c r="H92" s="29"/>
      <c r="I92" s="2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>
      <c r="A93" s="8"/>
      <c r="B93" s="9"/>
      <c r="C93" s="9"/>
      <c r="D93" s="9"/>
      <c r="E93" s="9"/>
      <c r="F93" s="9"/>
      <c r="G93" s="9"/>
      <c r="H93" s="29"/>
      <c r="I93" s="2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>
      <c r="A94" s="8" t="s">
        <v>34</v>
      </c>
      <c r="B94" s="9"/>
      <c r="C94" s="9"/>
      <c r="D94" s="9"/>
      <c r="E94" s="9"/>
      <c r="F94" s="9"/>
      <c r="G94" s="9"/>
    </row>
    <row r="95" spans="1:256">
      <c r="A95" s="8" t="s">
        <v>68</v>
      </c>
      <c r="B95" s="9"/>
      <c r="C95" s="9"/>
      <c r="D95" s="9"/>
      <c r="E95" s="9"/>
      <c r="F95" s="9"/>
      <c r="G95" s="9"/>
    </row>
    <row r="96" spans="1:256" s="9" customFormat="1"/>
    <row r="97" spans="1:2" s="9" customFormat="1"/>
    <row r="98" spans="1:2" s="9" customFormat="1">
      <c r="A98" s="9" t="s">
        <v>70</v>
      </c>
    </row>
    <row r="99" spans="1:2">
      <c r="A99" s="1" t="s">
        <v>73</v>
      </c>
      <c r="B99" s="1">
        <f ca="1">D92</f>
        <v>6.8501416464797851</v>
      </c>
    </row>
    <row r="100" spans="1:2">
      <c r="A100" s="1" t="s">
        <v>71</v>
      </c>
      <c r="B100" s="48">
        <f ca="1">G74</f>
        <v>80718.000847403891</v>
      </c>
    </row>
    <row r="101" spans="1:2">
      <c r="A101" s="1" t="s">
        <v>72</v>
      </c>
      <c r="B101" s="48">
        <f ca="1">G81</f>
        <v>296381.24001279788</v>
      </c>
    </row>
  </sheetData>
  <phoneticPr fontId="0" type="noConversion"/>
  <printOptions headings="1"/>
  <pageMargins left="0.98" right="0.75" top="0.5" bottom="0.61" header="0.5" footer="0.5"/>
  <pageSetup scale="56" orientation="portrait" r:id="rId1"/>
  <headerFooter alignWithMargins="0">
    <oddFooter>demonpv.xls&amp;RPage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workbookViewId="0">
      <selection activeCell="B2" sqref="B2"/>
    </sheetView>
  </sheetViews>
  <sheetFormatPr defaultRowHeight="12"/>
  <cols>
    <col min="2" max="2" width="10.85546875" customWidth="1"/>
    <col min="3" max="4" width="10.42578125" bestFit="1" customWidth="1"/>
    <col min="5" max="5" width="9.28515625" bestFit="1" customWidth="1"/>
    <col min="6" max="7" width="10.42578125" bestFit="1" customWidth="1"/>
    <col min="8" max="8" width="9.28515625" bestFit="1" customWidth="1"/>
    <col min="9" max="10" width="10.42578125" bestFit="1" customWidth="1"/>
    <col min="11" max="11" width="9.28515625" bestFit="1" customWidth="1"/>
    <col min="12" max="13" width="10.42578125" bestFit="1" customWidth="1"/>
    <col min="14" max="14" width="9.28515625" bestFit="1" customWidth="1"/>
    <col min="15" max="16" width="10.42578125" bestFit="1" customWidth="1"/>
  </cols>
  <sheetData>
    <row r="1" spans="1:27">
      <c r="A1" t="s">
        <v>85</v>
      </c>
    </row>
    <row r="2" spans="1:27">
      <c r="A2" t="s">
        <v>74</v>
      </c>
      <c r="B2" t="str">
        <f ca="1">ADDRESS(ROW(Sheet1!$B$99),COLUMN(Sheet1!$B$99),4,,_xll.WSNAME(Sheet1!$B$99))</f>
        <v>Sheet1!B99</v>
      </c>
      <c r="C2" t="str">
        <f ca="1">ADDRESS(ROW(Sheet1!$B$99),COLUMN(Sheet1!$B$99),4,,_xll.WSNAME(Sheet1!$B$99))</f>
        <v>Sheet1!B99</v>
      </c>
      <c r="D2" t="str">
        <f ca="1">ADDRESS(ROW(Sheet1!$B$99),COLUMN(Sheet1!$B$99),4,,_xll.WSNAME(Sheet1!$B$99))</f>
        <v>Sheet1!B99</v>
      </c>
      <c r="E2" t="str">
        <f ca="1">ADDRESS(ROW(Sheet1!$B$99),COLUMN(Sheet1!$B$99),4,,_xll.WSNAME(Sheet1!$B$99))</f>
        <v>Sheet1!B99</v>
      </c>
      <c r="F2" t="str">
        <f ca="1">ADDRESS(ROW(Sheet1!$B$99),COLUMN(Sheet1!$B$99),4,,_xll.WSNAME(Sheet1!$B$99))</f>
        <v>Sheet1!B99</v>
      </c>
      <c r="G2" t="str">
        <f ca="1">ADDRESS(ROW(Sheet1!$B$100),COLUMN(Sheet1!$B$100),4,,_xll.WSNAME(Sheet1!$B$100))</f>
        <v>Sheet1!B100</v>
      </c>
      <c r="H2" t="str">
        <f ca="1">ADDRESS(ROW(Sheet1!$B$100),COLUMN(Sheet1!$B$100),4,,_xll.WSNAME(Sheet1!$B$100))</f>
        <v>Sheet1!B100</v>
      </c>
      <c r="I2" t="str">
        <f ca="1">ADDRESS(ROW(Sheet1!$B$100),COLUMN(Sheet1!$B$100),4,,_xll.WSNAME(Sheet1!$B$100))</f>
        <v>Sheet1!B100</v>
      </c>
      <c r="J2" t="str">
        <f ca="1">ADDRESS(ROW(Sheet1!$B$100),COLUMN(Sheet1!$B$100),4,,_xll.WSNAME(Sheet1!$B$100))</f>
        <v>Sheet1!B100</v>
      </c>
      <c r="K2" t="str">
        <f ca="1">ADDRESS(ROW(Sheet1!$B$100),COLUMN(Sheet1!$B$100),4,,_xll.WSNAME(Sheet1!$B$100))</f>
        <v>Sheet1!B100</v>
      </c>
      <c r="L2" t="str">
        <f ca="1">ADDRESS(ROW(Sheet1!$B$101),COLUMN(Sheet1!$B$101),4,,_xll.WSNAME(Sheet1!$B$101))</f>
        <v>Sheet1!B101</v>
      </c>
      <c r="M2" t="str">
        <f ca="1">ADDRESS(ROW(Sheet1!$B$101),COLUMN(Sheet1!$B$101),4,,_xll.WSNAME(Sheet1!$B$101))</f>
        <v>Sheet1!B101</v>
      </c>
      <c r="N2" t="str">
        <f ca="1">ADDRESS(ROW(Sheet1!$B$101),COLUMN(Sheet1!$B$101),4,,_xll.WSNAME(Sheet1!$B$101))</f>
        <v>Sheet1!B101</v>
      </c>
      <c r="O2" t="str">
        <f ca="1">ADDRESS(ROW(Sheet1!$B$101),COLUMN(Sheet1!$B$101),4,,_xll.WSNAME(Sheet1!$B$101))</f>
        <v>Sheet1!B101</v>
      </c>
      <c r="P2" t="str">
        <f ca="1">ADDRESS(ROW(Sheet1!$B$101),COLUMN(Sheet1!$B$101),4,,_xll.WSNAME(Sheet1!$B$101))</f>
        <v>Sheet1!B101</v>
      </c>
      <c r="R2" t="str">
        <f>SimData!$B$8</f>
        <v>IRR as %: 1</v>
      </c>
      <c r="S2" t="s">
        <v>60</v>
      </c>
      <c r="T2" t="str">
        <f>SimData!$C$8</f>
        <v>IRR as %: 2</v>
      </c>
      <c r="U2" t="s">
        <v>60</v>
      </c>
      <c r="V2" t="str">
        <f>SimData!$D$8</f>
        <v>IRR as %: 3</v>
      </c>
      <c r="W2" t="s">
        <v>60</v>
      </c>
      <c r="X2" t="str">
        <f>SimData!$E$8</f>
        <v>IRR as %: 4</v>
      </c>
      <c r="Y2" t="s">
        <v>60</v>
      </c>
      <c r="Z2" t="str">
        <f>SimData!$F$8</f>
        <v>IRR as %: 5</v>
      </c>
      <c r="AA2" t="s">
        <v>60</v>
      </c>
    </row>
    <row r="3" spans="1:27">
      <c r="A3" t="s">
        <v>53</v>
      </c>
      <c r="B3">
        <f t="shared" ref="B3:P3" si="0">AVERAGE(B9:B108)</f>
        <v>9.6257623938790022</v>
      </c>
      <c r="C3">
        <f t="shared" si="0"/>
        <v>10.076725612144008</v>
      </c>
      <c r="D3">
        <f t="shared" si="0"/>
        <v>9.7217354182840161</v>
      </c>
      <c r="E3">
        <f t="shared" si="0"/>
        <v>9.6047950792457399</v>
      </c>
      <c r="F3">
        <f t="shared" si="0"/>
        <v>9.1715423880488558</v>
      </c>
      <c r="G3">
        <f t="shared" si="0"/>
        <v>214617.36033407759</v>
      </c>
      <c r="H3">
        <f t="shared" si="0"/>
        <v>238039.84251856539</v>
      </c>
      <c r="I3">
        <f t="shared" si="0"/>
        <v>219293.82274186332</v>
      </c>
      <c r="J3">
        <f t="shared" si="0"/>
        <v>214644.14043111677</v>
      </c>
      <c r="K3">
        <f t="shared" si="0"/>
        <v>191181.48810106996</v>
      </c>
      <c r="L3">
        <f t="shared" si="0"/>
        <v>459136.74833984656</v>
      </c>
      <c r="M3">
        <f t="shared" si="0"/>
        <v>487606.92182560527</v>
      </c>
      <c r="N3">
        <f t="shared" si="0"/>
        <v>464821.01762440003</v>
      </c>
      <c r="O3">
        <f t="shared" si="0"/>
        <v>459169.29971517326</v>
      </c>
      <c r="P3">
        <f t="shared" si="0"/>
        <v>430650.2991664242</v>
      </c>
      <c r="R3">
        <f>SMALL(SimData!$B$9:$B$108,1)</f>
        <v>6.7808479239530861</v>
      </c>
      <c r="S3">
        <v>0</v>
      </c>
      <c r="T3">
        <f>SMALL(SimData!$C$9:$C$108,1)</f>
        <v>6.6924405883619569</v>
      </c>
      <c r="U3">
        <v>0</v>
      </c>
      <c r="V3">
        <f>SMALL(SimData!$D$9:$D$108,1)</f>
        <v>7.1249189242760176</v>
      </c>
      <c r="W3">
        <v>0</v>
      </c>
      <c r="X3">
        <f>SMALL(SimData!$E$9:$E$108,1)</f>
        <v>5.5367250906862209</v>
      </c>
      <c r="Y3">
        <v>0</v>
      </c>
      <c r="Z3">
        <f>SMALL(SimData!$F$9:$F$108,1)</f>
        <v>7.4664807882819249</v>
      </c>
      <c r="AA3">
        <v>0</v>
      </c>
    </row>
    <row r="4" spans="1:27">
      <c r="A4" t="s">
        <v>54</v>
      </c>
      <c r="B4">
        <f t="shared" ref="B4:P4" si="1">STDEV(B9:B108)</f>
        <v>1.0775838764494003</v>
      </c>
      <c r="C4">
        <f t="shared" si="1"/>
        <v>1.2721414186899471</v>
      </c>
      <c r="D4">
        <f t="shared" si="1"/>
        <v>0.98723007401806229</v>
      </c>
      <c r="E4">
        <f t="shared" si="1"/>
        <v>1.5137513290307667</v>
      </c>
      <c r="F4">
        <f t="shared" si="1"/>
        <v>0.65669561343626415</v>
      </c>
      <c r="G4">
        <f t="shared" si="1"/>
        <v>54153.535474627162</v>
      </c>
      <c r="H4">
        <f t="shared" si="1"/>
        <v>64984.242569552756</v>
      </c>
      <c r="I4">
        <f t="shared" si="1"/>
        <v>49821.25263665698</v>
      </c>
      <c r="J4">
        <f t="shared" si="1"/>
        <v>75814.949664478423</v>
      </c>
      <c r="K4">
        <f t="shared" si="1"/>
        <v>32492.121284776491</v>
      </c>
      <c r="L4">
        <f t="shared" si="1"/>
        <v>65823.960829005679</v>
      </c>
      <c r="M4">
        <f t="shared" si="1"/>
        <v>78988.75299480604</v>
      </c>
      <c r="N4">
        <f t="shared" si="1"/>
        <v>60558.043962686635</v>
      </c>
      <c r="O4">
        <f t="shared" si="1"/>
        <v>92153.545160609428</v>
      </c>
      <c r="P4">
        <f t="shared" si="1"/>
        <v>39494.376497405261</v>
      </c>
      <c r="R4">
        <f>SMALL(SimData!$B$9:$B$108,2)</f>
        <v>6.8386616128045832</v>
      </c>
      <c r="S4">
        <f>1/(COUNT(SimData!$B$9:$B$108)-1)+$S$3</f>
        <v>1.0101010101010102E-2</v>
      </c>
      <c r="T4">
        <f>SMALL(SimData!$C$9:$C$108,2)</f>
        <v>6.7620456718524942</v>
      </c>
      <c r="U4">
        <f>1/(COUNT(SimData!$C$9:$C$108)-1)+$U$3</f>
        <v>1.0101010101010102E-2</v>
      </c>
      <c r="V4">
        <f>SMALL(SimData!$D$9:$D$108,2)</f>
        <v>7.1773899192223389</v>
      </c>
      <c r="W4">
        <f>1/(COUNT(SimData!$D$9:$D$108)-1)+$W$3</f>
        <v>1.0101010101010102E-2</v>
      </c>
      <c r="X4">
        <f>SMALL(SimData!$E$9:$E$108,2)</f>
        <v>5.6217616387357516</v>
      </c>
      <c r="Y4">
        <f>1/(COUNT(SimData!$E$9:$E$108)-1)+$Y$3</f>
        <v>1.0101010101010102E-2</v>
      </c>
      <c r="Z4">
        <f>SMALL(SimData!$F$9:$F$108,2)</f>
        <v>7.5002532935392106</v>
      </c>
      <c r="AA4">
        <f>1/(COUNT(SimData!$F$9:$F$108)-1)+$AA$3</f>
        <v>1.0101010101010102E-2</v>
      </c>
    </row>
    <row r="5" spans="1:27">
      <c r="A5" t="s">
        <v>55</v>
      </c>
      <c r="B5">
        <f t="shared" ref="B5:P5" si="2">100*B4/B3</f>
        <v>11.194789901884896</v>
      </c>
      <c r="C5">
        <f t="shared" si="2"/>
        <v>12.624551542386156</v>
      </c>
      <c r="D5">
        <f t="shared" si="2"/>
        <v>10.154874943020392</v>
      </c>
      <c r="E5">
        <f t="shared" si="2"/>
        <v>15.760370903713657</v>
      </c>
      <c r="F5">
        <f t="shared" si="2"/>
        <v>7.1601436885030729</v>
      </c>
      <c r="G5">
        <f t="shared" si="2"/>
        <v>25.232597861762308</v>
      </c>
      <c r="H5">
        <f t="shared" si="2"/>
        <v>27.299733474023135</v>
      </c>
      <c r="I5">
        <f t="shared" si="2"/>
        <v>22.718949404837055</v>
      </c>
      <c r="J5">
        <f t="shared" si="2"/>
        <v>35.321229599933488</v>
      </c>
      <c r="K5">
        <f t="shared" si="2"/>
        <v>16.995432773072263</v>
      </c>
      <c r="L5">
        <f t="shared" si="2"/>
        <v>14.336460992724483</v>
      </c>
      <c r="M5">
        <f t="shared" si="2"/>
        <v>16.199268193132152</v>
      </c>
      <c r="N5">
        <f t="shared" si="2"/>
        <v>13.028249942781361</v>
      </c>
      <c r="O5">
        <f t="shared" si="2"/>
        <v>20.069622515654483</v>
      </c>
      <c r="P5">
        <f t="shared" si="2"/>
        <v>9.1708693977111846</v>
      </c>
      <c r="R5">
        <f>SMALL(SimData!$B$9:$B$108,3)</f>
        <v>6.989149576994401</v>
      </c>
      <c r="S5">
        <f>1/(COUNT(SimData!$B$9:$B$108)-1)+$S$4</f>
        <v>2.0202020202020204E-2</v>
      </c>
      <c r="T5">
        <f>SMALL(SimData!$C$9:$C$108,3)</f>
        <v>6.9430729241841762</v>
      </c>
      <c r="U5">
        <f>1/(COUNT(SimData!$C$9:$C$108)-1)+$U$4</f>
        <v>2.0202020202020204E-2</v>
      </c>
      <c r="V5">
        <f>SMALL(SimData!$D$9:$D$108,3)</f>
        <v>7.3140250909202678</v>
      </c>
      <c r="W5">
        <f>1/(COUNT(SimData!$D$9:$D$108)-1)+$W$4</f>
        <v>2.0202020202020204E-2</v>
      </c>
      <c r="X5">
        <f>SMALL(SimData!$E$9:$E$108,3)</f>
        <v>5.8426618835650226</v>
      </c>
      <c r="Y5">
        <f>1/(COUNT(SimData!$E$9:$E$108)-1)+$Y$4</f>
        <v>2.0202020202020204E-2</v>
      </c>
      <c r="Z5">
        <f>SMALL(SimData!$F$9:$F$108,3)</f>
        <v>7.5883156080047351</v>
      </c>
      <c r="AA5">
        <f>1/(COUNT(SimData!$F$9:$F$108)-1)+$AA$4</f>
        <v>2.0202020202020204E-2</v>
      </c>
    </row>
    <row r="6" spans="1:27">
      <c r="A6" t="s">
        <v>56</v>
      </c>
      <c r="B6">
        <f t="shared" ref="B6:P6" si="3">MIN(B9:B108)</f>
        <v>6.7808479239530861</v>
      </c>
      <c r="C6">
        <f t="shared" si="3"/>
        <v>6.6924405883619569</v>
      </c>
      <c r="D6">
        <f t="shared" si="3"/>
        <v>7.1249189242760176</v>
      </c>
      <c r="E6">
        <f t="shared" si="3"/>
        <v>5.5367250906862209</v>
      </c>
      <c r="F6">
        <f t="shared" si="3"/>
        <v>7.4664807882819249</v>
      </c>
      <c r="G6">
        <f t="shared" si="3"/>
        <v>77585.609570349799</v>
      </c>
      <c r="H6">
        <f t="shared" si="3"/>
        <v>73601.74160209205</v>
      </c>
      <c r="I6">
        <f t="shared" si="3"/>
        <v>93224.612039233791</v>
      </c>
      <c r="J6">
        <f t="shared" si="3"/>
        <v>22799.689361897879</v>
      </c>
      <c r="K6">
        <f t="shared" si="3"/>
        <v>108962.43764283333</v>
      </c>
      <c r="L6">
        <f t="shared" si="3"/>
        <v>292573.79883809306</v>
      </c>
      <c r="M6">
        <f t="shared" si="3"/>
        <v>287731.38242350105</v>
      </c>
      <c r="N6">
        <f t="shared" si="3"/>
        <v>311583.104082787</v>
      </c>
      <c r="O6">
        <f t="shared" si="3"/>
        <v>225981.17041271843</v>
      </c>
      <c r="P6">
        <f t="shared" si="3"/>
        <v>330712.52946537232</v>
      </c>
      <c r="R6">
        <f>SMALL(SimData!$B$9:$B$108,4)</f>
        <v>7.6001382269715476</v>
      </c>
      <c r="S6">
        <f>1/(COUNT(SimData!$B$9:$B$108)-1)+$S$5</f>
        <v>3.0303030303030304E-2</v>
      </c>
      <c r="T6">
        <f>SMALL(SimData!$C$9:$C$108,4)</f>
        <v>7.6758233767707047</v>
      </c>
      <c r="U6">
        <f>1/(COUNT(SimData!$C$9:$C$108)-1)+$U$5</f>
        <v>3.0303030303030304E-2</v>
      </c>
      <c r="V6">
        <f>SMALL(SimData!$D$9:$D$108,4)</f>
        <v>7.8695627457805077</v>
      </c>
      <c r="W6">
        <f>1/(COUNT(SimData!$D$9:$D$108)-1)+$W$5</f>
        <v>3.0303030303030304E-2</v>
      </c>
      <c r="X6">
        <f>SMALL(SimData!$E$9:$E$108,4)</f>
        <v>6.7330616251076352</v>
      </c>
      <c r="Y6">
        <f>1/(COUNT(SimData!$E$9:$E$108)-1)+$Y$5</f>
        <v>3.0303030303030304E-2</v>
      </c>
      <c r="Z6">
        <f>SMALL(SimData!$F$9:$F$108,4)</f>
        <v>7.9481106976777198</v>
      </c>
      <c r="AA6">
        <f>1/(COUNT(SimData!$F$9:$F$108)-1)+$AA$5</f>
        <v>3.0303030303030304E-2</v>
      </c>
    </row>
    <row r="7" spans="1:27">
      <c r="A7" t="s">
        <v>57</v>
      </c>
      <c r="B7">
        <f t="shared" ref="B7:P7" si="4">MAX(B9:B108)</f>
        <v>11.813541447763514</v>
      </c>
      <c r="C7">
        <f t="shared" si="4"/>
        <v>12.642956582907233</v>
      </c>
      <c r="D7">
        <f t="shared" si="4"/>
        <v>11.732329776242356</v>
      </c>
      <c r="E7">
        <f t="shared" si="4"/>
        <v>12.632729552456611</v>
      </c>
      <c r="F7">
        <f t="shared" si="4"/>
        <v>10.52397122614938</v>
      </c>
      <c r="G7">
        <f t="shared" si="4"/>
        <v>328701.00680017425</v>
      </c>
      <c r="H7">
        <f t="shared" si="4"/>
        <v>374940.21827788139</v>
      </c>
      <c r="I7">
        <f t="shared" si="4"/>
        <v>324250.77749067219</v>
      </c>
      <c r="J7">
        <f t="shared" si="4"/>
        <v>374361.24548365222</v>
      </c>
      <c r="K7">
        <f t="shared" si="4"/>
        <v>259631.67598072789</v>
      </c>
      <c r="L7">
        <f t="shared" si="4"/>
        <v>597806.13364217733</v>
      </c>
      <c r="M7">
        <f t="shared" si="4"/>
        <v>654010.18418840191</v>
      </c>
      <c r="N7">
        <f t="shared" si="4"/>
        <v>592396.85210254451</v>
      </c>
      <c r="O7">
        <f t="shared" si="4"/>
        <v>653306.43913843634</v>
      </c>
      <c r="P7">
        <f t="shared" si="4"/>
        <v>513851.93034782278</v>
      </c>
      <c r="R7">
        <f>SMALL(SimData!$B$9:$B$108,5)</f>
        <v>7.7039027817539889</v>
      </c>
      <c r="S7">
        <f>1/(COUNT(SimData!$B$9:$B$108)-1)+$S$6</f>
        <v>4.0404040404040407E-2</v>
      </c>
      <c r="T7">
        <f>SMALL(SimData!$C$9:$C$108,5)</f>
        <v>7.7999194887150587</v>
      </c>
      <c r="U7">
        <f>1/(COUNT(SimData!$C$9:$C$108)-1)+$U$6</f>
        <v>4.0404040404040407E-2</v>
      </c>
      <c r="V7">
        <f>SMALL(SimData!$D$9:$D$108,5)</f>
        <v>7.964034368511383</v>
      </c>
      <c r="W7">
        <f>1/(COUNT(SimData!$D$9:$D$108)-1)+$W$6</f>
        <v>4.0404040404040407E-2</v>
      </c>
      <c r="X7">
        <f>SMALL(SimData!$E$9:$E$108,5)</f>
        <v>6.883278480647685</v>
      </c>
      <c r="Y7">
        <f>1/(COUNT(SimData!$E$9:$E$108)-1)+$Y$6</f>
        <v>4.0404040404040407E-2</v>
      </c>
      <c r="Z7">
        <f>SMALL(SimData!$F$9:$F$108,5)</f>
        <v>8.0095723184140173</v>
      </c>
      <c r="AA7">
        <f>1/(COUNT(SimData!$F$9:$F$108)-1)+$AA$6</f>
        <v>4.0404040404040407E-2</v>
      </c>
    </row>
    <row r="8" spans="1:27">
      <c r="A8" t="s">
        <v>58</v>
      </c>
      <c r="B8" t="str">
        <f>Sheet1!$A$99&amp;": "&amp;1</f>
        <v>IRR as %: 1</v>
      </c>
      <c r="C8" t="str">
        <f>Sheet1!$A$99&amp;": "&amp;2</f>
        <v>IRR as %: 2</v>
      </c>
      <c r="D8" t="str">
        <f>Sheet1!$A$99&amp;": "&amp;3</f>
        <v>IRR as %: 3</v>
      </c>
      <c r="E8" t="str">
        <f>Sheet1!$A$99&amp;": "&amp;4</f>
        <v>IRR as %: 4</v>
      </c>
      <c r="F8" t="str">
        <f>Sheet1!$A$99&amp;": "&amp;5</f>
        <v>IRR as %: 5</v>
      </c>
      <c r="G8" t="str">
        <f>Sheet1!$A$100&amp;": "&amp;1</f>
        <v>NPV 2: 1</v>
      </c>
      <c r="H8" t="str">
        <f>Sheet1!$A$100&amp;": "&amp;2</f>
        <v>NPV 2: 2</v>
      </c>
      <c r="I8" t="str">
        <f>Sheet1!$A$100&amp;": "&amp;3</f>
        <v>NPV 2: 3</v>
      </c>
      <c r="J8" t="str">
        <f>Sheet1!$A$100&amp;": "&amp;4</f>
        <v>NPV 2: 4</v>
      </c>
      <c r="K8" t="str">
        <f>Sheet1!$A$100&amp;": "&amp;5</f>
        <v>NPV 2: 5</v>
      </c>
      <c r="L8" t="str">
        <f>Sheet1!$A$101&amp;": "&amp;1</f>
        <v>NPV 1: 1</v>
      </c>
      <c r="M8" t="str">
        <f>Sheet1!$A$101&amp;": "&amp;2</f>
        <v>NPV 1: 2</v>
      </c>
      <c r="N8" t="str">
        <f>Sheet1!$A$101&amp;": "&amp;3</f>
        <v>NPV 1: 3</v>
      </c>
      <c r="O8" t="str">
        <f>Sheet1!$A$101&amp;": "&amp;4</f>
        <v>NPV 1: 4</v>
      </c>
      <c r="P8" t="str">
        <f>Sheet1!$A$101&amp;": "&amp;5</f>
        <v>NPV 1: 5</v>
      </c>
      <c r="R8">
        <f>SMALL(SimData!$B$9:$B$108,6)</f>
        <v>7.8563216196791767</v>
      </c>
      <c r="S8">
        <f>1/(COUNT(SimData!$B$9:$B$108)-1)+$S$7</f>
        <v>5.0505050505050511E-2</v>
      </c>
      <c r="T8">
        <f>SMALL(SimData!$C$9:$C$108,6)</f>
        <v>7.98202444465913</v>
      </c>
      <c r="U8">
        <f>1/(COUNT(SimData!$C$9:$C$108)-1)+$U$7</f>
        <v>5.0505050505050511E-2</v>
      </c>
      <c r="V8">
        <f>SMALL(SimData!$D$9:$D$108,6)</f>
        <v>8.1028673688143158</v>
      </c>
      <c r="W8">
        <f>1/(COUNT(SimData!$D$9:$D$108)-1)+$W$7</f>
        <v>5.0505050505050511E-2</v>
      </c>
      <c r="X8">
        <f>SMALL(SimData!$E$9:$E$108,6)</f>
        <v>7.1034196072556979</v>
      </c>
      <c r="Y8">
        <f>1/(COUNT(SimData!$E$9:$E$108)-1)+$Y$7</f>
        <v>5.0505050505050511E-2</v>
      </c>
      <c r="Z8">
        <f>SMALL(SimData!$F$9:$F$108,6)</f>
        <v>8.1000396077014578</v>
      </c>
      <c r="AA8">
        <f>1/(COUNT(SimData!$F$9:$F$108)-1)+$AA$7</f>
        <v>5.0505050505050511E-2</v>
      </c>
    </row>
    <row r="9" spans="1:27">
      <c r="A9">
        <v>1</v>
      </c>
      <c r="B9">
        <v>10.764291443874214</v>
      </c>
      <c r="C9">
        <v>11.418759202508898</v>
      </c>
      <c r="D9">
        <v>10.765544366927831</v>
      </c>
      <c r="E9">
        <v>11.198302644590177</v>
      </c>
      <c r="F9">
        <v>9.8675365107825286</v>
      </c>
      <c r="G9">
        <v>272247.18996074947</v>
      </c>
      <c r="H9">
        <v>307195.63807057193</v>
      </c>
      <c r="I9">
        <v>272313.26599840145</v>
      </c>
      <c r="J9">
        <v>295325.90190845751</v>
      </c>
      <c r="K9">
        <v>225759.38587707316</v>
      </c>
      <c r="L9">
        <v>529186.16643750132</v>
      </c>
      <c r="M9">
        <v>571666.22354279121</v>
      </c>
      <c r="N9">
        <v>529266.48227424256</v>
      </c>
      <c r="O9">
        <v>557238.48505189025</v>
      </c>
      <c r="P9">
        <v>472679.95002501737</v>
      </c>
      <c r="R9">
        <f>SMALL(SimData!$B$9:$B$108,7)</f>
        <v>8.0545897340095802</v>
      </c>
      <c r="S9">
        <f>1/(COUNT(SimData!$B$9:$B$108)-1)+$S$8</f>
        <v>6.0606060606060615E-2</v>
      </c>
      <c r="T9">
        <f>SMALL(SimData!$C$9:$C$108,7)</f>
        <v>8.2185940871642131</v>
      </c>
      <c r="U9">
        <f>1/(COUNT(SimData!$C$9:$C$108)-1)+$U$8</f>
        <v>6.0606060606060615E-2</v>
      </c>
      <c r="V9">
        <f>SMALL(SimData!$D$9:$D$108,7)</f>
        <v>8.2835767561507883</v>
      </c>
      <c r="W9">
        <f>1/(COUNT(SimData!$D$9:$D$108)-1)+$W$8</f>
        <v>6.0606060606060615E-2</v>
      </c>
      <c r="X9">
        <f>SMALL(SimData!$E$9:$E$108,7)</f>
        <v>7.3888854920712648</v>
      </c>
      <c r="Y9">
        <f>1/(COUNT(SimData!$E$9:$E$108)-1)+$Y$8</f>
        <v>6.0606060606060615E-2</v>
      </c>
      <c r="Z9">
        <f>SMALL(SimData!$F$9:$F$108,7)</f>
        <v>8.218051962636725</v>
      </c>
      <c r="AA9">
        <f>1/(COUNT(SimData!$F$9:$F$108)-1)+$AA$8</f>
        <v>6.0606060606060615E-2</v>
      </c>
    </row>
    <row r="10" spans="1:27">
      <c r="A10">
        <v>2</v>
      </c>
      <c r="B10">
        <v>9.9558018624711799</v>
      </c>
      <c r="C10">
        <v>10.470033423548559</v>
      </c>
      <c r="D10">
        <v>10.022702541152668</v>
      </c>
      <c r="E10">
        <v>10.078456359813522</v>
      </c>
      <c r="F10">
        <v>9.3683637920405598</v>
      </c>
      <c r="G10">
        <v>230264.28151743277</v>
      </c>
      <c r="H10">
        <v>256816.14793859189</v>
      </c>
      <c r="I10">
        <v>233688.99023055017</v>
      </c>
      <c r="J10">
        <v>236549.83008781425</v>
      </c>
      <c r="K10">
        <v>200569.64081108326</v>
      </c>
      <c r="L10">
        <v>478155.67883147218</v>
      </c>
      <c r="M10">
        <v>510429.63841555617</v>
      </c>
      <c r="N10">
        <v>482318.4336766958</v>
      </c>
      <c r="O10">
        <v>485795.80240344937</v>
      </c>
      <c r="P10">
        <v>442061.65746139985</v>
      </c>
      <c r="R10">
        <f>SMALL(SimData!$B$9:$B$108,8)</f>
        <v>8.1645210617468535</v>
      </c>
      <c r="S10">
        <f>1/(COUNT(SimData!$B$9:$B$108)-1)+$S$9</f>
        <v>7.0707070707070718E-2</v>
      </c>
      <c r="T10">
        <f>SMALL(SimData!$C$9:$C$108,8)</f>
        <v>8.3496105739350135</v>
      </c>
      <c r="U10">
        <f>1/(COUNT(SimData!$C$9:$C$108)-1)+$U$9</f>
        <v>7.0707070707070718E-2</v>
      </c>
      <c r="V10">
        <f>SMALL(SimData!$D$9:$D$108,8)</f>
        <v>8.383827552519767</v>
      </c>
      <c r="W10">
        <f>1/(COUNT(SimData!$D$9:$D$108)-1)+$W$9</f>
        <v>7.0707070707070718E-2</v>
      </c>
      <c r="X10">
        <f>SMALL(SimData!$E$9:$E$108,8)</f>
        <v>7.5467343921728922</v>
      </c>
      <c r="Y10">
        <f>1/(COUNT(SimData!$E$9:$E$108)-1)+$Y$9</f>
        <v>7.0707070707070718E-2</v>
      </c>
      <c r="Z10">
        <f>SMALL(SimData!$F$9:$F$108,8)</f>
        <v>8.2836457758268622</v>
      </c>
      <c r="AA10">
        <f>1/(COUNT(SimData!$F$9:$F$108)-1)+$AA$9</f>
        <v>7.0707070707070718E-2</v>
      </c>
    </row>
    <row r="11" spans="1:27">
      <c r="A11">
        <v>3</v>
      </c>
      <c r="B11">
        <v>9.3757889626633588</v>
      </c>
      <c r="C11">
        <v>9.7863233438495243</v>
      </c>
      <c r="D11">
        <v>9.4909631997081281</v>
      </c>
      <c r="E11">
        <v>9.2666624684930596</v>
      </c>
      <c r="F11">
        <v>9.0138913340341151</v>
      </c>
      <c r="G11">
        <v>200940.78177935968</v>
      </c>
      <c r="H11">
        <v>221627.948252904</v>
      </c>
      <c r="I11">
        <v>206711.37047152291</v>
      </c>
      <c r="J11">
        <v>195496.93045451178</v>
      </c>
      <c r="K11">
        <v>182975.54096823919</v>
      </c>
      <c r="L11">
        <v>442512.78162797086</v>
      </c>
      <c r="M11">
        <v>467658.1617713545</v>
      </c>
      <c r="N11">
        <v>449526.96824947459</v>
      </c>
      <c r="O11">
        <v>435895.74631854752</v>
      </c>
      <c r="P11">
        <v>420675.91913929896</v>
      </c>
      <c r="R11">
        <f>SMALL(SimData!$B$9:$B$108,9)</f>
        <v>8.20476195883389</v>
      </c>
      <c r="S11">
        <f>1/(COUNT(SimData!$B$9:$B$108)-1)+$S$10</f>
        <v>8.0808080808080815E-2</v>
      </c>
      <c r="T11">
        <f>SMALL(SimData!$C$9:$C$108,9)</f>
        <v>8.3975430301999197</v>
      </c>
      <c r="U11">
        <f>1/(COUNT(SimData!$C$9:$C$108)-1)+$U$10</f>
        <v>8.0808080808080815E-2</v>
      </c>
      <c r="V11">
        <f>SMALL(SimData!$D$9:$D$108,9)</f>
        <v>8.4205346017698535</v>
      </c>
      <c r="W11">
        <f>1/(COUNT(SimData!$D$9:$D$108)-1)+$W$10</f>
        <v>8.0808080808080815E-2</v>
      </c>
      <c r="X11">
        <f>SMALL(SimData!$E$9:$E$108,9)</f>
        <v>7.6044399617883354</v>
      </c>
      <c r="Y11">
        <f>1/(COUNT(SimData!$E$9:$E$108)-1)+$Y$10</f>
        <v>8.0808080808080815E-2</v>
      </c>
      <c r="Z11">
        <f>SMALL(SimData!$F$9:$F$108,9)</f>
        <v>8.3076853315109638</v>
      </c>
      <c r="AA11">
        <f>1/(COUNT(SimData!$F$9:$F$108)-1)+$AA$10</f>
        <v>8.0808080808080815E-2</v>
      </c>
    </row>
    <row r="12" spans="1:27">
      <c r="A12">
        <v>4</v>
      </c>
      <c r="B12">
        <v>9.913734431866164</v>
      </c>
      <c r="C12">
        <v>10.420533694605307</v>
      </c>
      <c r="D12">
        <v>9.9841027338626969</v>
      </c>
      <c r="E12">
        <v>10.019820902514951</v>
      </c>
      <c r="F12">
        <v>9.3425515449011929</v>
      </c>
      <c r="G12">
        <v>228115.32749670499</v>
      </c>
      <c r="H12">
        <v>254237.40311371838</v>
      </c>
      <c r="I12">
        <v>231711.95253148081</v>
      </c>
      <c r="J12">
        <v>233541.29445879534</v>
      </c>
      <c r="K12">
        <v>199280.2683986465</v>
      </c>
      <c r="L12">
        <v>475543.61178831488</v>
      </c>
      <c r="M12">
        <v>507295.15796376724</v>
      </c>
      <c r="N12">
        <v>479915.3319969913</v>
      </c>
      <c r="O12">
        <v>482138.90854302928</v>
      </c>
      <c r="P12">
        <v>440494.41723550542</v>
      </c>
      <c r="R12">
        <f>SMALL(SimData!$B$9:$B$108,10)</f>
        <v>8.2833670353010316</v>
      </c>
      <c r="S12">
        <f>1/(COUNT(SimData!$B$9:$B$108)-1)+$S$11</f>
        <v>9.0909090909090912E-2</v>
      </c>
      <c r="T12">
        <f>SMALL(SimData!$C$9:$C$108,10)</f>
        <v>8.4911313803068786</v>
      </c>
      <c r="U12">
        <f>1/(COUNT(SimData!$C$9:$C$108)-1)+$U$11</f>
        <v>9.0909090909090912E-2</v>
      </c>
      <c r="V12">
        <f>SMALL(SimData!$D$9:$D$108,10)</f>
        <v>8.4922518146840407</v>
      </c>
      <c r="W12">
        <f>1/(COUNT(SimData!$D$9:$D$108)-1)+$W$11</f>
        <v>9.0909090909090912E-2</v>
      </c>
      <c r="X12">
        <f>SMALL(SimData!$E$9:$E$108,10)</f>
        <v>7.7170436167255776</v>
      </c>
      <c r="Y12">
        <f>1/(COUNT(SimData!$E$9:$E$108)-1)+$Y$11</f>
        <v>9.0909090909090912E-2</v>
      </c>
      <c r="Z12">
        <f>SMALL(SimData!$F$9:$F$108,10)</f>
        <v>8.3546874704538681</v>
      </c>
      <c r="AA12">
        <f>1/(COUNT(SimData!$F$9:$F$108)-1)+$AA$11</f>
        <v>9.0909090909090912E-2</v>
      </c>
    </row>
    <row r="13" spans="1:27">
      <c r="A13">
        <v>5</v>
      </c>
      <c r="B13">
        <v>10.942044876481742</v>
      </c>
      <c r="C13">
        <v>11.626697358041586</v>
      </c>
      <c r="D13">
        <v>10.929114024928129</v>
      </c>
      <c r="E13">
        <v>11.442766115809144</v>
      </c>
      <c r="F13">
        <v>9.9780645803522017</v>
      </c>
      <c r="G13">
        <v>281653.13199969358</v>
      </c>
      <c r="H13">
        <v>318482.76851730468</v>
      </c>
      <c r="I13">
        <v>280966.73267423001</v>
      </c>
      <c r="J13">
        <v>308494.22076297924</v>
      </c>
      <c r="K13">
        <v>231402.95110043953</v>
      </c>
      <c r="L13">
        <v>540619.14777297562</v>
      </c>
      <c r="M13">
        <v>585385.80114536011</v>
      </c>
      <c r="N13">
        <v>539784.82510287897</v>
      </c>
      <c r="O13">
        <v>573244.6589215541</v>
      </c>
      <c r="P13">
        <v>479539.73882630182</v>
      </c>
      <c r="R13">
        <f>SMALL(SimData!$B$9:$B$108,11)</f>
        <v>8.3317663534211466</v>
      </c>
      <c r="S13">
        <f>1/(COUNT(SimData!$B$9:$B$108)-1)+$S$12</f>
        <v>0.10101010101010101</v>
      </c>
      <c r="T13">
        <f>SMALL(SimData!$C$9:$C$108,11)</f>
        <v>8.5487293654182874</v>
      </c>
      <c r="U13">
        <f>1/(COUNT(SimData!$C$9:$C$108)-1)+$U$12</f>
        <v>0.10101010101010101</v>
      </c>
      <c r="V13">
        <f>SMALL(SimData!$D$9:$D$108,11)</f>
        <v>8.536419941412893</v>
      </c>
      <c r="W13">
        <f>1/(COUNT(SimData!$D$9:$D$108)-1)+$W$12</f>
        <v>0.10101010101010101</v>
      </c>
      <c r="X13">
        <f>SMALL(SimData!$E$9:$E$108,11)</f>
        <v>7.7863007231100401</v>
      </c>
      <c r="Y13">
        <f>1/(COUNT(SimData!$E$9:$E$108)-1)+$Y$12</f>
        <v>0.10101010101010101</v>
      </c>
      <c r="Z13">
        <f>SMALL(SimData!$F$9:$F$108,11)</f>
        <v>8.3836570048509138</v>
      </c>
      <c r="AA13">
        <f>1/(COUNT(SimData!$F$9:$F$108)-1)+$AA$12</f>
        <v>0.10101010101010101</v>
      </c>
    </row>
    <row r="14" spans="1:27">
      <c r="A14">
        <v>6</v>
      </c>
      <c r="B14">
        <v>10.698605479363753</v>
      </c>
      <c r="C14">
        <v>11.341860966204793</v>
      </c>
      <c r="D14">
        <v>10.705122252381058</v>
      </c>
      <c r="E14">
        <v>11.107809525636455</v>
      </c>
      <c r="F14">
        <v>9.826763352509877</v>
      </c>
      <c r="G14">
        <v>268787.50434700865</v>
      </c>
      <c r="H14">
        <v>303044.01533408277</v>
      </c>
      <c r="I14">
        <v>269130.35523375997</v>
      </c>
      <c r="J14">
        <v>290482.34204922034</v>
      </c>
      <c r="K14">
        <v>223683.57450882858</v>
      </c>
      <c r="L14">
        <v>524980.89695096435</v>
      </c>
      <c r="M14">
        <v>566619.9001589464</v>
      </c>
      <c r="N14">
        <v>525397.63434662856</v>
      </c>
      <c r="O14">
        <v>551351.10777073831</v>
      </c>
      <c r="P14">
        <v>470156.78833309497</v>
      </c>
      <c r="R14">
        <f>SMALL(SimData!$B$9:$B$108,12)</f>
        <v>8.3436309969210107</v>
      </c>
      <c r="S14">
        <f>1/(COUNT(SimData!$B$9:$B$108)-1)+$S$13</f>
        <v>0.1111111111111111</v>
      </c>
      <c r="T14">
        <f>SMALL(SimData!$C$9:$C$108,12)</f>
        <v>8.5628458532636529</v>
      </c>
      <c r="U14">
        <f>1/(COUNT(SimData!$C$9:$C$108)-1)+$U$13</f>
        <v>0.1111111111111111</v>
      </c>
      <c r="V14">
        <f>SMALL(SimData!$D$9:$D$108,12)</f>
        <v>8.5472484913458242</v>
      </c>
      <c r="W14">
        <f>1/(COUNT(SimData!$D$9:$D$108)-1)+$W$13</f>
        <v>0.1111111111111111</v>
      </c>
      <c r="X14">
        <f>SMALL(SimData!$E$9:$E$108,12)</f>
        <v>7.8032696514576418</v>
      </c>
      <c r="Y14">
        <f>1/(COUNT(SimData!$E$9:$E$108)-1)+$Y$13</f>
        <v>0.1111111111111111</v>
      </c>
      <c r="Z14">
        <f>SMALL(SimData!$F$9:$F$108,12)</f>
        <v>8.3907619887993103</v>
      </c>
      <c r="AA14">
        <f>1/(COUNT(SimData!$F$9:$F$108)-1)+$AA$13</f>
        <v>0.1111111111111111</v>
      </c>
    </row>
    <row r="15" spans="1:27">
      <c r="A15">
        <v>7</v>
      </c>
      <c r="B15">
        <v>8.4794503876747527</v>
      </c>
      <c r="C15">
        <v>8.7243558378273569</v>
      </c>
      <c r="D15">
        <v>8.671239273179852</v>
      </c>
      <c r="E15">
        <v>7.9972743653784724</v>
      </c>
      <c r="F15">
        <v>8.4721900535901291</v>
      </c>
      <c r="G15">
        <v>156903.79786396492</v>
      </c>
      <c r="H15">
        <v>168783.5675544301</v>
      </c>
      <c r="I15">
        <v>166197.34526935953</v>
      </c>
      <c r="J15">
        <v>133845.15297295898</v>
      </c>
      <c r="K15">
        <v>156553.35061900236</v>
      </c>
      <c r="L15">
        <v>388985.55244765908</v>
      </c>
      <c r="M15">
        <v>403425.48675498017</v>
      </c>
      <c r="N15">
        <v>400281.91740358761</v>
      </c>
      <c r="O15">
        <v>360957.62546611083</v>
      </c>
      <c r="P15">
        <v>388559.5816311118</v>
      </c>
      <c r="R15">
        <f>SMALL(SimData!$B$9:$B$108,13)</f>
        <v>8.4758252107076153</v>
      </c>
      <c r="S15">
        <f>1/(COUNT(SimData!$B$9:$B$108)-1)+$S$14</f>
        <v>0.1212121212121212</v>
      </c>
      <c r="T15">
        <f>SMALL(SimData!$C$9:$C$108,13)</f>
        <v>8.7200470243709454</v>
      </c>
      <c r="U15">
        <f>1/(COUNT(SimData!$C$9:$C$108)-1)+$U$14</f>
        <v>0.1212121212121212</v>
      </c>
      <c r="V15">
        <f>SMALL(SimData!$D$9:$D$108,13)</f>
        <v>8.6679290534959552</v>
      </c>
      <c r="W15">
        <f>1/(COUNT(SimData!$D$9:$D$108)-1)+$W$14</f>
        <v>0.1212121212121212</v>
      </c>
      <c r="X15">
        <f>SMALL(SimData!$E$9:$E$108,13)</f>
        <v>7.9921019920781236</v>
      </c>
      <c r="Y15">
        <f>1/(COUNT(SimData!$E$9:$E$108)-1)+$Y$14</f>
        <v>0.1212121212121212</v>
      </c>
      <c r="Z15">
        <f>SMALL(SimData!$F$9:$F$108,13)</f>
        <v>8.470014390783442</v>
      </c>
      <c r="AA15">
        <f>1/(COUNT(SimData!$F$9:$F$108)-1)+$AA$14</f>
        <v>0.1212121212121212</v>
      </c>
    </row>
    <row r="16" spans="1:27">
      <c r="A16">
        <v>8</v>
      </c>
      <c r="B16">
        <v>9.5199147009403902</v>
      </c>
      <c r="C16">
        <v>9.9564651509957542</v>
      </c>
      <c r="D16">
        <v>9.622999710163068</v>
      </c>
      <c r="E16">
        <v>9.4690649376776701</v>
      </c>
      <c r="F16">
        <v>9.101686512516789</v>
      </c>
      <c r="G16">
        <v>208165.98537562427</v>
      </c>
      <c r="H16">
        <v>230298.19256842136</v>
      </c>
      <c r="I16">
        <v>213358.5577800863</v>
      </c>
      <c r="J16">
        <v>205612.21548928216</v>
      </c>
      <c r="K16">
        <v>187310.66312599799</v>
      </c>
      <c r="L16">
        <v>451295.06175675301</v>
      </c>
      <c r="M16">
        <v>478196.89792589284</v>
      </c>
      <c r="N16">
        <v>457606.66596795409</v>
      </c>
      <c r="O16">
        <v>448190.93849884236</v>
      </c>
      <c r="P16">
        <v>425945.28721656831</v>
      </c>
      <c r="R16">
        <f>SMALL(SimData!$B$9:$B$108,14)</f>
        <v>8.4794503876747527</v>
      </c>
      <c r="S16">
        <f>1/(COUNT(SimData!$B$9:$B$108)-1)+$S$15</f>
        <v>0.1313131313131313</v>
      </c>
      <c r="T16">
        <f>SMALL(SimData!$C$9:$C$108,14)</f>
        <v>8.7243558378273569</v>
      </c>
      <c r="U16">
        <f>1/(COUNT(SimData!$C$9:$C$108)-1)+$U$15</f>
        <v>0.1313131313131313</v>
      </c>
      <c r="V16">
        <f>SMALL(SimData!$D$9:$D$108,14)</f>
        <v>8.671239273179852</v>
      </c>
      <c r="W16">
        <f>1/(COUNT(SimData!$D$9:$D$108)-1)+$W$15</f>
        <v>0.1313131313131313</v>
      </c>
      <c r="X16">
        <f>SMALL(SimData!$E$9:$E$108,14)</f>
        <v>7.9972743653784724</v>
      </c>
      <c r="Y16">
        <f>1/(COUNT(SimData!$E$9:$E$108)-1)+$Y$15</f>
        <v>0.1313131313131313</v>
      </c>
      <c r="Z16">
        <f>SMALL(SimData!$F$9:$F$108,14)</f>
        <v>8.4721900535901291</v>
      </c>
      <c r="AA16">
        <f>1/(COUNT(SimData!$F$9:$F$108)-1)+$AA$15</f>
        <v>0.1313131313131313</v>
      </c>
    </row>
    <row r="17" spans="1:27">
      <c r="A17">
        <v>9</v>
      </c>
      <c r="B17">
        <v>9.2550380726642825</v>
      </c>
      <c r="C17">
        <v>9.6436469386225294</v>
      </c>
      <c r="D17">
        <v>9.3803892400179603</v>
      </c>
      <c r="E17">
        <v>9.0967312985613358</v>
      </c>
      <c r="F17">
        <v>8.9404819280820025</v>
      </c>
      <c r="G17">
        <v>194918.39695198892</v>
      </c>
      <c r="H17">
        <v>214401.08646005916</v>
      </c>
      <c r="I17">
        <v>201170.77643034176</v>
      </c>
      <c r="J17">
        <v>187065.59169619274</v>
      </c>
      <c r="K17">
        <v>179362.11007181683</v>
      </c>
      <c r="L17">
        <v>435192.53523039655</v>
      </c>
      <c r="M17">
        <v>458873.86609426548</v>
      </c>
      <c r="N17">
        <v>442792.34156370629</v>
      </c>
      <c r="O17">
        <v>425647.40136194351</v>
      </c>
      <c r="P17">
        <v>416283.77130075445</v>
      </c>
      <c r="R17">
        <f>SMALL(SimData!$B$9:$B$108,15)</f>
        <v>8.5198232363578903</v>
      </c>
      <c r="S17">
        <f>1/(COUNT(SimData!$B$9:$B$108)-1)+$S$16</f>
        <v>0.14141414141414141</v>
      </c>
      <c r="T17">
        <f>SMALL(SimData!$C$9:$C$108,15)</f>
        <v>8.7723345477547277</v>
      </c>
      <c r="U17">
        <f>1/(COUNT(SimData!$C$9:$C$108)-1)+$U$16</f>
        <v>0.14141414141414141</v>
      </c>
      <c r="V17">
        <f>SMALL(SimData!$D$9:$D$108,15)</f>
        <v>8.708107323248198</v>
      </c>
      <c r="W17">
        <f>1/(COUNT(SimData!$D$9:$D$108)-1)+$W$16</f>
        <v>0.14141414141414141</v>
      </c>
      <c r="X17">
        <f>SMALL(SimData!$E$9:$E$108,15)</f>
        <v>8.0548565095513549</v>
      </c>
      <c r="Y17">
        <f>1/(COUNT(SimData!$E$9:$E$108)-1)+$Y$16</f>
        <v>0.14141414141414141</v>
      </c>
      <c r="Z17">
        <f>SMALL(SimData!$F$9:$F$108,15)</f>
        <v>8.4964283020690416</v>
      </c>
      <c r="AA17">
        <f>1/(COUNT(SimData!$F$9:$F$108)-1)+$AA$16</f>
        <v>0.14141414141414141</v>
      </c>
    </row>
    <row r="18" spans="1:27">
      <c r="A18">
        <v>10</v>
      </c>
      <c r="B18">
        <v>10.341825020911392</v>
      </c>
      <c r="C18">
        <v>10.923625199417732</v>
      </c>
      <c r="D18">
        <v>10.377146901561478</v>
      </c>
      <c r="E18">
        <v>10.614793324487055</v>
      </c>
      <c r="F18">
        <v>9.6059698405261162</v>
      </c>
      <c r="G18">
        <v>250147.05453506543</v>
      </c>
      <c r="H18">
        <v>280675.47555975092</v>
      </c>
      <c r="I18">
        <v>251981.14140677219</v>
      </c>
      <c r="J18">
        <v>264385.71231249999</v>
      </c>
      <c r="K18">
        <v>212499.30462166283</v>
      </c>
      <c r="L18">
        <v>502323.31370173593</v>
      </c>
      <c r="M18">
        <v>539430.80025987246</v>
      </c>
      <c r="N18">
        <v>504552.65775733849</v>
      </c>
      <c r="O18">
        <v>519630.49122181878</v>
      </c>
      <c r="P18">
        <v>456562.23838355817</v>
      </c>
      <c r="R18">
        <f>SMALL(SimData!$B$9:$B$108,16)</f>
        <v>8.5471767056294095</v>
      </c>
      <c r="S18">
        <f>1/(COUNT(SimData!$B$9:$B$108)-1)+$S$17</f>
        <v>0.15151515151515152</v>
      </c>
      <c r="T18">
        <f>SMALL(SimData!$C$9:$C$108,16)</f>
        <v>8.8048331794218555</v>
      </c>
      <c r="U18">
        <f>1/(COUNT(SimData!$C$9:$C$108)-1)+$U$17</f>
        <v>0.15151515151515152</v>
      </c>
      <c r="V18">
        <f>SMALL(SimData!$D$9:$D$108,16)</f>
        <v>8.7330891493107998</v>
      </c>
      <c r="W18">
        <f>1/(COUNT(SimData!$D$9:$D$108)-1)+$W$17</f>
        <v>0.15151515151515152</v>
      </c>
      <c r="X18">
        <f>SMALL(SimData!$E$9:$E$108,16)</f>
        <v>8.0938472634970413</v>
      </c>
      <c r="Y18">
        <f>1/(COUNT(SimData!$E$9:$E$108)-1)+$Y$17</f>
        <v>0.15151515151515152</v>
      </c>
      <c r="Z18">
        <f>SMALL(SimData!$F$9:$F$108,16)</f>
        <v>8.5128589272592503</v>
      </c>
      <c r="AA18">
        <f>1/(COUNT(SimData!$F$9:$F$108)-1)+$AA$17</f>
        <v>0.15151515151515152</v>
      </c>
    </row>
    <row r="19" spans="1:27">
      <c r="A19">
        <v>11</v>
      </c>
      <c r="B19">
        <v>9.1989802733569057</v>
      </c>
      <c r="C19">
        <v>9.5773701185743612</v>
      </c>
      <c r="D19">
        <v>9.3290710892834259</v>
      </c>
      <c r="E19">
        <v>9.0177307088700935</v>
      </c>
      <c r="F19">
        <v>8.9064477222421878</v>
      </c>
      <c r="G19">
        <v>192132.12492885615</v>
      </c>
      <c r="H19">
        <v>211057.56003229995</v>
      </c>
      <c r="I19">
        <v>198607.4061690598</v>
      </c>
      <c r="J19">
        <v>183164.81086380698</v>
      </c>
      <c r="K19">
        <v>177690.34685793717</v>
      </c>
      <c r="L19">
        <v>431805.80417207867</v>
      </c>
      <c r="M19">
        <v>454809.78882428398</v>
      </c>
      <c r="N19">
        <v>439676.54899005382</v>
      </c>
      <c r="O19">
        <v>420905.97788029839</v>
      </c>
      <c r="P19">
        <v>414251.73266576359</v>
      </c>
      <c r="R19">
        <f>SMALL(SimData!$B$9:$B$108,17)</f>
        <v>8.7206822704319045</v>
      </c>
      <c r="S19">
        <f>1/(COUNT(SimData!$B$9:$B$108)-1)+$S$18</f>
        <v>0.16161616161616163</v>
      </c>
      <c r="T19">
        <f>SMALL(SimData!$C$9:$C$108,17)</f>
        <v>9.0108259454075696</v>
      </c>
      <c r="U19">
        <f>1/(COUNT(SimData!$C$9:$C$108)-1)+$U$18</f>
        <v>0.16161616161616163</v>
      </c>
      <c r="V19">
        <f>SMALL(SimData!$D$9:$D$108,17)</f>
        <v>8.8916061041007044</v>
      </c>
      <c r="W19">
        <f>1/(COUNT(SimData!$D$9:$D$108)-1)+$W$18</f>
        <v>0.16161616161616163</v>
      </c>
      <c r="X19">
        <f>SMALL(SimData!$E$9:$E$108,17)</f>
        <v>8.3407514836814958</v>
      </c>
      <c r="Y19">
        <f>1/(COUNT(SimData!$E$9:$E$108)-1)+$Y$18</f>
        <v>0.16161616161616163</v>
      </c>
      <c r="Z19">
        <f>SMALL(SimData!$F$9:$F$108,17)</f>
        <v>8.6172430935567323</v>
      </c>
      <c r="AA19">
        <f>1/(COUNT(SimData!$F$9:$F$108)-1)+$AA$18</f>
        <v>0.16161616161616163</v>
      </c>
    </row>
    <row r="20" spans="1:27">
      <c r="A20">
        <v>12</v>
      </c>
      <c r="B20">
        <v>10.161483783013054</v>
      </c>
      <c r="C20">
        <v>10.711858511172929</v>
      </c>
      <c r="D20">
        <v>10.211504666838083</v>
      </c>
      <c r="E20">
        <v>10.364611844319844</v>
      </c>
      <c r="F20">
        <v>9.4947987801107718</v>
      </c>
      <c r="G20">
        <v>240821.52757128049</v>
      </c>
      <c r="H20">
        <v>269484.84320320887</v>
      </c>
      <c r="I20">
        <v>243401.65660008998</v>
      </c>
      <c r="J20">
        <v>251329.97456320084</v>
      </c>
      <c r="K20">
        <v>206903.98844339163</v>
      </c>
      <c r="L20">
        <v>490988.07739271189</v>
      </c>
      <c r="M20">
        <v>525828.51668904361</v>
      </c>
      <c r="N20">
        <v>494124.24035303626</v>
      </c>
      <c r="O20">
        <v>503761.16038918472</v>
      </c>
      <c r="P20">
        <v>449761.0965981434</v>
      </c>
      <c r="R20">
        <f>SMALL(SimData!$B$9:$B$108,18)</f>
        <v>8.7254465690796525</v>
      </c>
      <c r="S20">
        <f>1/(COUNT(SimData!$B$9:$B$108)-1)+$S$19</f>
        <v>0.17171717171717174</v>
      </c>
      <c r="T20">
        <f>SMALL(SimData!$C$9:$C$108,18)</f>
        <v>9.0164786987647858</v>
      </c>
      <c r="U20">
        <f>1/(COUNT(SimData!$C$9:$C$108)-1)+$U$19</f>
        <v>0.17171717171717174</v>
      </c>
      <c r="V20">
        <f>SMALL(SimData!$D$9:$D$108,18)</f>
        <v>8.895960163825972</v>
      </c>
      <c r="W20">
        <f>1/(COUNT(SimData!$D$9:$D$108)-1)+$W$19</f>
        <v>0.17171717171717174</v>
      </c>
      <c r="X20">
        <f>SMALL(SimData!$E$9:$E$108,18)</f>
        <v>8.3475211286089159</v>
      </c>
      <c r="Y20">
        <f>1/(COUNT(SimData!$E$9:$E$108)-1)+$Y$19</f>
        <v>0.17171717171717174</v>
      </c>
      <c r="Z20">
        <f>SMALL(SimData!$F$9:$F$108,18)</f>
        <v>8.6201133545960964</v>
      </c>
      <c r="AA20">
        <f>1/(COUNT(SimData!$F$9:$F$108)-1)+$AA$19</f>
        <v>0.17171717171717174</v>
      </c>
    </row>
    <row r="21" spans="1:27">
      <c r="A21">
        <v>13</v>
      </c>
      <c r="B21">
        <v>10.997826973976519</v>
      </c>
      <c r="C21">
        <v>11.691905045273911</v>
      </c>
      <c r="D21">
        <v>10.98046321256124</v>
      </c>
      <c r="E21">
        <v>11.519357422853952</v>
      </c>
      <c r="F21">
        <v>10.01280767390845</v>
      </c>
      <c r="G21">
        <v>284618.05730730435</v>
      </c>
      <c r="H21">
        <v>322040.67888643756</v>
      </c>
      <c r="I21">
        <v>283694.46395723184</v>
      </c>
      <c r="J21">
        <v>312645.11619363446</v>
      </c>
      <c r="K21">
        <v>233181.90628500597</v>
      </c>
      <c r="L21">
        <v>544223.03301515966</v>
      </c>
      <c r="M21">
        <v>589710.46343598096</v>
      </c>
      <c r="N21">
        <v>543100.39952568826</v>
      </c>
      <c r="O21">
        <v>578290.09826061176</v>
      </c>
      <c r="P21">
        <v>481702.06997161219</v>
      </c>
      <c r="R21">
        <f>SMALL(SimData!$B$9:$B$108,19)</f>
        <v>8.7439324414175896</v>
      </c>
      <c r="S21">
        <f>1/(COUNT(SimData!$B$9:$B$108)-1)+$S$20</f>
        <v>0.18181818181818185</v>
      </c>
      <c r="T21">
        <f>SMALL(SimData!$C$9:$C$108,19)</f>
        <v>9.0384100295519278</v>
      </c>
      <c r="U21">
        <f>1/(COUNT(SimData!$C$9:$C$108)-1)+$U$20</f>
        <v>0.18181818181818185</v>
      </c>
      <c r="V21">
        <f>SMALL(SimData!$D$9:$D$108,19)</f>
        <v>8.9128549480554202</v>
      </c>
      <c r="W21">
        <f>1/(COUNT(SimData!$D$9:$D$108)-1)+$W$20</f>
        <v>0.18181818181818185</v>
      </c>
      <c r="X21">
        <f>SMALL(SimData!$E$9:$E$108,19)</f>
        <v>8.3737828263396104</v>
      </c>
      <c r="Y21">
        <f>1/(COUNT(SimData!$E$9:$E$108)-1)+$Y$20</f>
        <v>0.18181818181818185</v>
      </c>
      <c r="Z21">
        <f>SMALL(SimData!$F$9:$F$108,19)</f>
        <v>8.631252210539305</v>
      </c>
      <c r="AA21">
        <f>1/(COUNT(SimData!$F$9:$F$108)-1)+$AA$20</f>
        <v>0.18181818181818185</v>
      </c>
    </row>
    <row r="22" spans="1:27">
      <c r="A22">
        <v>14</v>
      </c>
      <c r="B22">
        <v>8.8858863485609501</v>
      </c>
      <c r="C22">
        <v>9.2067257828439164</v>
      </c>
      <c r="D22">
        <v>9.0426263613450963</v>
      </c>
      <c r="E22">
        <v>8.5751797299763783</v>
      </c>
      <c r="F22">
        <v>8.7168941740524204</v>
      </c>
      <c r="G22">
        <v>176681.44422106061</v>
      </c>
      <c r="H22">
        <v>192516.74318294507</v>
      </c>
      <c r="I22">
        <v>184392.77991788776</v>
      </c>
      <c r="J22">
        <v>161533.8578728931</v>
      </c>
      <c r="K22">
        <v>168419.93843325996</v>
      </c>
      <c r="L22">
        <v>413025.40520499856</v>
      </c>
      <c r="M22">
        <v>432273.31006378779</v>
      </c>
      <c r="N22">
        <v>422398.58194034011</v>
      </c>
      <c r="O22">
        <v>394613.41932638641</v>
      </c>
      <c r="P22">
        <v>402983.49328551581</v>
      </c>
      <c r="R22">
        <f>SMALL(SimData!$B$9:$B$108,20)</f>
        <v>8.7534918697095971</v>
      </c>
      <c r="S22">
        <f>1/(COUNT(SimData!$B$9:$B$108)-1)+$S$21</f>
        <v>0.19191919191919196</v>
      </c>
      <c r="T22">
        <f>SMALL(SimData!$C$9:$C$108,20)</f>
        <v>9.0497500420946526</v>
      </c>
      <c r="U22">
        <f>1/(COUNT(SimData!$C$9:$C$108)-1)+$U$21</f>
        <v>0.19191919191919196</v>
      </c>
      <c r="V22">
        <f>SMALL(SimData!$D$9:$D$108,20)</f>
        <v>8.9215920110938782</v>
      </c>
      <c r="W22">
        <f>1/(COUNT(SimData!$D$9:$D$108)-1)+$W$21</f>
        <v>0.19191919191919196</v>
      </c>
      <c r="X22">
        <f>SMALL(SimData!$E$9:$E$108,20)</f>
        <v>8.3873601275918688</v>
      </c>
      <c r="Y22">
        <f>1/(COUNT(SimData!$E$9:$E$108)-1)+$Y$21</f>
        <v>0.19191919191919196</v>
      </c>
      <c r="Z22">
        <f>SMALL(SimData!$F$9:$F$108,20)</f>
        <v>8.6370135950930162</v>
      </c>
      <c r="AA22">
        <f>1/(COUNT(SimData!$F$9:$F$108)-1)+$AA$21</f>
        <v>0.19191919191919196</v>
      </c>
    </row>
    <row r="23" spans="1:27">
      <c r="A23">
        <v>15</v>
      </c>
      <c r="B23">
        <v>8.9693829808635606</v>
      </c>
      <c r="C23">
        <v>9.3056494780585837</v>
      </c>
      <c r="D23">
        <v>9.118986563907951</v>
      </c>
      <c r="E23">
        <v>8.693420748692839</v>
      </c>
      <c r="F23">
        <v>8.7673559385887732</v>
      </c>
      <c r="G23">
        <v>180783.47371807508</v>
      </c>
      <c r="H23">
        <v>197439.17857936257</v>
      </c>
      <c r="I23">
        <v>188166.64705514105</v>
      </c>
      <c r="J23">
        <v>167276.6991687133</v>
      </c>
      <c r="K23">
        <v>170881.15613146871</v>
      </c>
      <c r="L23">
        <v>418011.44769630418</v>
      </c>
      <c r="M23">
        <v>438256.56105335447</v>
      </c>
      <c r="N23">
        <v>426985.74103234115</v>
      </c>
      <c r="O23">
        <v>401593.87881421403</v>
      </c>
      <c r="P23">
        <v>405975.11878029909</v>
      </c>
      <c r="R23">
        <f>SMALL(SimData!$B$9:$B$108,21)</f>
        <v>8.8464765790805586</v>
      </c>
      <c r="S23">
        <f>1/(COUNT(SimData!$B$9:$B$108)-1)+$S$22</f>
        <v>0.20202020202020207</v>
      </c>
      <c r="T23">
        <f>SMALL(SimData!$C$9:$C$108,21)</f>
        <v>9.1600143212183998</v>
      </c>
      <c r="U23">
        <f>1/(COUNT(SimData!$C$9:$C$108)-1)+$U$22</f>
        <v>0.20202020202020207</v>
      </c>
      <c r="V23">
        <f>SMALL(SimData!$D$9:$D$108,21)</f>
        <v>9.0065924464961178</v>
      </c>
      <c r="W23">
        <f>1/(COUNT(SimData!$D$9:$D$108)-1)+$W$22</f>
        <v>0.20202020202020207</v>
      </c>
      <c r="X23">
        <f>SMALL(SimData!$E$9:$E$108,21)</f>
        <v>8.5193145321432855</v>
      </c>
      <c r="Y23">
        <f>1/(COUNT(SimData!$E$9:$E$108)-1)+$Y$22</f>
        <v>0.20202020202020207</v>
      </c>
      <c r="Z23">
        <f>SMALL(SimData!$F$9:$F$108,21)</f>
        <v>8.6930991185786457</v>
      </c>
      <c r="AA23">
        <f>1/(COUNT(SimData!$F$9:$F$108)-1)+$AA$22</f>
        <v>0.20202020202020207</v>
      </c>
    </row>
    <row r="24" spans="1:27">
      <c r="A24">
        <v>16</v>
      </c>
      <c r="B24">
        <v>9.7905965692208454</v>
      </c>
      <c r="C24">
        <v>10.275561437031708</v>
      </c>
      <c r="D24">
        <v>9.8711451104107528</v>
      </c>
      <c r="E24">
        <v>9.8479705537397866</v>
      </c>
      <c r="F24">
        <v>9.2670872951345622</v>
      </c>
      <c r="G24">
        <v>221845.011097176</v>
      </c>
      <c r="H24">
        <v>246713.02343428356</v>
      </c>
      <c r="I24">
        <v>225943.26144391391</v>
      </c>
      <c r="J24">
        <v>224762.85149945458</v>
      </c>
      <c r="K24">
        <v>195518.07855892915</v>
      </c>
      <c r="L24">
        <v>467922.00301520998</v>
      </c>
      <c r="M24">
        <v>498149.22743604123</v>
      </c>
      <c r="N24">
        <v>472903.45192573452</v>
      </c>
      <c r="O24">
        <v>471468.6562606821</v>
      </c>
      <c r="P24">
        <v>435921.45197164244</v>
      </c>
      <c r="R24">
        <f>SMALL(SimData!$B$9:$B$108,22)</f>
        <v>8.8733858506003198</v>
      </c>
      <c r="S24">
        <f>1/(COUNT(SimData!$B$9:$B$108)-1)+$S$23</f>
        <v>0.21212121212121218</v>
      </c>
      <c r="T24">
        <f>SMALL(SimData!$C$9:$C$108,22)</f>
        <v>9.1919106489927582</v>
      </c>
      <c r="U24">
        <f>1/(COUNT(SimData!$C$9:$C$108)-1)+$U$23</f>
        <v>0.21212121212121218</v>
      </c>
      <c r="V24">
        <f>SMALL(SimData!$D$9:$D$108,22)</f>
        <v>9.0311961376702712</v>
      </c>
      <c r="W24">
        <f>1/(COUNT(SimData!$D$9:$D$108)-1)+$W$23</f>
        <v>0.21212121212121218</v>
      </c>
      <c r="X24">
        <f>SMALL(SimData!$E$9:$E$108,22)</f>
        <v>8.5574636126147112</v>
      </c>
      <c r="Y24">
        <f>1/(COUNT(SimData!$E$9:$E$108)-1)+$Y$23</f>
        <v>0.21212121212121218</v>
      </c>
      <c r="Z24">
        <f>SMALL(SimData!$F$9:$F$108,22)</f>
        <v>8.7093449875638544</v>
      </c>
      <c r="AA24">
        <f>1/(COUNT(SimData!$F$9:$F$108)-1)+$AA$23</f>
        <v>0.21212121212121218</v>
      </c>
    </row>
    <row r="25" spans="1:27">
      <c r="A25">
        <v>17</v>
      </c>
      <c r="B25">
        <v>9.4132934372496315</v>
      </c>
      <c r="C25">
        <v>9.830613776191452</v>
      </c>
      <c r="D25">
        <v>9.5253157774028008</v>
      </c>
      <c r="E25">
        <v>9.3193759144091288</v>
      </c>
      <c r="F25">
        <v>9.0367191093436059</v>
      </c>
      <c r="G25">
        <v>202817.04545939039</v>
      </c>
      <c r="H25">
        <v>223879.46466894064</v>
      </c>
      <c r="I25">
        <v>208437.53305715113</v>
      </c>
      <c r="J25">
        <v>198123.69960655482</v>
      </c>
      <c r="K25">
        <v>184101.29917625769</v>
      </c>
      <c r="L25">
        <v>444793.39185769623</v>
      </c>
      <c r="M25">
        <v>470394.89404702466</v>
      </c>
      <c r="N25">
        <v>451625.12966082187</v>
      </c>
      <c r="O25">
        <v>439088.60064016306</v>
      </c>
      <c r="P25">
        <v>422044.28527713421</v>
      </c>
      <c r="R25">
        <f>SMALL(SimData!$B$9:$B$108,23)</f>
        <v>8.8858863485609501</v>
      </c>
      <c r="S25">
        <f>1/(COUNT(SimData!$B$9:$B$108)-1)+$S$24</f>
        <v>0.22222222222222229</v>
      </c>
      <c r="T25">
        <f>SMALL(SimData!$C$9:$C$108,23)</f>
        <v>9.2067257828439164</v>
      </c>
      <c r="U25">
        <f>1/(COUNT(SimData!$C$9:$C$108)-1)+$U$24</f>
        <v>0.22222222222222229</v>
      </c>
      <c r="V25">
        <f>SMALL(SimData!$D$9:$D$108,23)</f>
        <v>9.0426263613450963</v>
      </c>
      <c r="W25">
        <f>1/(COUNT(SimData!$D$9:$D$108)-1)+$W$24</f>
        <v>0.22222222222222229</v>
      </c>
      <c r="X25">
        <f>SMALL(SimData!$E$9:$E$108,23)</f>
        <v>8.5751797299763783</v>
      </c>
      <c r="Y25">
        <f>1/(COUNT(SimData!$E$9:$E$108)-1)+$Y$24</f>
        <v>0.22222222222222229</v>
      </c>
      <c r="Z25">
        <f>SMALL(SimData!$F$9:$F$108,23)</f>
        <v>8.7168941740524204</v>
      </c>
      <c r="AA25">
        <f>1/(COUNT(SimData!$F$9:$F$108)-1)+$AA$24</f>
        <v>0.22222222222222229</v>
      </c>
    </row>
    <row r="26" spans="1:27">
      <c r="A26">
        <v>18</v>
      </c>
      <c r="B26">
        <v>10.057515412220752</v>
      </c>
      <c r="C26">
        <v>10.589660945235522</v>
      </c>
      <c r="D26">
        <v>10.11605327653319</v>
      </c>
      <c r="E26">
        <v>10.220075732252296</v>
      </c>
      <c r="F26">
        <v>9.4308405483208819</v>
      </c>
      <c r="G26">
        <v>235474.58801223699</v>
      </c>
      <c r="H26">
        <v>263068.5157323567</v>
      </c>
      <c r="I26">
        <v>238482.47220576997</v>
      </c>
      <c r="J26">
        <v>243844.25918053987</v>
      </c>
      <c r="K26">
        <v>203695.82470796572</v>
      </c>
      <c r="L26">
        <v>484488.83894032228</v>
      </c>
      <c r="M26">
        <v>518029.43054617604</v>
      </c>
      <c r="N26">
        <v>488144.94097683777</v>
      </c>
      <c r="O26">
        <v>494662.22655583924</v>
      </c>
      <c r="P26">
        <v>445861.5535267099</v>
      </c>
      <c r="R26">
        <f>SMALL(SimData!$B$9:$B$108,24)</f>
        <v>8.9060378752519505</v>
      </c>
      <c r="S26">
        <f>1/(COUNT(SimData!$B$9:$B$108)-1)+$S$25</f>
        <v>0.2323232323232324</v>
      </c>
      <c r="T26">
        <f>SMALL(SimData!$C$9:$C$108,24)</f>
        <v>9.230605885052702</v>
      </c>
      <c r="U26">
        <f>1/(COUNT(SimData!$C$9:$C$108)-1)+$U$25</f>
        <v>0.2323232323232324</v>
      </c>
      <c r="V26">
        <f>SMALL(SimData!$D$9:$D$108,24)</f>
        <v>9.0610535653606394</v>
      </c>
      <c r="W26">
        <f>1/(COUNT(SimData!$D$9:$D$108)-1)+$W$25</f>
        <v>0.2323232323232324</v>
      </c>
      <c r="X26">
        <f>SMALL(SimData!$E$9:$E$108,24)</f>
        <v>8.6037314740881623</v>
      </c>
      <c r="Y26">
        <f>1/(COUNT(SimData!$E$9:$E$108)-1)+$Y$25</f>
        <v>0.2323232323232324</v>
      </c>
      <c r="Z26">
        <f>SMALL(SimData!$F$9:$F$108,24)</f>
        <v>8.7290669586734033</v>
      </c>
      <c r="AA26">
        <f>1/(COUNT(SimData!$F$9:$F$108)-1)+$AA$25</f>
        <v>0.2323232323232324</v>
      </c>
    </row>
    <row r="27" spans="1:27">
      <c r="A27">
        <v>19</v>
      </c>
      <c r="B27">
        <v>8.7534918697095971</v>
      </c>
      <c r="C27">
        <v>9.0497500420946526</v>
      </c>
      <c r="D27">
        <v>8.9215920110938782</v>
      </c>
      <c r="E27">
        <v>8.3873601275918688</v>
      </c>
      <c r="F27">
        <v>8.6370135950930162</v>
      </c>
      <c r="G27">
        <v>170204.46813032276</v>
      </c>
      <c r="H27">
        <v>184744.37187405967</v>
      </c>
      <c r="I27">
        <v>178433.96191440884</v>
      </c>
      <c r="J27">
        <v>152466.09134586016</v>
      </c>
      <c r="K27">
        <v>164533.75277881708</v>
      </c>
      <c r="L27">
        <v>405152.60028560623</v>
      </c>
      <c r="M27">
        <v>422825.94416051678</v>
      </c>
      <c r="N27">
        <v>415155.60141449905</v>
      </c>
      <c r="O27">
        <v>383591.49243923702</v>
      </c>
      <c r="P27">
        <v>398259.81033388013</v>
      </c>
      <c r="R27">
        <f>SMALL(SimData!$B$9:$B$108,25)</f>
        <v>8.9151321497602272</v>
      </c>
      <c r="S27">
        <f>1/(COUNT(SimData!$B$9:$B$108)-1)+$S$26</f>
        <v>0.24242424242424251</v>
      </c>
      <c r="T27">
        <f>SMALL(SimData!$C$9:$C$108,25)</f>
        <v>9.2413817343750964</v>
      </c>
      <c r="U27">
        <f>1/(COUNT(SimData!$C$9:$C$108)-1)+$U$26</f>
        <v>0.24242424242424251</v>
      </c>
      <c r="V27">
        <f>SMALL(SimData!$D$9:$D$108,25)</f>
        <v>9.0693700750023947</v>
      </c>
      <c r="W27">
        <f>1/(COUNT(SimData!$D$9:$D$108)-1)+$W$26</f>
        <v>0.24242424242424251</v>
      </c>
      <c r="X27">
        <f>SMALL(SimData!$E$9:$E$108,25)</f>
        <v>8.6166136277265473</v>
      </c>
      <c r="Y27">
        <f>1/(COUNT(SimData!$E$9:$E$108)-1)+$Y$26</f>
        <v>0.24242424242424251</v>
      </c>
      <c r="Z27">
        <f>SMALL(SimData!$F$9:$F$108,25)</f>
        <v>8.7345617062102345</v>
      </c>
      <c r="AA27">
        <f>1/(COUNT(SimData!$F$9:$F$108)-1)+$AA$26</f>
        <v>0.24242424242424251</v>
      </c>
    </row>
    <row r="28" spans="1:27">
      <c r="A28">
        <v>20</v>
      </c>
      <c r="B28">
        <v>9.3020516484233742</v>
      </c>
      <c r="C28">
        <v>9.6992111114224855</v>
      </c>
      <c r="D28">
        <v>9.4234352304059676</v>
      </c>
      <c r="E28">
        <v>9.1629316524361091</v>
      </c>
      <c r="F28">
        <v>8.9690474607381638</v>
      </c>
      <c r="G28">
        <v>197259.81940313452</v>
      </c>
      <c r="H28">
        <v>217210.79340143374</v>
      </c>
      <c r="I28">
        <v>203324.88508539565</v>
      </c>
      <c r="J28">
        <v>190343.58312779642</v>
      </c>
      <c r="K28">
        <v>180766.96354250412</v>
      </c>
      <c r="L28">
        <v>438038.54885365441</v>
      </c>
      <c r="M28">
        <v>462289.08244217461</v>
      </c>
      <c r="N28">
        <v>445410.67409710336</v>
      </c>
      <c r="O28">
        <v>429631.82043450413</v>
      </c>
      <c r="P28">
        <v>417991.37947470904</v>
      </c>
      <c r="R28">
        <f>SMALL(SimData!$B$9:$B$108,26)</f>
        <v>8.9439079681303753</v>
      </c>
      <c r="S28">
        <f>1/(COUNT(SimData!$B$9:$B$108)-1)+$S$27</f>
        <v>0.2525252525252526</v>
      </c>
      <c r="T28">
        <f>SMALL(SimData!$C$9:$C$108,26)</f>
        <v>9.2754737934831013</v>
      </c>
      <c r="U28">
        <f>1/(COUNT(SimData!$C$9:$C$108)-1)+$U$27</f>
        <v>0.2525252525252526</v>
      </c>
      <c r="V28">
        <f>SMALL(SimData!$D$9:$D$108,26)</f>
        <v>9.0956866029186187</v>
      </c>
      <c r="W28">
        <f>1/(COUNT(SimData!$D$9:$D$108)-1)+$W$27</f>
        <v>0.2525252525252526</v>
      </c>
      <c r="X28">
        <f>SMALL(SimData!$E$9:$E$108,26)</f>
        <v>8.6573622841721356</v>
      </c>
      <c r="Y28">
        <f>1/(COUNT(SimData!$E$9:$E$108)-1)+$Y$27</f>
        <v>0.2525252525252526</v>
      </c>
      <c r="Z28">
        <f>SMALL(SimData!$F$9:$F$108,26)</f>
        <v>8.7519530757755479</v>
      </c>
      <c r="AA28">
        <f>1/(COUNT(SimData!$F$9:$F$108)-1)+$AA$27</f>
        <v>0.2525252525252526</v>
      </c>
    </row>
    <row r="29" spans="1:27">
      <c r="A29">
        <v>21</v>
      </c>
      <c r="B29">
        <v>7.7039027817539889</v>
      </c>
      <c r="C29">
        <v>7.7999194887150587</v>
      </c>
      <c r="D29">
        <v>7.964034368511383</v>
      </c>
      <c r="E29">
        <v>6.883278480647685</v>
      </c>
      <c r="F29">
        <v>8.0095723184140173</v>
      </c>
      <c r="G29">
        <v>120027.97165668523</v>
      </c>
      <c r="H29">
        <v>124532.57610569464</v>
      </c>
      <c r="I29">
        <v>132271.5851586624</v>
      </c>
      <c r="J29">
        <v>82218.996282767621</v>
      </c>
      <c r="K29">
        <v>134427.85489463469</v>
      </c>
      <c r="L29">
        <v>344162.75521879684</v>
      </c>
      <c r="M29">
        <v>349638.13008034555</v>
      </c>
      <c r="N29">
        <v>359044.94395303453</v>
      </c>
      <c r="O29">
        <v>298205.70934570394</v>
      </c>
      <c r="P29">
        <v>361665.9032937946</v>
      </c>
      <c r="R29">
        <f>SMALL(SimData!$B$9:$B$108,27)</f>
        <v>8.9669865736560013</v>
      </c>
      <c r="S29">
        <f>1/(COUNT(SimData!$B$9:$B$108)-1)+$S$28</f>
        <v>0.26262626262626271</v>
      </c>
      <c r="T29">
        <f>SMALL(SimData!$C$9:$C$108,27)</f>
        <v>9.3028111136977714</v>
      </c>
      <c r="U29">
        <f>1/(COUNT(SimData!$C$9:$C$108)-1)+$U$28</f>
        <v>0.26262626262626271</v>
      </c>
      <c r="V29">
        <f>SMALL(SimData!$D$9:$D$108,27)</f>
        <v>9.1167946759583689</v>
      </c>
      <c r="W29">
        <f>1/(COUNT(SimData!$D$9:$D$108)-1)+$W$28</f>
        <v>0.26262626262626271</v>
      </c>
      <c r="X29">
        <f>SMALL(SimData!$E$9:$E$108,27)</f>
        <v>8.6900294071148743</v>
      </c>
      <c r="Y29">
        <f>1/(COUNT(SimData!$E$9:$E$108)-1)+$Y$28</f>
        <v>0.26262626262626271</v>
      </c>
      <c r="Z29">
        <f>SMALL(SimData!$F$9:$F$108,27)</f>
        <v>8.765906751120065</v>
      </c>
      <c r="AA29">
        <f>1/(COUNT(SimData!$F$9:$F$108)-1)+$AA$28</f>
        <v>0.26262626262626271</v>
      </c>
    </row>
    <row r="30" spans="1:27">
      <c r="A30">
        <v>22</v>
      </c>
      <c r="B30">
        <v>9.2565109374852934</v>
      </c>
      <c r="C30">
        <v>9.6453879532953248</v>
      </c>
      <c r="D30">
        <v>9.381737704283772</v>
      </c>
      <c r="E30">
        <v>9.0988060090970198</v>
      </c>
      <c r="F30">
        <v>8.9413765345824352</v>
      </c>
      <c r="G30">
        <v>194991.6853828145</v>
      </c>
      <c r="H30">
        <v>214489.0325770498</v>
      </c>
      <c r="I30">
        <v>201238.20178670133</v>
      </c>
      <c r="J30">
        <v>187168.19549934857</v>
      </c>
      <c r="K30">
        <v>179406.08313031215</v>
      </c>
      <c r="L30">
        <v>435281.61777611775</v>
      </c>
      <c r="M30">
        <v>458980.76514913078</v>
      </c>
      <c r="N30">
        <v>442874.29750576976</v>
      </c>
      <c r="O30">
        <v>425772.11692595319</v>
      </c>
      <c r="P30">
        <v>416337.22082818707</v>
      </c>
      <c r="R30">
        <f>SMALL(SimData!$B$9:$B$108,28)</f>
        <v>8.9693829808635606</v>
      </c>
      <c r="S30">
        <f>1/(COUNT(SimData!$B$9:$B$108)-1)+$S$29</f>
        <v>0.27272727272727282</v>
      </c>
      <c r="T30">
        <f>SMALL(SimData!$C$9:$C$108,28)</f>
        <v>9.3056494780585837</v>
      </c>
      <c r="U30">
        <f>1/(COUNT(SimData!$C$9:$C$108)-1)+$U$29</f>
        <v>0.27272727272727282</v>
      </c>
      <c r="V30">
        <f>SMALL(SimData!$D$9:$D$108,28)</f>
        <v>9.118986563907951</v>
      </c>
      <c r="W30">
        <f>1/(COUNT(SimData!$D$9:$D$108)-1)+$W$29</f>
        <v>0.27272727272727282</v>
      </c>
      <c r="X30">
        <f>SMALL(SimData!$E$9:$E$108,28)</f>
        <v>8.693420748692839</v>
      </c>
      <c r="Y30">
        <f>1/(COUNT(SimData!$E$9:$E$108)-1)+$Y$29</f>
        <v>0.27272727272727282</v>
      </c>
      <c r="Z30">
        <f>SMALL(SimData!$F$9:$F$108,28)</f>
        <v>8.7673559385887732</v>
      </c>
      <c r="AA30">
        <f>1/(COUNT(SimData!$F$9:$F$108)-1)+$AA$29</f>
        <v>0.27272727272727282</v>
      </c>
    </row>
    <row r="31" spans="1:27">
      <c r="A31">
        <v>23</v>
      </c>
      <c r="B31">
        <v>8.2833670353010316</v>
      </c>
      <c r="C31">
        <v>8.4911313803068786</v>
      </c>
      <c r="D31">
        <v>8.4922518146840407</v>
      </c>
      <c r="E31">
        <v>7.7170436167255776</v>
      </c>
      <c r="F31">
        <v>8.3546874704538681</v>
      </c>
      <c r="G31">
        <v>147474.01978025935</v>
      </c>
      <c r="H31">
        <v>157467.83385398379</v>
      </c>
      <c r="I31">
        <v>157521.94943235081</v>
      </c>
      <c r="J31">
        <v>120643.46365577145</v>
      </c>
      <c r="K31">
        <v>150895.4837687792</v>
      </c>
      <c r="L31">
        <v>377523.59825080197</v>
      </c>
      <c r="M31">
        <v>389671.14171875193</v>
      </c>
      <c r="N31">
        <v>389736.91954247945</v>
      </c>
      <c r="O31">
        <v>344910.88959051121</v>
      </c>
      <c r="P31">
        <v>381682.40911299782</v>
      </c>
      <c r="R31">
        <f>SMALL(SimData!$B$9:$B$108,29)</f>
        <v>9.0054214439436713</v>
      </c>
      <c r="S31">
        <f>1/(COUNT(SimData!$B$9:$B$108)-1)+$S$30</f>
        <v>0.28282828282828293</v>
      </c>
      <c r="T31">
        <f>SMALL(SimData!$C$9:$C$108,29)</f>
        <v>9.3483285790982453</v>
      </c>
      <c r="U31">
        <f>1/(COUNT(SimData!$C$9:$C$108)-1)+$U$30</f>
        <v>0.28282828282828293</v>
      </c>
      <c r="V31">
        <f>SMALL(SimData!$D$9:$D$108,29)</f>
        <v>9.1519514960559096</v>
      </c>
      <c r="W31">
        <f>1/(COUNT(SimData!$D$9:$D$108)-1)+$W$30</f>
        <v>0.28282828282828293</v>
      </c>
      <c r="X31">
        <f>SMALL(SimData!$E$9:$E$108,29)</f>
        <v>8.7444055836056158</v>
      </c>
      <c r="Y31">
        <f>1/(COUNT(SimData!$E$9:$E$108)-1)+$Y$30</f>
        <v>0.28282828282828293</v>
      </c>
      <c r="Z31">
        <f>SMALL(SimData!$F$9:$F$108,29)</f>
        <v>8.7891560248240399</v>
      </c>
      <c r="AA31">
        <f>1/(COUNT(SimData!$F$9:$F$108)-1)+$AA$30</f>
        <v>0.28282828282828293</v>
      </c>
    </row>
    <row r="32" spans="1:27">
      <c r="A32">
        <v>24</v>
      </c>
      <c r="B32">
        <v>9.3786594583391736</v>
      </c>
      <c r="C32">
        <v>9.7897136194823844</v>
      </c>
      <c r="D32">
        <v>9.4935923070016113</v>
      </c>
      <c r="E32">
        <v>9.2706981226767713</v>
      </c>
      <c r="F32">
        <v>9.0156380567225458</v>
      </c>
      <c r="G32">
        <v>201084.28975908889</v>
      </c>
      <c r="H32">
        <v>221800.15782857919</v>
      </c>
      <c r="I32">
        <v>206843.39781287382</v>
      </c>
      <c r="J32">
        <v>195697.84162613284</v>
      </c>
      <c r="K32">
        <v>183061.6457560769</v>
      </c>
      <c r="L32">
        <v>442687.21647425671</v>
      </c>
      <c r="M32">
        <v>467867.48358689761</v>
      </c>
      <c r="N32">
        <v>449687.44830805762</v>
      </c>
      <c r="O32">
        <v>436139.95510334766</v>
      </c>
      <c r="P32">
        <v>420780.58004707051</v>
      </c>
      <c r="R32">
        <f>SMALL(SimData!$B$9:$B$108,30)</f>
        <v>9.0682287994795612</v>
      </c>
      <c r="S32">
        <f>1/(COUNT(SimData!$B$9:$B$108)-1)+$S$31</f>
        <v>0.29292929292929304</v>
      </c>
      <c r="T32">
        <f>SMALL(SimData!$C$9:$C$108,30)</f>
        <v>9.4226834361111944</v>
      </c>
      <c r="U32">
        <f>1/(COUNT(SimData!$C$9:$C$108)-1)+$U$31</f>
        <v>0.29292929292929304</v>
      </c>
      <c r="V32">
        <f>SMALL(SimData!$D$9:$D$108,30)</f>
        <v>9.2094119167655908</v>
      </c>
      <c r="W32">
        <f>1/(COUNT(SimData!$D$9:$D$108)-1)+$W$31</f>
        <v>0.29292929292929304</v>
      </c>
      <c r="X32">
        <f>SMALL(SimData!$E$9:$E$108,30)</f>
        <v>8.8331898557972846</v>
      </c>
      <c r="Y32">
        <f>1/(COUNT(SimData!$E$9:$E$108)-1)+$Y$31</f>
        <v>0.29292929292929304</v>
      </c>
      <c r="Z32">
        <f>SMALL(SimData!$F$9:$F$108,30)</f>
        <v>8.8271776944590741</v>
      </c>
      <c r="AA32">
        <f>1/(COUNT(SimData!$F$9:$F$108)-1)+$AA$31</f>
        <v>0.29292929292929304</v>
      </c>
    </row>
    <row r="33" spans="1:27">
      <c r="A33">
        <v>25</v>
      </c>
      <c r="B33">
        <v>10.405432498453205</v>
      </c>
      <c r="C33">
        <v>10.998258265626724</v>
      </c>
      <c r="D33">
        <v>10.435592318257257</v>
      </c>
      <c r="E33">
        <v>10.702875910280666</v>
      </c>
      <c r="F33">
        <v>9.6452501192676507</v>
      </c>
      <c r="G33">
        <v>253451.66312135162</v>
      </c>
      <c r="H33">
        <v>284641.00586329435</v>
      </c>
      <c r="I33">
        <v>255021.38130615547</v>
      </c>
      <c r="J33">
        <v>269012.16433330055</v>
      </c>
      <c r="K33">
        <v>214482.06977343431</v>
      </c>
      <c r="L33">
        <v>506340.08609217068</v>
      </c>
      <c r="M33">
        <v>544250.92712839402</v>
      </c>
      <c r="N33">
        <v>508248.08835653833</v>
      </c>
      <c r="O33">
        <v>525253.97256842698</v>
      </c>
      <c r="P33">
        <v>458972.30181781866</v>
      </c>
      <c r="R33">
        <f>SMALL(SimData!$B$9:$B$108,31)</f>
        <v>9.1035824523924092</v>
      </c>
      <c r="S33">
        <f>1/(COUNT(SimData!$B$9:$B$108)-1)+$S$32</f>
        <v>0.30303030303030315</v>
      </c>
      <c r="T33">
        <f>SMALL(SimData!$C$9:$C$108,31)</f>
        <v>9.464522740604874</v>
      </c>
      <c r="U33">
        <f>1/(COUNT(SimData!$C$9:$C$108)-1)+$U$32</f>
        <v>0.30303030303030315</v>
      </c>
      <c r="V33">
        <f>SMALL(SimData!$D$9:$D$108,31)</f>
        <v>9.2417611710706069</v>
      </c>
      <c r="W33">
        <f>1/(COUNT(SimData!$D$9:$D$108)-1)+$W$32</f>
        <v>0.30303030303030315</v>
      </c>
      <c r="X33">
        <f>SMALL(SimData!$E$9:$E$108,31)</f>
        <v>8.8831259126149469</v>
      </c>
      <c r="Y33">
        <f>1/(COUNT(SimData!$E$9:$E$108)-1)+$Y$32</f>
        <v>0.30303030303030315</v>
      </c>
      <c r="Z33">
        <f>SMALL(SimData!$F$9:$F$108,31)</f>
        <v>8.8485957875805212</v>
      </c>
      <c r="AA33">
        <f>1/(COUNT(SimData!$F$9:$F$108)-1)+$AA$32</f>
        <v>0.30303030303030315</v>
      </c>
    </row>
    <row r="34" spans="1:27">
      <c r="A34">
        <v>26</v>
      </c>
      <c r="B34">
        <v>8.5198232363578903</v>
      </c>
      <c r="C34">
        <v>8.7723345477547277</v>
      </c>
      <c r="D34">
        <v>8.708107323248198</v>
      </c>
      <c r="E34">
        <v>8.0548565095513549</v>
      </c>
      <c r="F34">
        <v>8.4964283020690416</v>
      </c>
      <c r="G34">
        <v>158854.36259919161</v>
      </c>
      <c r="H34">
        <v>171124.24523670215</v>
      </c>
      <c r="I34">
        <v>167991.86482576816</v>
      </c>
      <c r="J34">
        <v>136575.94360227638</v>
      </c>
      <c r="K34">
        <v>157723.68946013844</v>
      </c>
      <c r="L34">
        <v>391356.4760743567</v>
      </c>
      <c r="M34">
        <v>406270.59510701738</v>
      </c>
      <c r="N34">
        <v>402463.16714014951</v>
      </c>
      <c r="O34">
        <v>364276.91854348767</v>
      </c>
      <c r="P34">
        <v>389982.1358071306</v>
      </c>
      <c r="R34">
        <f>SMALL(SimData!$B$9:$B$108,32)</f>
        <v>9.1065417429843141</v>
      </c>
      <c r="S34">
        <f>1/(COUNT(SimData!$B$9:$B$108)-1)+$S$33</f>
        <v>0.31313131313131326</v>
      </c>
      <c r="T34">
        <f>SMALL(SimData!$C$9:$C$108,32)</f>
        <v>9.4680244482375588</v>
      </c>
      <c r="U34">
        <f>1/(COUNT(SimData!$C$9:$C$108)-1)+$U$33</f>
        <v>0.31313131313131326</v>
      </c>
      <c r="V34">
        <f>SMALL(SimData!$D$9:$D$108,32)</f>
        <v>9.2444691514961619</v>
      </c>
      <c r="W34">
        <f>1/(COUNT(SimData!$D$9:$D$108)-1)+$W$33</f>
        <v>0.31313131313131326</v>
      </c>
      <c r="X34">
        <f>SMALL(SimData!$E$9:$E$108,32)</f>
        <v>8.8873045342536336</v>
      </c>
      <c r="Y34">
        <f>1/(COUNT(SimData!$E$9:$E$108)-1)+$Y$33</f>
        <v>0.31313131313131326</v>
      </c>
      <c r="Z34">
        <f>SMALL(SimData!$F$9:$F$108,32)</f>
        <v>8.8503891213305348</v>
      </c>
      <c r="AA34">
        <f>1/(COUNT(SimData!$F$9:$F$108)-1)+$AA$33</f>
        <v>0.31313131313131326</v>
      </c>
    </row>
    <row r="35" spans="1:27">
      <c r="A35">
        <v>27</v>
      </c>
      <c r="B35">
        <v>8.7439324414175896</v>
      </c>
      <c r="C35">
        <v>9.0384100295519278</v>
      </c>
      <c r="D35">
        <v>8.9128549480554202</v>
      </c>
      <c r="E35">
        <v>8.3737828263396104</v>
      </c>
      <c r="F35">
        <v>8.631252210539305</v>
      </c>
      <c r="G35">
        <v>169738.09755177901</v>
      </c>
      <c r="H35">
        <v>184184.72717980726</v>
      </c>
      <c r="I35">
        <v>178004.90098214883</v>
      </c>
      <c r="J35">
        <v>151813.17253589898</v>
      </c>
      <c r="K35">
        <v>164253.93043169088</v>
      </c>
      <c r="L35">
        <v>404585.7239325702</v>
      </c>
      <c r="M35">
        <v>422145.69253687368</v>
      </c>
      <c r="N35">
        <v>414634.07516970608</v>
      </c>
      <c r="O35">
        <v>382797.86554498668</v>
      </c>
      <c r="P35">
        <v>397919.68452205864</v>
      </c>
      <c r="R35">
        <f>SMALL(SimData!$B$9:$B$108,33)</f>
        <v>9.1104790478540281</v>
      </c>
      <c r="S35">
        <f>1/(COUNT(SimData!$B$9:$B$108)-1)+$S$34</f>
        <v>0.32323232323232337</v>
      </c>
      <c r="T35">
        <f>SMALL(SimData!$C$9:$C$108,33)</f>
        <v>9.4726833215661923</v>
      </c>
      <c r="U35">
        <f>1/(COUNT(SimData!$C$9:$C$108)-1)+$U$34</f>
        <v>0.32323232323232337</v>
      </c>
      <c r="V35">
        <f>SMALL(SimData!$D$9:$D$108,33)</f>
        <v>9.2480721325173523</v>
      </c>
      <c r="W35">
        <f>1/(COUNT(SimData!$D$9:$D$108)-1)+$W$34</f>
        <v>0.32323232323232337</v>
      </c>
      <c r="X35">
        <f>SMALL(SimData!$E$9:$E$108,33)</f>
        <v>8.8928638366014603</v>
      </c>
      <c r="Y35">
        <f>1/(COUNT(SimData!$E$9:$E$108)-1)+$Y$34</f>
        <v>0.32323232323232337</v>
      </c>
      <c r="Z35">
        <f>SMALL(SimData!$F$9:$F$108,33)</f>
        <v>8.8527752584737307</v>
      </c>
      <c r="AA35">
        <f>1/(COUNT(SimData!$F$9:$F$108)-1)+$AA$34</f>
        <v>0.32323232323232337</v>
      </c>
    </row>
    <row r="36" spans="1:27">
      <c r="A36">
        <v>28</v>
      </c>
      <c r="B36">
        <v>8.8733858506003198</v>
      </c>
      <c r="C36">
        <v>9.1919106489927582</v>
      </c>
      <c r="D36">
        <v>9.0311961376702712</v>
      </c>
      <c r="E36">
        <v>8.5574636126147112</v>
      </c>
      <c r="F36">
        <v>8.7093449875638544</v>
      </c>
      <c r="G36">
        <v>176068.466629148</v>
      </c>
      <c r="H36">
        <v>191781.17007264984</v>
      </c>
      <c r="I36">
        <v>183828.84053332813</v>
      </c>
      <c r="J36">
        <v>160675.68924421538</v>
      </c>
      <c r="K36">
        <v>168052.15187811223</v>
      </c>
      <c r="L36">
        <v>412280.32711091894</v>
      </c>
      <c r="M36">
        <v>431379.21635089198</v>
      </c>
      <c r="N36">
        <v>421713.11009378685</v>
      </c>
      <c r="O36">
        <v>393570.3099946747</v>
      </c>
      <c r="P36">
        <v>402536.44642906776</v>
      </c>
      <c r="R36">
        <f>SMALL(SimData!$B$9:$B$108,34)</f>
        <v>9.123577249267699</v>
      </c>
      <c r="S36">
        <f>1/(COUNT(SimData!$B$9:$B$108)-1)+$S$35</f>
        <v>0.33333333333333348</v>
      </c>
      <c r="T36">
        <f>SMALL(SimData!$C$9:$C$108,34)</f>
        <v>9.4881810418644665</v>
      </c>
      <c r="U36">
        <f>1/(COUNT(SimData!$C$9:$C$108)-1)+$U$35</f>
        <v>0.33333333333333348</v>
      </c>
      <c r="V36">
        <f>SMALL(SimData!$D$9:$D$108,34)</f>
        <v>9.2600584837125783</v>
      </c>
      <c r="W36">
        <f>1/(COUNT(SimData!$D$9:$D$108)-1)+$W$35</f>
        <v>0.33333333333333348</v>
      </c>
      <c r="X36">
        <f>SMALL(SimData!$E$9:$E$108,34)</f>
        <v>8.9113553819369784</v>
      </c>
      <c r="Y36">
        <f>1/(COUNT(SimData!$E$9:$E$108)-1)+$Y$35</f>
        <v>0.33333333333333348</v>
      </c>
      <c r="Z36">
        <f>SMALL(SimData!$F$9:$F$108,34)</f>
        <v>8.8607142336908336</v>
      </c>
      <c r="AA36">
        <f>1/(COUNT(SimData!$F$9:$F$108)-1)+$AA$35</f>
        <v>0.33333333333333348</v>
      </c>
    </row>
    <row r="37" spans="1:27">
      <c r="A37">
        <v>29</v>
      </c>
      <c r="B37">
        <v>9.299474725012681</v>
      </c>
      <c r="C37">
        <v>9.6961659745584896</v>
      </c>
      <c r="D37">
        <v>9.4210756054783893</v>
      </c>
      <c r="E37">
        <v>9.159304340382139</v>
      </c>
      <c r="F37">
        <v>8.9674811904875753</v>
      </c>
      <c r="G37">
        <v>197131.36988430563</v>
      </c>
      <c r="H37">
        <v>217056.65397883917</v>
      </c>
      <c r="I37">
        <v>203206.71152807318</v>
      </c>
      <c r="J37">
        <v>190163.75380143616</v>
      </c>
      <c r="K37">
        <v>180689.89383120695</v>
      </c>
      <c r="L37">
        <v>437882.41766070836</v>
      </c>
      <c r="M37">
        <v>462101.72501063952</v>
      </c>
      <c r="N37">
        <v>445267.0333995932</v>
      </c>
      <c r="O37">
        <v>429413.23676438001</v>
      </c>
      <c r="P37">
        <v>417897.70075894153</v>
      </c>
      <c r="R37">
        <f>SMALL(SimData!$B$9:$B$108,35)</f>
        <v>9.1989802733569057</v>
      </c>
      <c r="S37">
        <f>1/(COUNT(SimData!$B$9:$B$108)-1)+$S$36</f>
        <v>0.34343434343434359</v>
      </c>
      <c r="T37">
        <f>SMALL(SimData!$C$9:$C$108,35)</f>
        <v>9.5773701185743612</v>
      </c>
      <c r="U37">
        <f>1/(COUNT(SimData!$C$9:$C$108)-1)+$U$36</f>
        <v>0.34343434343434359</v>
      </c>
      <c r="V37">
        <f>SMALL(SimData!$D$9:$D$108,35)</f>
        <v>9.3290710892834259</v>
      </c>
      <c r="W37">
        <f>1/(COUNT(SimData!$D$9:$D$108)-1)+$W$36</f>
        <v>0.34343434343434359</v>
      </c>
      <c r="X37">
        <f>SMALL(SimData!$E$9:$E$108,35)</f>
        <v>9.0177307088700935</v>
      </c>
      <c r="Y37">
        <f>1/(COUNT(SimData!$E$9:$E$108)-1)+$Y$36</f>
        <v>0.34343434343434359</v>
      </c>
      <c r="Z37">
        <f>SMALL(SimData!$F$9:$F$108,35)</f>
        <v>8.9064477222421878</v>
      </c>
      <c r="AA37">
        <f>1/(COUNT(SimData!$F$9:$F$108)-1)+$AA$36</f>
        <v>0.34343434343434359</v>
      </c>
    </row>
    <row r="38" spans="1:27">
      <c r="A38">
        <v>30</v>
      </c>
      <c r="B38">
        <v>8.7254465690796525</v>
      </c>
      <c r="C38">
        <v>9.0164786987647858</v>
      </c>
      <c r="D38">
        <v>8.895960163825972</v>
      </c>
      <c r="E38">
        <v>8.3475211286089159</v>
      </c>
      <c r="F38">
        <v>8.6201133545960964</v>
      </c>
      <c r="G38">
        <v>168836.73101620935</v>
      </c>
      <c r="H38">
        <v>183103.08733712381</v>
      </c>
      <c r="I38">
        <v>177175.64376942476</v>
      </c>
      <c r="J38">
        <v>150551.2593861015</v>
      </c>
      <c r="K38">
        <v>163713.11051034916</v>
      </c>
      <c r="L38">
        <v>403490.10727504443</v>
      </c>
      <c r="M38">
        <v>420830.95254784299</v>
      </c>
      <c r="N38">
        <v>413626.10784478241</v>
      </c>
      <c r="O38">
        <v>381264.00222445058</v>
      </c>
      <c r="P38">
        <v>397262.31452754326</v>
      </c>
      <c r="R38">
        <f>SMALL(SimData!$B$9:$B$108,36)</f>
        <v>9.2550380726642825</v>
      </c>
      <c r="S38">
        <f>1/(COUNT(SimData!$B$9:$B$108)-1)+$S$37</f>
        <v>0.3535353535353537</v>
      </c>
      <c r="T38">
        <f>SMALL(SimData!$C$9:$C$108,36)</f>
        <v>9.6436469386225294</v>
      </c>
      <c r="U38">
        <f>1/(COUNT(SimData!$C$9:$C$108)-1)+$U$37</f>
        <v>0.3535353535353537</v>
      </c>
      <c r="V38">
        <f>SMALL(SimData!$D$9:$D$108,36)</f>
        <v>9.3803892400179603</v>
      </c>
      <c r="W38">
        <f>1/(COUNT(SimData!$D$9:$D$108)-1)+$W$37</f>
        <v>0.3535353535353537</v>
      </c>
      <c r="X38">
        <f>SMALL(SimData!$E$9:$E$108,36)</f>
        <v>9.0967312985613358</v>
      </c>
      <c r="Y38">
        <f>1/(COUNT(SimData!$E$9:$E$108)-1)+$Y$37</f>
        <v>0.3535353535353537</v>
      </c>
      <c r="Z38">
        <f>SMALL(SimData!$F$9:$F$108,36)</f>
        <v>8.9404819280820025</v>
      </c>
      <c r="AA38">
        <f>1/(COUNT(SimData!$F$9:$F$108)-1)+$AA$37</f>
        <v>0.3535353535353537</v>
      </c>
    </row>
    <row r="39" spans="1:27">
      <c r="A39">
        <v>31</v>
      </c>
      <c r="B39">
        <v>10.484761393023749</v>
      </c>
      <c r="C39">
        <v>11.091295555199343</v>
      </c>
      <c r="D39">
        <v>10.508499535916325</v>
      </c>
      <c r="E39">
        <v>10.812614956870814</v>
      </c>
      <c r="F39">
        <v>9.6942897131600088</v>
      </c>
      <c r="G39">
        <v>257584.36348036188</v>
      </c>
      <c r="H39">
        <v>289600.24629410659</v>
      </c>
      <c r="I39">
        <v>258823.46563644486</v>
      </c>
      <c r="J39">
        <v>274797.94483591476</v>
      </c>
      <c r="K39">
        <v>216961.6899888406</v>
      </c>
      <c r="L39">
        <v>511363.40920792468</v>
      </c>
      <c r="M39">
        <v>550278.91486729891</v>
      </c>
      <c r="N39">
        <v>512869.54562303214</v>
      </c>
      <c r="O39">
        <v>532286.62493048282</v>
      </c>
      <c r="P39">
        <v>461986.29568727134</v>
      </c>
      <c r="R39">
        <f>SMALL(SimData!$B$9:$B$108,37)</f>
        <v>9.2565109374852934</v>
      </c>
      <c r="S39">
        <f>1/(COUNT(SimData!$B$9:$B$108)-1)+$S$38</f>
        <v>0.36363636363636381</v>
      </c>
      <c r="T39">
        <f>SMALL(SimData!$C$9:$C$108,37)</f>
        <v>9.6453879532953248</v>
      </c>
      <c r="U39">
        <f>1/(COUNT(SimData!$C$9:$C$108)-1)+$U$38</f>
        <v>0.36363636363636381</v>
      </c>
      <c r="V39">
        <f>SMALL(SimData!$D$9:$D$108,37)</f>
        <v>9.381737704283772</v>
      </c>
      <c r="W39">
        <f>1/(COUNT(SimData!$D$9:$D$108)-1)+$W$38</f>
        <v>0.36363636363636381</v>
      </c>
      <c r="X39">
        <f>SMALL(SimData!$E$9:$E$108,37)</f>
        <v>9.0988060090970198</v>
      </c>
      <c r="Y39">
        <f>1/(COUNT(SimData!$E$9:$E$108)-1)+$Y$38</f>
        <v>0.36363636363636381</v>
      </c>
      <c r="Z39">
        <f>SMALL(SimData!$F$9:$F$108,37)</f>
        <v>8.9413765345824352</v>
      </c>
      <c r="AA39">
        <f>1/(COUNT(SimData!$F$9:$F$108)-1)+$AA$38</f>
        <v>0.36363636363636381</v>
      </c>
    </row>
    <row r="40" spans="1:27">
      <c r="A40">
        <v>32</v>
      </c>
      <c r="B40">
        <v>7.8563216196791767</v>
      </c>
      <c r="C40">
        <v>7.98202444465913</v>
      </c>
      <c r="D40">
        <v>8.1028673688143158</v>
      </c>
      <c r="E40">
        <v>7.1034196072556979</v>
      </c>
      <c r="F40">
        <v>8.1000396077014578</v>
      </c>
      <c r="G40">
        <v>127186.63522963983</v>
      </c>
      <c r="H40">
        <v>133122.97239324008</v>
      </c>
      <c r="I40">
        <v>138857.55564578064</v>
      </c>
      <c r="J40">
        <v>92241.125284904148</v>
      </c>
      <c r="K40">
        <v>138723.05303840735</v>
      </c>
      <c r="L40">
        <v>352864.15553337056</v>
      </c>
      <c r="M40">
        <v>360079.81045783387</v>
      </c>
      <c r="N40">
        <v>367050.23224244226</v>
      </c>
      <c r="O40">
        <v>310387.66978610709</v>
      </c>
      <c r="P40">
        <v>366886.74348253867</v>
      </c>
      <c r="R40">
        <f>SMALL(SimData!$B$9:$B$108,38)</f>
        <v>9.299474725012681</v>
      </c>
      <c r="S40">
        <f>1/(COUNT(SimData!$B$9:$B$108)-1)+$S$39</f>
        <v>0.37373737373737392</v>
      </c>
      <c r="T40">
        <f>SMALL(SimData!$C$9:$C$108,38)</f>
        <v>9.6961659745584896</v>
      </c>
      <c r="U40">
        <f>1/(COUNT(SimData!$C$9:$C$108)-1)+$U$39</f>
        <v>0.37373737373737392</v>
      </c>
      <c r="V40">
        <f>SMALL(SimData!$D$9:$D$108,38)</f>
        <v>9.4210756054783893</v>
      </c>
      <c r="W40">
        <f>1/(COUNT(SimData!$D$9:$D$108)-1)+$W$39</f>
        <v>0.37373737373737392</v>
      </c>
      <c r="X40">
        <f>SMALL(SimData!$E$9:$E$108,38)</f>
        <v>9.159304340382139</v>
      </c>
      <c r="Y40">
        <f>1/(COUNT(SimData!$E$9:$E$108)-1)+$Y$39</f>
        <v>0.37373737373737392</v>
      </c>
      <c r="Z40">
        <f>SMALL(SimData!$F$9:$F$108,38)</f>
        <v>8.9674811904875753</v>
      </c>
      <c r="AA40">
        <f>1/(COUNT(SimData!$F$9:$F$108)-1)+$AA$39</f>
        <v>0.37373737373737392</v>
      </c>
    </row>
    <row r="41" spans="1:27">
      <c r="A41">
        <v>33</v>
      </c>
      <c r="B41">
        <v>8.4758252107076153</v>
      </c>
      <c r="C41">
        <v>8.7200470243709454</v>
      </c>
      <c r="D41">
        <v>8.6679290534959552</v>
      </c>
      <c r="E41">
        <v>7.9921019920781236</v>
      </c>
      <c r="F41">
        <v>8.470014390783442</v>
      </c>
      <c r="G41">
        <v>156728.80265457754</v>
      </c>
      <c r="H41">
        <v>168573.5733031655</v>
      </c>
      <c r="I41">
        <v>166036.34967672336</v>
      </c>
      <c r="J41">
        <v>133600.15967981692</v>
      </c>
      <c r="K41">
        <v>156448.35349337012</v>
      </c>
      <c r="L41">
        <v>388772.84467692865</v>
      </c>
      <c r="M41">
        <v>403170.23743010394</v>
      </c>
      <c r="N41">
        <v>400086.22625451582</v>
      </c>
      <c r="O41">
        <v>360659.83458708861</v>
      </c>
      <c r="P41">
        <v>388431.95696867385</v>
      </c>
      <c r="R41">
        <f>SMALL(SimData!$B$9:$B$108,39)</f>
        <v>9.3020516484233742</v>
      </c>
      <c r="S41">
        <f>1/(COUNT(SimData!$B$9:$B$108)-1)+$S$40</f>
        <v>0.38383838383838403</v>
      </c>
      <c r="T41">
        <f>SMALL(SimData!$C$9:$C$108,39)</f>
        <v>9.6992111114224855</v>
      </c>
      <c r="U41">
        <f>1/(COUNT(SimData!$C$9:$C$108)-1)+$U$40</f>
        <v>0.38383838383838403</v>
      </c>
      <c r="V41">
        <f>SMALL(SimData!$D$9:$D$108,39)</f>
        <v>9.4234352304059676</v>
      </c>
      <c r="W41">
        <f>1/(COUNT(SimData!$D$9:$D$108)-1)+$W$40</f>
        <v>0.38383838383838403</v>
      </c>
      <c r="X41">
        <f>SMALL(SimData!$E$9:$E$108,39)</f>
        <v>9.1629316524361091</v>
      </c>
      <c r="Y41">
        <f>1/(COUNT(SimData!$E$9:$E$108)-1)+$Y$40</f>
        <v>0.38383838383838403</v>
      </c>
      <c r="Z41">
        <f>SMALL(SimData!$F$9:$F$108,39)</f>
        <v>8.9690474607381638</v>
      </c>
      <c r="AA41">
        <f>1/(COUNT(SimData!$F$9:$F$108)-1)+$AA$40</f>
        <v>0.38383838383838403</v>
      </c>
    </row>
    <row r="42" spans="1:27">
      <c r="A42">
        <v>34</v>
      </c>
      <c r="B42">
        <v>11.008723773066563</v>
      </c>
      <c r="C42">
        <v>11.704640493578292</v>
      </c>
      <c r="D42">
        <v>10.990495072291212</v>
      </c>
      <c r="E42">
        <v>11.534312262715414</v>
      </c>
      <c r="F42">
        <v>10.019597790481203</v>
      </c>
      <c r="G42">
        <v>285197.97972865682</v>
      </c>
      <c r="H42">
        <v>322736.58579206071</v>
      </c>
      <c r="I42">
        <v>284227.99258487648</v>
      </c>
      <c r="J42">
        <v>313457.00758352806</v>
      </c>
      <c r="K42">
        <v>233529.85973781766</v>
      </c>
      <c r="L42">
        <v>544927.93234282883</v>
      </c>
      <c r="M42">
        <v>590556.34262918402</v>
      </c>
      <c r="N42">
        <v>543748.906907144</v>
      </c>
      <c r="O42">
        <v>579276.9573193487</v>
      </c>
      <c r="P42">
        <v>482125.00956821383</v>
      </c>
      <c r="R42">
        <f>SMALL(SimData!$B$9:$B$108,40)</f>
        <v>9.3479608749191669</v>
      </c>
      <c r="S42">
        <f>1/(COUNT(SimData!$B$9:$B$108)-1)+$S$41</f>
        <v>0.39393939393939414</v>
      </c>
      <c r="T42">
        <f>SMALL(SimData!$C$9:$C$108,40)</f>
        <v>9.753452791985044</v>
      </c>
      <c r="U42">
        <f>1/(COUNT(SimData!$C$9:$C$108)-1)+$U$41</f>
        <v>0.39393939393939414</v>
      </c>
      <c r="V42">
        <f>SMALL(SimData!$D$9:$D$108,40)</f>
        <v>9.4654765505610428</v>
      </c>
      <c r="W42">
        <f>1/(COUNT(SimData!$D$9:$D$108)-1)+$W$41</f>
        <v>0.39393939393939414</v>
      </c>
      <c r="X42">
        <f>SMALL(SimData!$E$9:$E$108,40)</f>
        <v>9.2275292255391541</v>
      </c>
      <c r="Y42">
        <f>1/(COUNT(SimData!$E$9:$E$108)-1)+$Y$41</f>
        <v>0.39393939393939414</v>
      </c>
      <c r="Z42">
        <f>SMALL(SimData!$F$9:$F$108,40)</f>
        <v>8.9969616131383727</v>
      </c>
      <c r="AA42">
        <f>1/(COUNT(SimData!$F$9:$F$108)-1)+$AA$41</f>
        <v>0.39393939393939414</v>
      </c>
    </row>
    <row r="43" spans="1:27">
      <c r="A43">
        <v>35</v>
      </c>
      <c r="B43">
        <v>9.4553499036360815</v>
      </c>
      <c r="C43">
        <v>9.8802663795368595</v>
      </c>
      <c r="D43">
        <v>9.5638428478417392</v>
      </c>
      <c r="E43">
        <v>9.3784502586825074</v>
      </c>
      <c r="F43">
        <v>9.0623328844873932</v>
      </c>
      <c r="G43">
        <v>204924.28178417694</v>
      </c>
      <c r="H43">
        <v>226408.1482586849</v>
      </c>
      <c r="I43">
        <v>210376.19047595479</v>
      </c>
      <c r="J43">
        <v>201073.83046125609</v>
      </c>
      <c r="K43">
        <v>185365.64097112976</v>
      </c>
      <c r="L43">
        <v>447354.7507807014</v>
      </c>
      <c r="M43">
        <v>473468.52475463122</v>
      </c>
      <c r="N43">
        <v>453981.57986998674</v>
      </c>
      <c r="O43">
        <v>442674.50313237036</v>
      </c>
      <c r="P43">
        <v>423581.10063093738</v>
      </c>
      <c r="R43">
        <f>SMALL(SimData!$B$9:$B$108,41)</f>
        <v>9.3757889626633588</v>
      </c>
      <c r="S43">
        <f>1/(COUNT(SimData!$B$9:$B$108)-1)+$S$42</f>
        <v>0.40404040404040426</v>
      </c>
      <c r="T43">
        <f>SMALL(SimData!$C$9:$C$108,41)</f>
        <v>9.7863233438495243</v>
      </c>
      <c r="U43">
        <f>1/(COUNT(SimData!$C$9:$C$108)-1)+$U$42</f>
        <v>0.40404040404040426</v>
      </c>
      <c r="V43">
        <f>SMALL(SimData!$D$9:$D$108,41)</f>
        <v>9.4909631997081281</v>
      </c>
      <c r="W43">
        <f>1/(COUNT(SimData!$D$9:$D$108)-1)+$W$42</f>
        <v>0.40404040404040426</v>
      </c>
      <c r="X43">
        <f>SMALL(SimData!$E$9:$E$108,41)</f>
        <v>9.2666624684930596</v>
      </c>
      <c r="Y43">
        <f>1/(COUNT(SimData!$E$9:$E$108)-1)+$Y$42</f>
        <v>0.40404040404040426</v>
      </c>
      <c r="Z43">
        <f>SMALL(SimData!$F$9:$F$108,41)</f>
        <v>9.0138913340341151</v>
      </c>
      <c r="AA43">
        <f>1/(COUNT(SimData!$F$9:$F$108)-1)+$AA$42</f>
        <v>0.40404040404040426</v>
      </c>
    </row>
    <row r="44" spans="1:27">
      <c r="A44">
        <v>36</v>
      </c>
      <c r="B44">
        <v>6.989149576994401</v>
      </c>
      <c r="C44">
        <v>6.9430729241841762</v>
      </c>
      <c r="D44">
        <v>7.3140250909202678</v>
      </c>
      <c r="E44">
        <v>5.8426618835650226</v>
      </c>
      <c r="F44">
        <v>7.5883156080047351</v>
      </c>
      <c r="G44">
        <v>87027.921317643253</v>
      </c>
      <c r="H44">
        <v>84932.515698844218</v>
      </c>
      <c r="I44">
        <v>101911.53884674376</v>
      </c>
      <c r="J44">
        <v>36018.925808108761</v>
      </c>
      <c r="K44">
        <v>114627.82469120948</v>
      </c>
      <c r="L44">
        <v>304050.98778137669</v>
      </c>
      <c r="M44">
        <v>301504.00915544142</v>
      </c>
      <c r="N44">
        <v>322142.11791060801</v>
      </c>
      <c r="O44">
        <v>242049.23493331566</v>
      </c>
      <c r="P44">
        <v>337598.84283134248</v>
      </c>
      <c r="R44">
        <f>SMALL(SimData!$B$9:$B$108,42)</f>
        <v>9.3786594583391736</v>
      </c>
      <c r="S44">
        <f>1/(COUNT(SimData!$B$9:$B$108)-1)+$S$43</f>
        <v>0.41414141414141437</v>
      </c>
      <c r="T44">
        <f>SMALL(SimData!$C$9:$C$108,42)</f>
        <v>9.7897136194823844</v>
      </c>
      <c r="U44">
        <f>1/(COUNT(SimData!$C$9:$C$108)-1)+$U$43</f>
        <v>0.41414141414141437</v>
      </c>
      <c r="V44">
        <f>SMALL(SimData!$D$9:$D$108,42)</f>
        <v>9.4935923070016113</v>
      </c>
      <c r="W44">
        <f>1/(COUNT(SimData!$D$9:$D$108)-1)+$W$43</f>
        <v>0.41414141414141437</v>
      </c>
      <c r="X44">
        <f>SMALL(SimData!$E$9:$E$108,42)</f>
        <v>9.2706981226767713</v>
      </c>
      <c r="Y44">
        <f>1/(COUNT(SimData!$E$9:$E$108)-1)+$Y$43</f>
        <v>0.41414141414141437</v>
      </c>
      <c r="Z44">
        <f>SMALL(SimData!$F$9:$F$108,42)</f>
        <v>9.0156380567225458</v>
      </c>
      <c r="AA44">
        <f>1/(COUNT(SimData!$F$9:$F$108)-1)+$AA$43</f>
        <v>0.41414141414141437</v>
      </c>
    </row>
    <row r="45" spans="1:27">
      <c r="A45">
        <v>37</v>
      </c>
      <c r="B45">
        <v>10.121866059831365</v>
      </c>
      <c r="C45">
        <v>10.665304176289778</v>
      </c>
      <c r="D45">
        <v>10.175128674518751</v>
      </c>
      <c r="E45">
        <v>10.309561975045231</v>
      </c>
      <c r="F45">
        <v>9.4704156575066847</v>
      </c>
      <c r="G45">
        <v>238781.52374661446</v>
      </c>
      <c r="H45">
        <v>267036.83861360967</v>
      </c>
      <c r="I45">
        <v>241524.85308139736</v>
      </c>
      <c r="J45">
        <v>248473.96920866857</v>
      </c>
      <c r="K45">
        <v>205679.98614859208</v>
      </c>
      <c r="L45">
        <v>488508.43999380647</v>
      </c>
      <c r="M45">
        <v>522852.9518103571</v>
      </c>
      <c r="N45">
        <v>491842.97394604335</v>
      </c>
      <c r="O45">
        <v>500289.66803071741</v>
      </c>
      <c r="P45">
        <v>448273.31415880029</v>
      </c>
      <c r="R45">
        <f>SMALL(SimData!$B$9:$B$108,43)</f>
        <v>9.4132934372496315</v>
      </c>
      <c r="S45">
        <f>1/(COUNT(SimData!$B$9:$B$108)-1)+$S$44</f>
        <v>0.42424242424242448</v>
      </c>
      <c r="T45">
        <f>SMALL(SimData!$C$9:$C$108,43)</f>
        <v>9.830613776191452</v>
      </c>
      <c r="U45">
        <f>1/(COUNT(SimData!$C$9:$C$108)-1)+$U$44</f>
        <v>0.42424242424242448</v>
      </c>
      <c r="V45">
        <f>SMALL(SimData!$D$9:$D$108,43)</f>
        <v>9.5253157774028008</v>
      </c>
      <c r="W45">
        <f>1/(COUNT(SimData!$D$9:$D$108)-1)+$W$44</f>
        <v>0.42424242424242448</v>
      </c>
      <c r="X45">
        <f>SMALL(SimData!$E$9:$E$108,43)</f>
        <v>9.3193759144091288</v>
      </c>
      <c r="Y45">
        <f>1/(COUNT(SimData!$E$9:$E$108)-1)+$Y$44</f>
        <v>0.42424242424242448</v>
      </c>
      <c r="Z45">
        <f>SMALL(SimData!$F$9:$F$108,43)</f>
        <v>9.0367191093436059</v>
      </c>
      <c r="AA45">
        <f>1/(COUNT(SimData!$F$9:$F$108)-1)+$AA$44</f>
        <v>0.42424242424242448</v>
      </c>
    </row>
    <row r="46" spans="1:27">
      <c r="A46">
        <v>38</v>
      </c>
      <c r="B46">
        <v>11.480564456845366</v>
      </c>
      <c r="C46">
        <v>12.255291605696488</v>
      </c>
      <c r="D46">
        <v>11.42519714954785</v>
      </c>
      <c r="E46">
        <v>12.179725301260095</v>
      </c>
      <c r="F46">
        <v>10.314613592996324</v>
      </c>
      <c r="G46">
        <v>310541.20908526983</v>
      </c>
      <c r="H46">
        <v>353148.46101999609</v>
      </c>
      <c r="I46">
        <v>307543.76359296031</v>
      </c>
      <c r="J46">
        <v>348937.52868278604</v>
      </c>
      <c r="K46">
        <v>248735.79735178535</v>
      </c>
      <c r="L46">
        <v>575732.78602097544</v>
      </c>
      <c r="M46">
        <v>627522.16704295971</v>
      </c>
      <c r="N46">
        <v>572089.37229103874</v>
      </c>
      <c r="O46">
        <v>622403.75246875384</v>
      </c>
      <c r="P46">
        <v>500607.92177510163</v>
      </c>
      <c r="R46">
        <f>SMALL(SimData!$B$9:$B$108,44)</f>
        <v>9.4553499036360815</v>
      </c>
      <c r="S46">
        <f>1/(COUNT(SimData!$B$9:$B$108)-1)+$S$45</f>
        <v>0.43434343434343459</v>
      </c>
      <c r="T46">
        <f>SMALL(SimData!$C$9:$C$108,44)</f>
        <v>9.8802663795368595</v>
      </c>
      <c r="U46">
        <f>1/(COUNT(SimData!$C$9:$C$108)-1)+$U$45</f>
        <v>0.43434343434343459</v>
      </c>
      <c r="V46">
        <f>SMALL(SimData!$D$9:$D$108,44)</f>
        <v>9.5638428478417392</v>
      </c>
      <c r="W46">
        <f>1/(COUNT(SimData!$D$9:$D$108)-1)+$W$45</f>
        <v>0.43434343434343459</v>
      </c>
      <c r="X46">
        <f>SMALL(SimData!$E$9:$E$108,44)</f>
        <v>9.3784502586825074</v>
      </c>
      <c r="Y46">
        <f>1/(COUNT(SimData!$E$9:$E$108)-1)+$Y$45</f>
        <v>0.43434343434343459</v>
      </c>
      <c r="Z46">
        <f>SMALL(SimData!$F$9:$F$108,44)</f>
        <v>9.0623328844873932</v>
      </c>
      <c r="AA46">
        <f>1/(COUNT(SimData!$F$9:$F$108)-1)+$AA$45</f>
        <v>0.43434343434343459</v>
      </c>
    </row>
    <row r="47" spans="1:27">
      <c r="A47">
        <v>39</v>
      </c>
      <c r="B47">
        <v>10.780542313297651</v>
      </c>
      <c r="C47">
        <v>11.437779168125765</v>
      </c>
      <c r="D47">
        <v>10.780494822468711</v>
      </c>
      <c r="E47">
        <v>11.220677851669009</v>
      </c>
      <c r="F47">
        <v>9.8776297894492071</v>
      </c>
      <c r="G47">
        <v>273104.46595024783</v>
      </c>
      <c r="H47">
        <v>308224.36925797001</v>
      </c>
      <c r="I47">
        <v>273101.95990874025</v>
      </c>
      <c r="J47">
        <v>296526.08829375566</v>
      </c>
      <c r="K47">
        <v>226273.75147077232</v>
      </c>
      <c r="L47">
        <v>530228.19076071167</v>
      </c>
      <c r="M47">
        <v>572916.65273064352</v>
      </c>
      <c r="N47">
        <v>530225.14465159632</v>
      </c>
      <c r="O47">
        <v>558697.31910438475</v>
      </c>
      <c r="P47">
        <v>473305.16461894359</v>
      </c>
      <c r="R47">
        <f>SMALL(SimData!$B$9:$B$108,45)</f>
        <v>9.4684768292815225</v>
      </c>
      <c r="S47">
        <f>1/(COUNT(SimData!$B$9:$B$108)-1)+$S$46</f>
        <v>0.4444444444444447</v>
      </c>
      <c r="T47">
        <f>SMALL(SimData!$C$9:$C$108,45)</f>
        <v>9.8957613545211967</v>
      </c>
      <c r="U47">
        <f>1/(COUNT(SimData!$C$9:$C$108)-1)+$U$46</f>
        <v>0.4444444444444447</v>
      </c>
      <c r="V47">
        <f>SMALL(SimData!$D$9:$D$108,45)</f>
        <v>9.5758692486180017</v>
      </c>
      <c r="W47">
        <f>1/(COUNT(SimData!$D$9:$D$108)-1)+$W$46</f>
        <v>0.4444444444444447</v>
      </c>
      <c r="X47">
        <f>SMALL(SimData!$E$9:$E$108,45)</f>
        <v>9.3968809158107742</v>
      </c>
      <c r="Y47">
        <f>1/(COUNT(SimData!$E$9:$E$108)-1)+$Y$46</f>
        <v>0.4444444444444447</v>
      </c>
      <c r="Z47">
        <f>SMALL(SimData!$F$9:$F$108,45)</f>
        <v>9.070330935197596</v>
      </c>
      <c r="AA47">
        <f>1/(COUNT(SimData!$F$9:$F$108)-1)+$AA$46</f>
        <v>0.4444444444444447</v>
      </c>
    </row>
    <row r="48" spans="1:27">
      <c r="A48">
        <v>40</v>
      </c>
      <c r="B48">
        <v>8.9669865736560013</v>
      </c>
      <c r="C48">
        <v>9.3028111136977714</v>
      </c>
      <c r="D48">
        <v>9.1167946759583689</v>
      </c>
      <c r="E48">
        <v>8.6900294071148743</v>
      </c>
      <c r="F48">
        <v>8.765906751120065</v>
      </c>
      <c r="G48">
        <v>180665.55674977892</v>
      </c>
      <c r="H48">
        <v>197297.67821740697</v>
      </c>
      <c r="I48">
        <v>188058.16344430845</v>
      </c>
      <c r="J48">
        <v>167111.61541309871</v>
      </c>
      <c r="K48">
        <v>170810.40595049085</v>
      </c>
      <c r="L48">
        <v>417868.11888435902</v>
      </c>
      <c r="M48">
        <v>438084.56647902017</v>
      </c>
      <c r="N48">
        <v>426853.87852535164</v>
      </c>
      <c r="O48">
        <v>401393.21847749094</v>
      </c>
      <c r="P48">
        <v>405889.12149313197</v>
      </c>
      <c r="R48">
        <f>SMALL(SimData!$B$9:$B$108,46)</f>
        <v>9.4701304046267811</v>
      </c>
      <c r="S48">
        <f>1/(COUNT(SimData!$B$9:$B$108)-1)+$S$47</f>
        <v>0.45454545454545481</v>
      </c>
      <c r="T48">
        <f>SMALL(SimData!$C$9:$C$108,46)</f>
        <v>9.8977131309610566</v>
      </c>
      <c r="U48">
        <f>1/(COUNT(SimData!$C$9:$C$108)-1)+$U$47</f>
        <v>0.45454545454545481</v>
      </c>
      <c r="V48">
        <f>SMALL(SimData!$D$9:$D$108,46)</f>
        <v>9.5773842296253804</v>
      </c>
      <c r="W48">
        <f>1/(COUNT(SimData!$D$9:$D$108)-1)+$W$47</f>
        <v>0.45454545454545481</v>
      </c>
      <c r="X48">
        <f>SMALL(SimData!$E$9:$E$108,46)</f>
        <v>9.3992023234866551</v>
      </c>
      <c r="Y48">
        <f>1/(COUNT(SimData!$E$9:$E$108)-1)+$Y$47</f>
        <v>0.45454545454545481</v>
      </c>
      <c r="Z48">
        <f>SMALL(SimData!$F$9:$F$108,46)</f>
        <v>9.0713385473033181</v>
      </c>
      <c r="AA48">
        <f>1/(COUNT(SimData!$F$9:$F$108)-1)+$AA$47</f>
        <v>0.45454545454545481</v>
      </c>
    </row>
    <row r="49" spans="1:27">
      <c r="A49">
        <v>41</v>
      </c>
      <c r="B49">
        <v>9.3479608749191669</v>
      </c>
      <c r="C49">
        <v>9.753452791985044</v>
      </c>
      <c r="D49">
        <v>9.4654765505610428</v>
      </c>
      <c r="E49">
        <v>9.2275292255391541</v>
      </c>
      <c r="F49">
        <v>8.9969616131383727</v>
      </c>
      <c r="G49">
        <v>199550.36814445583</v>
      </c>
      <c r="H49">
        <v>219959.45189101936</v>
      </c>
      <c r="I49">
        <v>205432.18992741127</v>
      </c>
      <c r="J49">
        <v>193550.35136564646</v>
      </c>
      <c r="K49">
        <v>182141.29278729681</v>
      </c>
      <c r="L49">
        <v>440822.72516466008</v>
      </c>
      <c r="M49">
        <v>465630.09401538142</v>
      </c>
      <c r="N49">
        <v>447972.11630322854</v>
      </c>
      <c r="O49">
        <v>433529.66726991237</v>
      </c>
      <c r="P49">
        <v>419661.88526131236</v>
      </c>
      <c r="R49">
        <f>SMALL(SimData!$B$9:$B$108,47)</f>
        <v>9.4891736967407248</v>
      </c>
      <c r="S49">
        <f>1/(COUNT(SimData!$B$9:$B$108)-1)+$S$48</f>
        <v>0.46464646464646492</v>
      </c>
      <c r="T49">
        <f>SMALL(SimData!$C$9:$C$108,47)</f>
        <v>9.9201890599007729</v>
      </c>
      <c r="U49">
        <f>1/(COUNT(SimData!$C$9:$C$108)-1)+$U$48</f>
        <v>0.46464646464646492</v>
      </c>
      <c r="V49">
        <f>SMALL(SimData!$D$9:$D$108,47)</f>
        <v>9.5948320024095111</v>
      </c>
      <c r="W49">
        <f>1/(COUNT(SimData!$D$9:$D$108)-1)+$W$48</f>
        <v>0.46464646464646492</v>
      </c>
      <c r="X49">
        <f>SMALL(SimData!$E$9:$E$108,47)</f>
        <v>9.4259323257431049</v>
      </c>
      <c r="Y49">
        <f>1/(COUNT(SimData!$E$9:$E$108)-1)+$Y$48</f>
        <v>0.46464646464646492</v>
      </c>
      <c r="Z49">
        <f>SMALL(SimData!$F$9:$F$108,47)</f>
        <v>9.0829444511132973</v>
      </c>
      <c r="AA49">
        <f>1/(COUNT(SimData!$F$9:$F$108)-1)+$AA$48</f>
        <v>0.46464646464646492</v>
      </c>
    </row>
    <row r="50" spans="1:27">
      <c r="A50">
        <v>42</v>
      </c>
      <c r="B50">
        <v>9.8651774323808272</v>
      </c>
      <c r="C50">
        <v>10.363380809070046</v>
      </c>
      <c r="D50">
        <v>9.9395547681956824</v>
      </c>
      <c r="E50">
        <v>9.9520935289370467</v>
      </c>
      <c r="F50">
        <v>9.3127772761513778</v>
      </c>
      <c r="G50">
        <v>225639.19328326057</v>
      </c>
      <c r="H50">
        <v>251266.04205758497</v>
      </c>
      <c r="I50">
        <v>229433.90905511158</v>
      </c>
      <c r="J50">
        <v>230074.70655997284</v>
      </c>
      <c r="K50">
        <v>197794.58787057979</v>
      </c>
      <c r="L50">
        <v>472533.85517603427</v>
      </c>
      <c r="M50">
        <v>503683.45002903044</v>
      </c>
      <c r="N50">
        <v>477146.35591369274</v>
      </c>
      <c r="O50">
        <v>477925.24928583612</v>
      </c>
      <c r="P50">
        <v>438688.56326813699</v>
      </c>
      <c r="R50">
        <f>SMALL(SimData!$B$9:$B$108,48)</f>
        <v>9.5032248694221089</v>
      </c>
      <c r="S50">
        <f>1/(COUNT(SimData!$B$9:$B$108)-1)+$S$49</f>
        <v>0.47474747474747503</v>
      </c>
      <c r="T50">
        <f>SMALL(SimData!$C$9:$C$108,48)</f>
        <v>9.9367711595714123</v>
      </c>
      <c r="U50">
        <f>1/(COUNT(SimData!$C$9:$C$108)-1)+$U$49</f>
        <v>0.47474747474747503</v>
      </c>
      <c r="V50">
        <f>SMALL(SimData!$D$9:$D$108,48)</f>
        <v>9.6077066140340985</v>
      </c>
      <c r="W50">
        <f>1/(COUNT(SimData!$D$9:$D$108)-1)+$W$49</f>
        <v>0.47474747474747503</v>
      </c>
      <c r="X50">
        <f>SMALL(SimData!$E$9:$E$108,48)</f>
        <v>9.4456500581826059</v>
      </c>
      <c r="Y50">
        <f>1/(COUNT(SimData!$E$9:$E$108)-1)+$Y$49</f>
        <v>0.47474747474747503</v>
      </c>
      <c r="Z50">
        <f>SMALL(SimData!$F$9:$F$108,48)</f>
        <v>9.0915100447384773</v>
      </c>
      <c r="AA50">
        <f>1/(COUNT(SimData!$F$9:$F$108)-1)+$AA$49</f>
        <v>0.47474747474747503</v>
      </c>
    </row>
    <row r="51" spans="1:27">
      <c r="A51">
        <v>43</v>
      </c>
      <c r="B51">
        <v>9.7312036815839367</v>
      </c>
      <c r="C51">
        <v>10.20559491324596</v>
      </c>
      <c r="D51">
        <v>9.8166784754717717</v>
      </c>
      <c r="E51">
        <v>9.7649666954571082</v>
      </c>
      <c r="F51">
        <v>9.2307379648669681</v>
      </c>
      <c r="G51">
        <v>218831.29726644186</v>
      </c>
      <c r="H51">
        <v>243096.56683740253</v>
      </c>
      <c r="I51">
        <v>223170.64471963851</v>
      </c>
      <c r="J51">
        <v>220543.65213642677</v>
      </c>
      <c r="K51">
        <v>193709.85026048857</v>
      </c>
      <c r="L51">
        <v>464258.81501824106</v>
      </c>
      <c r="M51">
        <v>493753.40183967858</v>
      </c>
      <c r="N51">
        <v>469533.31896852329</v>
      </c>
      <c r="O51">
        <v>466340.19306492567</v>
      </c>
      <c r="P51">
        <v>433723.53917346115</v>
      </c>
      <c r="R51">
        <f>SMALL(SimData!$B$9:$B$108,49)</f>
        <v>9.5199147009403902</v>
      </c>
      <c r="S51">
        <f>1/(COUNT(SimData!$B$9:$B$108)-1)+$S$50</f>
        <v>0.48484848484848514</v>
      </c>
      <c r="T51">
        <f>SMALL(SimData!$C$9:$C$108,49)</f>
        <v>9.9564651509957542</v>
      </c>
      <c r="U51">
        <f>1/(COUNT(SimData!$C$9:$C$108)-1)+$U$50</f>
        <v>0.48484848484848514</v>
      </c>
      <c r="V51">
        <f>SMALL(SimData!$D$9:$D$108,49)</f>
        <v>9.622999710163068</v>
      </c>
      <c r="W51">
        <f>1/(COUNT(SimData!$D$9:$D$108)-1)+$W$50</f>
        <v>0.48484848484848514</v>
      </c>
      <c r="X51">
        <f>SMALL(SimData!$E$9:$E$108,49)</f>
        <v>9.4690649376776701</v>
      </c>
      <c r="Y51">
        <f>1/(COUNT(SimData!$E$9:$E$108)-1)+$Y$50</f>
        <v>0.48484848484848514</v>
      </c>
      <c r="Z51">
        <f>SMALL(SimData!$F$9:$F$108,49)</f>
        <v>9.101686512516789</v>
      </c>
      <c r="AA51">
        <f>1/(COUNT(SimData!$F$9:$F$108)-1)+$AA$50</f>
        <v>0.48484848484848514</v>
      </c>
    </row>
    <row r="52" spans="1:27">
      <c r="A52">
        <v>44</v>
      </c>
      <c r="B52">
        <v>9.1035824523924092</v>
      </c>
      <c r="C52">
        <v>9.464522740604874</v>
      </c>
      <c r="D52">
        <v>9.2417611710706069</v>
      </c>
      <c r="E52">
        <v>8.8831259126149469</v>
      </c>
      <c r="F52">
        <v>8.8485957875805212</v>
      </c>
      <c r="G52">
        <v>187404.44365799369</v>
      </c>
      <c r="H52">
        <v>205384.34250726481</v>
      </c>
      <c r="I52">
        <v>194257.93939986615</v>
      </c>
      <c r="J52">
        <v>176546.05708459951</v>
      </c>
      <c r="K52">
        <v>174853.73809541971</v>
      </c>
      <c r="L52">
        <v>426059.27803933731</v>
      </c>
      <c r="M52">
        <v>447913.95746499411</v>
      </c>
      <c r="N52">
        <v>434389.74494793161</v>
      </c>
      <c r="O52">
        <v>412860.84129446046</v>
      </c>
      <c r="P52">
        <v>410803.81698611879</v>
      </c>
      <c r="R52">
        <f>SMALL(SimData!$B$9:$B$108,50)</f>
        <v>9.5318967588351207</v>
      </c>
      <c r="S52">
        <f>1/(COUNT(SimData!$B$9:$B$108)-1)+$S$51</f>
        <v>0.49494949494949525</v>
      </c>
      <c r="T52">
        <f>SMALL(SimData!$C$9:$C$108,50)</f>
        <v>9.9706026024821099</v>
      </c>
      <c r="U52">
        <f>1/(COUNT(SimData!$C$9:$C$108)-1)+$U$51</f>
        <v>0.49494949494949525</v>
      </c>
      <c r="V52">
        <f>SMALL(SimData!$D$9:$D$108,50)</f>
        <v>9.6339795319007244</v>
      </c>
      <c r="W52">
        <f>1/(COUNT(SimData!$D$9:$D$108)-1)+$W$51</f>
        <v>0.49494949494949525</v>
      </c>
      <c r="X52">
        <f>SMALL(SimData!$E$9:$E$108,50)</f>
        <v>9.4858713147256459</v>
      </c>
      <c r="Y52">
        <f>1/(COUNT(SimData!$E$9:$E$108)-1)+$Y$51</f>
        <v>0.49494949494949525</v>
      </c>
      <c r="Z52">
        <f>SMALL(SimData!$F$9:$F$108,50)</f>
        <v>9.1089940312376143</v>
      </c>
      <c r="AA52">
        <f>1/(COUNT(SimData!$F$9:$F$108)-1)+$AA$51</f>
        <v>0.49494949494949525</v>
      </c>
    </row>
    <row r="53" spans="1:27">
      <c r="A53">
        <v>45</v>
      </c>
      <c r="B53">
        <v>10.059855751484251</v>
      </c>
      <c r="C53">
        <v>10.592412534226014</v>
      </c>
      <c r="D53">
        <v>10.118201550995503</v>
      </c>
      <c r="E53">
        <v>10.22333172497275</v>
      </c>
      <c r="F53">
        <v>9.4322791830407837</v>
      </c>
      <c r="G53">
        <v>235594.71296568355</v>
      </c>
      <c r="H53">
        <v>263212.66567649285</v>
      </c>
      <c r="I53">
        <v>238592.9871629409</v>
      </c>
      <c r="J53">
        <v>244012.4341153655</v>
      </c>
      <c r="K53">
        <v>203767.89968003379</v>
      </c>
      <c r="L53">
        <v>484634.85157201753</v>
      </c>
      <c r="M53">
        <v>518204.64570421056</v>
      </c>
      <c r="N53">
        <v>488279.27259799757</v>
      </c>
      <c r="O53">
        <v>494866.64424021315</v>
      </c>
      <c r="P53">
        <v>445949.16110572714</v>
      </c>
      <c r="R53">
        <f>SMALL(SimData!$B$9:$B$108,51)</f>
        <v>9.555872738868775</v>
      </c>
      <c r="S53">
        <f>1/(COUNT(SimData!$B$9:$B$108)-1)+$S$52</f>
        <v>0.50505050505050531</v>
      </c>
      <c r="T53">
        <f>SMALL(SimData!$C$9:$C$108,51)</f>
        <v>9.9988880708879027</v>
      </c>
      <c r="U53">
        <f>1/(COUNT(SimData!$C$9:$C$108)-1)+$U$52</f>
        <v>0.50505050505050531</v>
      </c>
      <c r="V53">
        <f>SMALL(SimData!$D$9:$D$108,51)</f>
        <v>9.6559513409045206</v>
      </c>
      <c r="W53">
        <f>1/(COUNT(SimData!$D$9:$D$108)-1)+$W$52</f>
        <v>0.50505050505050531</v>
      </c>
      <c r="X53">
        <f>SMALL(SimData!$E$9:$E$108,51)</f>
        <v>9.5194912770527473</v>
      </c>
      <c r="Y53">
        <f>1/(COUNT(SimData!$E$9:$E$108)-1)+$Y$52</f>
        <v>0.50505050505050531</v>
      </c>
      <c r="Z53">
        <f>SMALL(SimData!$F$9:$F$108,51)</f>
        <v>9.1236202465416216</v>
      </c>
      <c r="AA53">
        <f>1/(COUNT(SimData!$F$9:$F$108)-1)+$AA$52</f>
        <v>0.50505050505050531</v>
      </c>
    </row>
    <row r="54" spans="1:27">
      <c r="A54">
        <v>46</v>
      </c>
      <c r="B54">
        <v>10.313631093638939</v>
      </c>
      <c r="C54">
        <v>10.890534496404072</v>
      </c>
      <c r="D54">
        <v>10.351244772003788</v>
      </c>
      <c r="E54">
        <v>10.575724611529967</v>
      </c>
      <c r="F54">
        <v>9.5885704969334462</v>
      </c>
      <c r="G54">
        <v>248684.86989006726</v>
      </c>
      <c r="H54">
        <v>278920.85398575303</v>
      </c>
      <c r="I54">
        <v>250635.93153337378</v>
      </c>
      <c r="J54">
        <v>262338.6538095026</v>
      </c>
      <c r="K54">
        <v>211621.99383466376</v>
      </c>
      <c r="L54">
        <v>500546.01912708662</v>
      </c>
      <c r="M54">
        <v>537298.04677029338</v>
      </c>
      <c r="N54">
        <v>502917.54674866109</v>
      </c>
      <c r="O54">
        <v>517142.27881730977</v>
      </c>
      <c r="P54">
        <v>455495.86163876846</v>
      </c>
      <c r="R54">
        <f>SMALL(SimData!$B$9:$B$108,52)</f>
        <v>9.6529121141265595</v>
      </c>
      <c r="S54">
        <f>1/(COUNT(SimData!$B$9:$B$108)-1)+$S$53</f>
        <v>0.51515151515151536</v>
      </c>
      <c r="T54">
        <f>SMALL(SimData!$C$9:$C$108,52)</f>
        <v>10.113322881794177</v>
      </c>
      <c r="U54">
        <f>1/(COUNT(SimData!$C$9:$C$108)-1)+$U$53</f>
        <v>0.51515151515151536</v>
      </c>
      <c r="V54">
        <f>SMALL(SimData!$D$9:$D$108,52)</f>
        <v>9.7448966989226502</v>
      </c>
      <c r="W54">
        <f>1/(COUNT(SimData!$D$9:$D$108)-1)+$W$53</f>
        <v>0.51515151515151536</v>
      </c>
      <c r="X54">
        <f>SMALL(SimData!$E$9:$E$108,52)</f>
        <v>9.6554353543322708</v>
      </c>
      <c r="Y54">
        <f>1/(COUNT(SimData!$E$9:$E$108)-1)+$Y$53</f>
        <v>0.51515151515151536</v>
      </c>
      <c r="Z54">
        <f>SMALL(SimData!$F$9:$F$108,52)</f>
        <v>9.1828714127733182</v>
      </c>
      <c r="AA54">
        <f>1/(COUNT(SimData!$F$9:$F$108)-1)+$AA$53</f>
        <v>0.51515151515151536</v>
      </c>
    </row>
    <row r="55" spans="1:27">
      <c r="A55">
        <v>47</v>
      </c>
      <c r="B55">
        <v>10.597231582279738</v>
      </c>
      <c r="C55">
        <v>11.22312111302679</v>
      </c>
      <c r="D55">
        <v>10.611896045616252</v>
      </c>
      <c r="E55">
        <v>10.967984024046535</v>
      </c>
      <c r="F55">
        <v>9.7639128206404209</v>
      </c>
      <c r="G55">
        <v>263465.16203166405</v>
      </c>
      <c r="H55">
        <v>296657.20455566957</v>
      </c>
      <c r="I55">
        <v>264233.8003036431</v>
      </c>
      <c r="J55">
        <v>283031.0628077382</v>
      </c>
      <c r="K55">
        <v>220490.16911962186</v>
      </c>
      <c r="L55">
        <v>518511.55660202348</v>
      </c>
      <c r="M55">
        <v>558856.69174021774</v>
      </c>
      <c r="N55">
        <v>519445.84122560325</v>
      </c>
      <c r="O55">
        <v>542294.03128222143</v>
      </c>
      <c r="P55">
        <v>466275.18412373052</v>
      </c>
      <c r="R55">
        <f>SMALL(SimData!$B$9:$B$108,53)</f>
        <v>9.6839144639394785</v>
      </c>
      <c r="S55">
        <f>1/(COUNT(SimData!$B$9:$B$108)-1)+$S$54</f>
        <v>0.52525252525252542</v>
      </c>
      <c r="T55">
        <f>SMALL(SimData!$C$9:$C$108,53)</f>
        <v>10.149867068205975</v>
      </c>
      <c r="U55">
        <f>1/(COUNT(SimData!$C$9:$C$108)-1)+$U$54</f>
        <v>0.52525252525252542</v>
      </c>
      <c r="V55">
        <f>SMALL(SimData!$D$9:$D$108,53)</f>
        <v>9.773319081588415</v>
      </c>
      <c r="W55">
        <f>1/(COUNT(SimData!$D$9:$D$108)-1)+$W$54</f>
        <v>0.52525252525252542</v>
      </c>
      <c r="X55">
        <f>SMALL(SimData!$E$9:$E$108,53)</f>
        <v>9.6988240201057359</v>
      </c>
      <c r="Y55">
        <f>1/(COUNT(SimData!$E$9:$E$108)-1)+$Y$54</f>
        <v>0.52525252525252542</v>
      </c>
      <c r="Z55">
        <f>SMALL(SimData!$F$9:$F$108,53)</f>
        <v>9.2018192108409238</v>
      </c>
      <c r="AA55">
        <f>1/(COUNT(SimData!$F$9:$F$108)-1)+$AA$54</f>
        <v>0.52525252525252542</v>
      </c>
    </row>
    <row r="56" spans="1:27">
      <c r="A56">
        <v>48</v>
      </c>
      <c r="B56">
        <v>11.487170778309483</v>
      </c>
      <c r="C56">
        <v>12.262990330122335</v>
      </c>
      <c r="D56">
        <v>11.431287807725385</v>
      </c>
      <c r="E56">
        <v>12.188732515060078</v>
      </c>
      <c r="F56">
        <v>10.318757947319911</v>
      </c>
      <c r="G56">
        <v>310899.27924625948</v>
      </c>
      <c r="H56">
        <v>353578.14521318371</v>
      </c>
      <c r="I56">
        <v>307873.18814107054</v>
      </c>
      <c r="J56">
        <v>349438.82690817141</v>
      </c>
      <c r="K56">
        <v>248950.63944837917</v>
      </c>
      <c r="L56">
        <v>576168.02253959677</v>
      </c>
      <c r="M56">
        <v>628044.45086530538</v>
      </c>
      <c r="N56">
        <v>572489.78988817031</v>
      </c>
      <c r="O56">
        <v>623013.08359482349</v>
      </c>
      <c r="P56">
        <v>500869.06368627463</v>
      </c>
      <c r="R56">
        <f>SMALL(SimData!$B$9:$B$108,54)</f>
        <v>9.7312036815839367</v>
      </c>
      <c r="S56">
        <f>1/(COUNT(SimData!$B$9:$B$108)-1)+$S$55</f>
        <v>0.53535353535353547</v>
      </c>
      <c r="T56">
        <f>SMALL(SimData!$C$9:$C$108,54)</f>
        <v>10.20559491324596</v>
      </c>
      <c r="U56">
        <f>1/(COUNT(SimData!$C$9:$C$108)-1)+$U$55</f>
        <v>0.53535353535353547</v>
      </c>
      <c r="V56">
        <f>SMALL(SimData!$D$9:$D$108,54)</f>
        <v>9.8166784754717717</v>
      </c>
      <c r="W56">
        <f>1/(COUNT(SimData!$D$9:$D$108)-1)+$W$55</f>
        <v>0.53535353535353547</v>
      </c>
      <c r="X56">
        <f>SMALL(SimData!$E$9:$E$108,54)</f>
        <v>9.7649666954571082</v>
      </c>
      <c r="Y56">
        <f>1/(COUNT(SimData!$E$9:$E$108)-1)+$Y$55</f>
        <v>0.53535353535353547</v>
      </c>
      <c r="Z56">
        <f>SMALL(SimData!$F$9:$F$108,54)</f>
        <v>9.2307379648669681</v>
      </c>
      <c r="AA56">
        <f>1/(COUNT(SimData!$F$9:$F$108)-1)+$AA$55</f>
        <v>0.53535353535353547</v>
      </c>
    </row>
    <row r="57" spans="1:27">
      <c r="A57">
        <v>49</v>
      </c>
      <c r="B57">
        <v>6.7808479239530861</v>
      </c>
      <c r="C57">
        <v>6.6924405883619569</v>
      </c>
      <c r="D57">
        <v>7.1249189242760176</v>
      </c>
      <c r="E57">
        <v>5.5367250906862209</v>
      </c>
      <c r="F57">
        <v>7.4664807882819249</v>
      </c>
      <c r="G57">
        <v>77585.609570349799</v>
      </c>
      <c r="H57">
        <v>73601.74160209205</v>
      </c>
      <c r="I57">
        <v>93224.612039233791</v>
      </c>
      <c r="J57">
        <v>22799.689361897879</v>
      </c>
      <c r="K57">
        <v>108962.43764283333</v>
      </c>
      <c r="L57">
        <v>292573.79883809306</v>
      </c>
      <c r="M57">
        <v>287731.38242350105</v>
      </c>
      <c r="N57">
        <v>311583.104082787</v>
      </c>
      <c r="O57">
        <v>225981.17041271843</v>
      </c>
      <c r="P57">
        <v>330712.52946537232</v>
      </c>
      <c r="R57">
        <f>SMALL(SimData!$B$9:$B$108,55)</f>
        <v>9.7879578297564258</v>
      </c>
      <c r="S57">
        <f>1/(COUNT(SimData!$B$9:$B$108)-1)+$S$56</f>
        <v>0.54545454545454553</v>
      </c>
      <c r="T57">
        <f>SMALL(SimData!$C$9:$C$108,55)</f>
        <v>10.272453512310607</v>
      </c>
      <c r="U57">
        <f>1/(COUNT(SimData!$C$9:$C$108)-1)+$U$56</f>
        <v>0.54545454545454553</v>
      </c>
      <c r="V57">
        <f>SMALL(SimData!$D$9:$D$108,55)</f>
        <v>9.8687250151909964</v>
      </c>
      <c r="W57">
        <f>1/(COUNT(SimData!$D$9:$D$108)-1)+$W$56</f>
        <v>0.54545454545454553</v>
      </c>
      <c r="X57">
        <f>SMALL(SimData!$E$9:$E$108,55)</f>
        <v>9.844284415862214</v>
      </c>
      <c r="Y57">
        <f>1/(COUNT(SimData!$E$9:$E$108)-1)+$Y$56</f>
        <v>0.54545454545454553</v>
      </c>
      <c r="Z57">
        <f>SMALL(SimData!$F$9:$F$108,55)</f>
        <v>9.2654716666777084</v>
      </c>
      <c r="AA57">
        <f>1/(COUNT(SimData!$F$9:$F$108)-1)+$AA$56</f>
        <v>0.54545454545454553</v>
      </c>
    </row>
    <row r="58" spans="1:27">
      <c r="A58">
        <v>50</v>
      </c>
      <c r="B58">
        <v>8.0545897340095802</v>
      </c>
      <c r="C58">
        <v>8.2185940871642131</v>
      </c>
      <c r="D58">
        <v>8.2835767561507883</v>
      </c>
      <c r="E58">
        <v>7.3888854920712648</v>
      </c>
      <c r="F58">
        <v>8.218051962636725</v>
      </c>
      <c r="G58">
        <v>136563.27770227473</v>
      </c>
      <c r="H58">
        <v>144374.94336040225</v>
      </c>
      <c r="I58">
        <v>147484.0667206049</v>
      </c>
      <c r="J58">
        <v>105368.42474659311</v>
      </c>
      <c r="K58">
        <v>144349.03852198832</v>
      </c>
      <c r="L58">
        <v>364261.52306287369</v>
      </c>
      <c r="M58">
        <v>373756.65149323805</v>
      </c>
      <c r="N58">
        <v>377535.81036958535</v>
      </c>
      <c r="O58">
        <v>326343.98432741163</v>
      </c>
      <c r="P58">
        <v>373725.16400024074</v>
      </c>
      <c r="R58">
        <f>SMALL(SimData!$B$9:$B$108,56)</f>
        <v>9.7905965692208454</v>
      </c>
      <c r="S58">
        <f>1/(COUNT(SimData!$B$9:$B$108)-1)+$S$57</f>
        <v>0.55555555555555558</v>
      </c>
      <c r="T58">
        <f>SMALL(SimData!$C$9:$C$108,56)</f>
        <v>10.275561437031708</v>
      </c>
      <c r="U58">
        <f>1/(COUNT(SimData!$C$9:$C$108)-1)+$U$57</f>
        <v>0.55555555555555558</v>
      </c>
      <c r="V58">
        <f>SMALL(SimData!$D$9:$D$108,56)</f>
        <v>9.8711451104107528</v>
      </c>
      <c r="W58">
        <f>1/(COUNT(SimData!$D$9:$D$108)-1)+$W$57</f>
        <v>0.55555555555555558</v>
      </c>
      <c r="X58">
        <f>SMALL(SimData!$E$9:$E$108,56)</f>
        <v>9.8479705537397866</v>
      </c>
      <c r="Y58">
        <f>1/(COUNT(SimData!$E$9:$E$108)-1)+$Y$57</f>
        <v>0.55555555555555558</v>
      </c>
      <c r="Z58">
        <f>SMALL(SimData!$F$9:$F$108,56)</f>
        <v>9.2670872951345622</v>
      </c>
      <c r="AA58">
        <f>1/(COUNT(SimData!$F$9:$F$108)-1)+$AA$57</f>
        <v>0.55555555555555558</v>
      </c>
    </row>
    <row r="59" spans="1:27">
      <c r="A59">
        <v>51</v>
      </c>
      <c r="B59">
        <v>10.099013370936589</v>
      </c>
      <c r="C59">
        <v>10.638444802449108</v>
      </c>
      <c r="D59">
        <v>10.154147990002084</v>
      </c>
      <c r="E59">
        <v>10.277792788857575</v>
      </c>
      <c r="F59">
        <v>9.4563571709905521</v>
      </c>
      <c r="G59">
        <v>237606.20177782548</v>
      </c>
      <c r="H59">
        <v>265626.45225106296</v>
      </c>
      <c r="I59">
        <v>240443.5568701115</v>
      </c>
      <c r="J59">
        <v>246828.5184523639</v>
      </c>
      <c r="K59">
        <v>204974.79296731879</v>
      </c>
      <c r="L59">
        <v>487079.82879498112</v>
      </c>
      <c r="M59">
        <v>521138.61837176676</v>
      </c>
      <c r="N59">
        <v>490528.65164312394</v>
      </c>
      <c r="O59">
        <v>498289.61235236184</v>
      </c>
      <c r="P59">
        <v>447416.14743950515</v>
      </c>
      <c r="R59">
        <f>SMALL(SimData!$B$9:$B$108,57)</f>
        <v>9.8379897604979529</v>
      </c>
      <c r="S59">
        <f>1/(COUNT(SimData!$B$9:$B$108)-1)+$S$58</f>
        <v>0.56565656565656564</v>
      </c>
      <c r="T59">
        <f>SMALL(SimData!$C$9:$C$108,57)</f>
        <v>10.331372196337965</v>
      </c>
      <c r="U59">
        <f>1/(COUNT(SimData!$C$9:$C$108)-1)+$U$58</f>
        <v>0.56565656565656564</v>
      </c>
      <c r="V59">
        <f>SMALL(SimData!$D$9:$D$108,57)</f>
        <v>9.9146148407272587</v>
      </c>
      <c r="W59">
        <f>1/(COUNT(SimData!$D$9:$D$108)-1)+$W$58</f>
        <v>0.56565656565656564</v>
      </c>
      <c r="X59">
        <f>SMALL(SimData!$E$9:$E$108,57)</f>
        <v>9.9141502989168089</v>
      </c>
      <c r="Y59">
        <f>1/(COUNT(SimData!$E$9:$E$108)-1)+$Y$58</f>
        <v>0.56565656565656564</v>
      </c>
      <c r="Z59">
        <f>SMALL(SimData!$F$9:$F$108,57)</f>
        <v>9.29611562538458</v>
      </c>
      <c r="AA59">
        <f>1/(COUNT(SimData!$F$9:$F$108)-1)+$AA$58</f>
        <v>0.56565656565656564</v>
      </c>
    </row>
    <row r="60" spans="1:27">
      <c r="A60">
        <v>52</v>
      </c>
      <c r="B60">
        <v>9.4891736967407248</v>
      </c>
      <c r="C60">
        <v>9.9201890599007729</v>
      </c>
      <c r="D60">
        <v>9.5948320024095111</v>
      </c>
      <c r="E60">
        <v>9.4259323257431049</v>
      </c>
      <c r="F60">
        <v>9.0829444511132973</v>
      </c>
      <c r="G60">
        <v>206621.51369619416</v>
      </c>
      <c r="H60">
        <v>228444.82655310538</v>
      </c>
      <c r="I60">
        <v>211937.64383501071</v>
      </c>
      <c r="J60">
        <v>203449.95513808005</v>
      </c>
      <c r="K60">
        <v>186383.98011834011</v>
      </c>
      <c r="L60">
        <v>449417.74677745777</v>
      </c>
      <c r="M60">
        <v>475944.11995073874</v>
      </c>
      <c r="N60">
        <v>455879.53618700261</v>
      </c>
      <c r="O60">
        <v>445562.69752782903</v>
      </c>
      <c r="P60">
        <v>424818.89822899119</v>
      </c>
      <c r="R60">
        <f>SMALL(SimData!$B$9:$B$108,58)</f>
        <v>9.8651774323808272</v>
      </c>
      <c r="S60">
        <f>1/(COUNT(SimData!$B$9:$B$108)-1)+$S$59</f>
        <v>0.57575757575757569</v>
      </c>
      <c r="T60">
        <f>SMALL(SimData!$C$9:$C$108,58)</f>
        <v>10.363380809070046</v>
      </c>
      <c r="U60">
        <f>1/(COUNT(SimData!$C$9:$C$108)-1)+$U$59</f>
        <v>0.57575757575757569</v>
      </c>
      <c r="V60">
        <f>SMALL(SimData!$D$9:$D$108,58)</f>
        <v>9.9395547681956824</v>
      </c>
      <c r="W60">
        <f>1/(COUNT(SimData!$D$9:$D$108)-1)+$W$59</f>
        <v>0.57575757575757569</v>
      </c>
      <c r="X60">
        <f>SMALL(SimData!$E$9:$E$108,58)</f>
        <v>9.9520935289370467</v>
      </c>
      <c r="Y60">
        <f>1/(COUNT(SimData!$E$9:$E$108)-1)+$Y$59</f>
        <v>0.57575757575757569</v>
      </c>
      <c r="Z60">
        <f>SMALL(SimData!$F$9:$F$108,58)</f>
        <v>9.3127772761513778</v>
      </c>
      <c r="AA60">
        <f>1/(COUNT(SimData!$F$9:$F$108)-1)+$AA$59</f>
        <v>0.57575757575757569</v>
      </c>
    </row>
    <row r="61" spans="1:27">
      <c r="A61">
        <v>53</v>
      </c>
      <c r="B61">
        <v>11.456451953988125</v>
      </c>
      <c r="C61">
        <v>12.22718936804802</v>
      </c>
      <c r="D61">
        <v>11.402967777852629</v>
      </c>
      <c r="E61">
        <v>12.146842968165265</v>
      </c>
      <c r="F61">
        <v>10.299490275759291</v>
      </c>
      <c r="G61">
        <v>309235.04522855394</v>
      </c>
      <c r="H61">
        <v>351581.06439193711</v>
      </c>
      <c r="I61">
        <v>306342.0928447817</v>
      </c>
      <c r="J61">
        <v>347108.89928338397</v>
      </c>
      <c r="K61">
        <v>247952.09903775586</v>
      </c>
      <c r="L61">
        <v>574145.13568961318</v>
      </c>
      <c r="M61">
        <v>625616.98664532509</v>
      </c>
      <c r="N61">
        <v>570628.73398618551</v>
      </c>
      <c r="O61">
        <v>620181.04200484673</v>
      </c>
      <c r="P61">
        <v>499655.33157628431</v>
      </c>
      <c r="R61">
        <f>SMALL(SimData!$B$9:$B$108,59)</f>
        <v>9.8679098292869476</v>
      </c>
      <c r="S61">
        <f>1/(COUNT(SimData!$B$9:$B$108)-1)+$S$60</f>
        <v>0.58585858585858575</v>
      </c>
      <c r="T61">
        <f>SMALL(SimData!$C$9:$C$108,59)</f>
        <v>10.366597399072477</v>
      </c>
      <c r="U61">
        <f>1/(COUNT(SimData!$C$9:$C$108)-1)+$U$60</f>
        <v>0.58585858585858575</v>
      </c>
      <c r="V61">
        <f>SMALL(SimData!$D$9:$D$108,59)</f>
        <v>9.9420613844523817</v>
      </c>
      <c r="W61">
        <f>1/(COUNT(SimData!$D$9:$D$108)-1)+$W$60</f>
        <v>0.58585858585858575</v>
      </c>
      <c r="X61">
        <f>SMALL(SimData!$E$9:$E$108,59)</f>
        <v>9.9559060059221736</v>
      </c>
      <c r="Y61">
        <f>1/(COUNT(SimData!$E$9:$E$108)-1)+$Y$60</f>
        <v>0.58585858585858575</v>
      </c>
      <c r="Z61">
        <f>SMALL(SimData!$F$9:$F$108,59)</f>
        <v>9.314452164784246</v>
      </c>
      <c r="AA61">
        <f>1/(COUNT(SimData!$F$9:$F$108)-1)+$AA$60</f>
        <v>0.58585858585858575</v>
      </c>
    </row>
    <row r="62" spans="1:27">
      <c r="A62">
        <v>54</v>
      </c>
      <c r="B62">
        <v>9.555872738868775</v>
      </c>
      <c r="C62">
        <v>9.9988880708879027</v>
      </c>
      <c r="D62">
        <v>9.6559513409045206</v>
      </c>
      <c r="E62">
        <v>9.5194912770527473</v>
      </c>
      <c r="F62">
        <v>9.1236202465416216</v>
      </c>
      <c r="G62">
        <v>209974.90250380302</v>
      </c>
      <c r="H62">
        <v>232468.89312223613</v>
      </c>
      <c r="I62">
        <v>215022.76153801079</v>
      </c>
      <c r="J62">
        <v>208144.69946873258</v>
      </c>
      <c r="K62">
        <v>188396.01340290532</v>
      </c>
      <c r="L62">
        <v>453493.8118317863</v>
      </c>
      <c r="M62">
        <v>480835.39801593323</v>
      </c>
      <c r="N62">
        <v>459629.51603698474</v>
      </c>
      <c r="O62">
        <v>451269.1886038892</v>
      </c>
      <c r="P62">
        <v>427264.53726158827</v>
      </c>
      <c r="R62">
        <f>SMALL(SimData!$B$9:$B$108,60)</f>
        <v>9.913734431866164</v>
      </c>
      <c r="S62">
        <f>1/(COUNT(SimData!$B$9:$B$108)-1)+$S$61</f>
        <v>0.5959595959595958</v>
      </c>
      <c r="T62">
        <f>SMALL(SimData!$C$9:$C$108,60)</f>
        <v>10.420533694605307</v>
      </c>
      <c r="U62">
        <f>1/(COUNT(SimData!$C$9:$C$108)-1)+$U$61</f>
        <v>0.5959595959595958</v>
      </c>
      <c r="V62">
        <f>SMALL(SimData!$D$9:$D$108,60)</f>
        <v>9.9841027338626969</v>
      </c>
      <c r="W62">
        <f>1/(COUNT(SimData!$D$9:$D$108)-1)+$W$61</f>
        <v>0.5959595959595958</v>
      </c>
      <c r="X62">
        <f>SMALL(SimData!$E$9:$E$108,60)</f>
        <v>10.019820902514951</v>
      </c>
      <c r="Y62">
        <f>1/(COUNT(SimData!$E$9:$E$108)-1)+$Y$61</f>
        <v>0.5959595959595958</v>
      </c>
      <c r="Z62">
        <f>SMALL(SimData!$F$9:$F$108,60)</f>
        <v>9.3425515449011929</v>
      </c>
      <c r="AA62">
        <f>1/(COUNT(SimData!$F$9:$F$108)-1)+$AA$61</f>
        <v>0.5959595959595958</v>
      </c>
    </row>
    <row r="63" spans="1:27">
      <c r="A63">
        <v>55</v>
      </c>
      <c r="B63">
        <v>9.6529121141265595</v>
      </c>
      <c r="C63">
        <v>10.113322881794177</v>
      </c>
      <c r="D63">
        <v>9.7448966989226502</v>
      </c>
      <c r="E63">
        <v>9.6554353543322708</v>
      </c>
      <c r="F63">
        <v>9.1828714127733182</v>
      </c>
      <c r="G63">
        <v>214869.17829606659</v>
      </c>
      <c r="H63">
        <v>238342.02407295245</v>
      </c>
      <c r="I63">
        <v>219525.4952668933</v>
      </c>
      <c r="J63">
        <v>214996.68557790166</v>
      </c>
      <c r="K63">
        <v>191332.57887826348</v>
      </c>
      <c r="L63">
        <v>459442.83464650641</v>
      </c>
      <c r="M63">
        <v>487974.22539359739</v>
      </c>
      <c r="N63">
        <v>465102.6170265273</v>
      </c>
      <c r="O63">
        <v>459597.8205444974</v>
      </c>
      <c r="P63">
        <v>430833.95095042046</v>
      </c>
      <c r="R63">
        <f>SMALL(SimData!$B$9:$B$108,61)</f>
        <v>9.9247050608826086</v>
      </c>
      <c r="S63">
        <f>1/(COUNT(SimData!$B$9:$B$108)-1)+$S$62</f>
        <v>0.60606060606060586</v>
      </c>
      <c r="T63">
        <f>SMALL(SimData!$C$9:$C$108,61)</f>
        <v>10.433443887566327</v>
      </c>
      <c r="U63">
        <f>1/(COUNT(SimData!$C$9:$C$108)-1)+$U$62</f>
        <v>0.60606060606060586</v>
      </c>
      <c r="V63">
        <f>SMALL(SimData!$D$9:$D$108,61)</f>
        <v>9.9941685511926668</v>
      </c>
      <c r="W63">
        <f>1/(COUNT(SimData!$D$9:$D$108)-1)+$W$62</f>
        <v>0.60606060606060586</v>
      </c>
      <c r="X63">
        <f>SMALL(SimData!$E$9:$E$108,61)</f>
        <v>10.035115849225065</v>
      </c>
      <c r="Y63">
        <f>1/(COUNT(SimData!$E$9:$E$108)-1)+$Y$62</f>
        <v>0.60606060606060586</v>
      </c>
      <c r="Z63">
        <f>SMALL(SimData!$F$9:$F$108,61)</f>
        <v>9.34928149316403</v>
      </c>
      <c r="AA63">
        <f>1/(COUNT(SimData!$F$9:$F$108)-1)+$AA$62</f>
        <v>0.60606060606060586</v>
      </c>
    </row>
    <row r="64" spans="1:27">
      <c r="A64">
        <v>56</v>
      </c>
      <c r="B64">
        <v>8.8464765790805586</v>
      </c>
      <c r="C64">
        <v>9.1600143212183998</v>
      </c>
      <c r="D64">
        <v>9.0065924464961178</v>
      </c>
      <c r="E64">
        <v>8.5193145321432855</v>
      </c>
      <c r="F64">
        <v>8.6930991185786457</v>
      </c>
      <c r="G64">
        <v>174749.95002646698</v>
      </c>
      <c r="H64">
        <v>190198.95014943287</v>
      </c>
      <c r="I64">
        <v>182615.80525886163</v>
      </c>
      <c r="J64">
        <v>158829.76600046211</v>
      </c>
      <c r="K64">
        <v>167261.04191650369</v>
      </c>
      <c r="L64">
        <v>410677.66193963145</v>
      </c>
      <c r="M64">
        <v>429456.01814534713</v>
      </c>
      <c r="N64">
        <v>420238.65813620237</v>
      </c>
      <c r="O64">
        <v>391326.57875487232</v>
      </c>
      <c r="P64">
        <v>401574.84732629533</v>
      </c>
      <c r="R64">
        <f>SMALL(SimData!$B$9:$B$108,62)</f>
        <v>9.9558018624711799</v>
      </c>
      <c r="S64">
        <f>1/(COUNT(SimData!$B$9:$B$108)-1)+$S$63</f>
        <v>0.61616161616161591</v>
      </c>
      <c r="T64">
        <f>SMALL(SimData!$C$9:$C$108,62)</f>
        <v>10.470033423548559</v>
      </c>
      <c r="U64">
        <f>1/(COUNT(SimData!$C$9:$C$108)-1)+$U$63</f>
        <v>0.61616161616161591</v>
      </c>
      <c r="V64">
        <f>SMALL(SimData!$D$9:$D$108,62)</f>
        <v>10.022702541152668</v>
      </c>
      <c r="W64">
        <f>1/(COUNT(SimData!$D$9:$D$108)-1)+$W$63</f>
        <v>0.61616161616161591</v>
      </c>
      <c r="X64">
        <f>SMALL(SimData!$E$9:$E$108,62)</f>
        <v>10.078456359813522</v>
      </c>
      <c r="Y64">
        <f>1/(COUNT(SimData!$E$9:$E$108)-1)+$Y$63</f>
        <v>0.61616161616161591</v>
      </c>
      <c r="Z64">
        <f>SMALL(SimData!$F$9:$F$108,62)</f>
        <v>9.3683637920405598</v>
      </c>
      <c r="AA64">
        <f>1/(COUNT(SimData!$F$9:$F$108)-1)+$AA$63</f>
        <v>0.61616161616161591</v>
      </c>
    </row>
    <row r="65" spans="1:27">
      <c r="A65">
        <v>57</v>
      </c>
      <c r="B65">
        <v>9.9247050608826086</v>
      </c>
      <c r="C65">
        <v>10.433443887566327</v>
      </c>
      <c r="D65">
        <v>9.9941685511926668</v>
      </c>
      <c r="E65">
        <v>10.035115849225065</v>
      </c>
      <c r="F65">
        <v>9.34928149316403</v>
      </c>
      <c r="G65">
        <v>228675.41037518764</v>
      </c>
      <c r="H65">
        <v>254909.50256789767</v>
      </c>
      <c r="I65">
        <v>232227.22877968464</v>
      </c>
      <c r="J65">
        <v>234325.41048867092</v>
      </c>
      <c r="K65">
        <v>199616.3181257362</v>
      </c>
      <c r="L65">
        <v>476224.39602762857</v>
      </c>
      <c r="M65">
        <v>508112.09905094374</v>
      </c>
      <c r="N65">
        <v>480541.65349715966</v>
      </c>
      <c r="O65">
        <v>483092.00647806819</v>
      </c>
      <c r="P65">
        <v>440902.88777909375</v>
      </c>
      <c r="R65">
        <f>SMALL(SimData!$B$9:$B$108,63)</f>
        <v>10.000250119377538</v>
      </c>
      <c r="S65">
        <f>1/(COUNT(SimData!$B$9:$B$108)-1)+$S$64</f>
        <v>0.62626262626262597</v>
      </c>
      <c r="T65">
        <f>SMALL(SimData!$C$9:$C$108,63)</f>
        <v>10.522319774067345</v>
      </c>
      <c r="U65">
        <f>1/(COUNT(SimData!$C$9:$C$108)-1)+$U$64</f>
        <v>0.62626262626262597</v>
      </c>
      <c r="V65">
        <f>SMALL(SimData!$D$9:$D$108,63)</f>
        <v>10.063492567654617</v>
      </c>
      <c r="W65">
        <f>1/(COUNT(SimData!$D$9:$D$108)-1)+$W$64</f>
        <v>0.62626262626262597</v>
      </c>
      <c r="X65">
        <f>SMALL(SimData!$E$9:$E$108,63)</f>
        <v>10.140369883985938</v>
      </c>
      <c r="Y65">
        <f>1/(COUNT(SimData!$E$9:$E$108)-1)+$Y$64</f>
        <v>0.62626262626262597</v>
      </c>
      <c r="Z65">
        <f>SMALL(SimData!$F$9:$F$108,63)</f>
        <v>9.3956542892736401</v>
      </c>
      <c r="AA65">
        <f>1/(COUNT(SimData!$F$9:$F$108)-1)+$AA$64</f>
        <v>0.62626262626262597</v>
      </c>
    </row>
    <row r="66" spans="1:27">
      <c r="A66">
        <v>58</v>
      </c>
      <c r="B66">
        <v>9.4701304046267811</v>
      </c>
      <c r="C66">
        <v>9.8977131309610566</v>
      </c>
      <c r="D66">
        <v>9.5773842296253804</v>
      </c>
      <c r="E66">
        <v>9.3992023234866551</v>
      </c>
      <c r="F66">
        <v>9.0713385473033181</v>
      </c>
      <c r="G66">
        <v>205665.6736506985</v>
      </c>
      <c r="H66">
        <v>227297.81849851052</v>
      </c>
      <c r="I66">
        <v>211058.2709931545</v>
      </c>
      <c r="J66">
        <v>202111.77907438623</v>
      </c>
      <c r="K66">
        <v>185810.47609104263</v>
      </c>
      <c r="L66">
        <v>448255.9172281574</v>
      </c>
      <c r="M66">
        <v>474549.92449157825</v>
      </c>
      <c r="N66">
        <v>454810.6530016461</v>
      </c>
      <c r="O66">
        <v>443936.13615880877</v>
      </c>
      <c r="P66">
        <v>424121.80049941095</v>
      </c>
      <c r="R66">
        <f>SMALL(SimData!$B$9:$B$108,64)</f>
        <v>10.024544295746262</v>
      </c>
      <c r="S66">
        <f>1/(COUNT(SimData!$B$9:$B$108)-1)+$S$65</f>
        <v>0.63636363636363602</v>
      </c>
      <c r="T66">
        <f>SMALL(SimData!$C$9:$C$108,64)</f>
        <v>10.550891606767857</v>
      </c>
      <c r="U66">
        <f>1/(COUNT(SimData!$C$9:$C$108)-1)+$U$65</f>
        <v>0.63636363636363602</v>
      </c>
      <c r="V66">
        <f>SMALL(SimData!$D$9:$D$108,64)</f>
        <v>10.085789704110089</v>
      </c>
      <c r="W66">
        <f>1/(COUNT(SimData!$D$9:$D$108)-1)+$W$65</f>
        <v>0.63636363636363602</v>
      </c>
      <c r="X66">
        <f>SMALL(SimData!$E$9:$E$108,64)</f>
        <v>10.174192588223812</v>
      </c>
      <c r="Y66">
        <f>1/(COUNT(SimData!$E$9:$E$108)-1)+$Y$65</f>
        <v>0.63636363636363602</v>
      </c>
      <c r="Z66">
        <f>SMALL(SimData!$F$9:$F$108,64)</f>
        <v>9.4105780597897528</v>
      </c>
      <c r="AA66">
        <f>1/(COUNT(SimData!$F$9:$F$108)-1)+$AA$65</f>
        <v>0.63636363636363602</v>
      </c>
    </row>
    <row r="67" spans="1:27">
      <c r="A67">
        <v>59</v>
      </c>
      <c r="B67">
        <v>8.20476195883389</v>
      </c>
      <c r="C67">
        <v>8.3975430301999197</v>
      </c>
      <c r="D67">
        <v>8.4205346017698535</v>
      </c>
      <c r="E67">
        <v>7.6044399617883354</v>
      </c>
      <c r="F67">
        <v>8.3076853315109638</v>
      </c>
      <c r="G67">
        <v>143714.16236352955</v>
      </c>
      <c r="H67">
        <v>152956.00495390792</v>
      </c>
      <c r="I67">
        <v>154062.88060895912</v>
      </c>
      <c r="J67">
        <v>115379.66327234975</v>
      </c>
      <c r="K67">
        <v>148639.56931874121</v>
      </c>
      <c r="L67">
        <v>372953.46806165809</v>
      </c>
      <c r="M67">
        <v>384186.98549177923</v>
      </c>
      <c r="N67">
        <v>385532.39976846683</v>
      </c>
      <c r="O67">
        <v>338512.70732570975</v>
      </c>
      <c r="P67">
        <v>378940.33099951135</v>
      </c>
      <c r="R67">
        <f>SMALL(SimData!$B$9:$B$108,65)</f>
        <v>10.057515412220752</v>
      </c>
      <c r="S67">
        <f>1/(COUNT(SimData!$B$9:$B$108)-1)+$S$66</f>
        <v>0.64646464646464608</v>
      </c>
      <c r="T67">
        <f>SMALL(SimData!$C$9:$C$108,65)</f>
        <v>10.589660945235522</v>
      </c>
      <c r="U67">
        <f>1/(COUNT(SimData!$C$9:$C$108)-1)+$U$66</f>
        <v>0.64646464646464608</v>
      </c>
      <c r="V67">
        <f>SMALL(SimData!$D$9:$D$108,65)</f>
        <v>10.11605327653319</v>
      </c>
      <c r="W67">
        <f>1/(COUNT(SimData!$D$9:$D$108)-1)+$W$66</f>
        <v>0.64646464646464608</v>
      </c>
      <c r="X67">
        <f>SMALL(SimData!$E$9:$E$108,65)</f>
        <v>10.220075732252296</v>
      </c>
      <c r="Y67">
        <f>1/(COUNT(SimData!$E$9:$E$108)-1)+$Y$66</f>
        <v>0.64646464646464608</v>
      </c>
      <c r="Z67">
        <f>SMALL(SimData!$F$9:$F$108,65)</f>
        <v>9.4308405483208819</v>
      </c>
      <c r="AA67">
        <f>1/(COUNT(SimData!$F$9:$F$108)-1)+$AA$66</f>
        <v>0.64646464646464608</v>
      </c>
    </row>
    <row r="68" spans="1:27">
      <c r="A68">
        <v>60</v>
      </c>
      <c r="B68">
        <v>10.538937591829095</v>
      </c>
      <c r="C68">
        <v>11.154806789087935</v>
      </c>
      <c r="D68">
        <v>10.558300502298277</v>
      </c>
      <c r="E68">
        <v>10.887486738291855</v>
      </c>
      <c r="F68">
        <v>9.7278126681019899</v>
      </c>
      <c r="G68">
        <v>260413.94518416491</v>
      </c>
      <c r="H68">
        <v>292995.74433867028</v>
      </c>
      <c r="I68">
        <v>261426.68080394366</v>
      </c>
      <c r="J68">
        <v>278759.35922123911</v>
      </c>
      <c r="K68">
        <v>218659.43901112233</v>
      </c>
      <c r="L68">
        <v>514802.78345378296</v>
      </c>
      <c r="M68">
        <v>554406.16396232881</v>
      </c>
      <c r="N68">
        <v>516033.76992922166</v>
      </c>
      <c r="O68">
        <v>537101.74887468445</v>
      </c>
      <c r="P68">
        <v>464049.92023478617</v>
      </c>
      <c r="R68">
        <f>SMALL(SimData!$B$9:$B$108,66)</f>
        <v>10.059855751484251</v>
      </c>
      <c r="S68">
        <f>1/(COUNT(SimData!$B$9:$B$108)-1)+$S$67</f>
        <v>0.65656565656565613</v>
      </c>
      <c r="T68">
        <f>SMALL(SimData!$C$9:$C$108,66)</f>
        <v>10.592412534226014</v>
      </c>
      <c r="U68">
        <f>1/(COUNT(SimData!$C$9:$C$108)-1)+$U$67</f>
        <v>0.65656565656565613</v>
      </c>
      <c r="V68">
        <f>SMALL(SimData!$D$9:$D$108,66)</f>
        <v>10.118201550995503</v>
      </c>
      <c r="W68">
        <f>1/(COUNT(SimData!$D$9:$D$108)-1)+$W$67</f>
        <v>0.65656565656565613</v>
      </c>
      <c r="X68">
        <f>SMALL(SimData!$E$9:$E$108,66)</f>
        <v>10.22333172497275</v>
      </c>
      <c r="Y68">
        <f>1/(COUNT(SimData!$E$9:$E$108)-1)+$Y$67</f>
        <v>0.65656565656565613</v>
      </c>
      <c r="Z68">
        <f>SMALL(SimData!$F$9:$F$108,66)</f>
        <v>9.4322791830407837</v>
      </c>
      <c r="AA68">
        <f>1/(COUNT(SimData!$F$9:$F$108)-1)+$AA$67</f>
        <v>0.65656565656565613</v>
      </c>
    </row>
    <row r="69" spans="1:27">
      <c r="A69">
        <v>61</v>
      </c>
      <c r="B69">
        <v>9.0054214439436713</v>
      </c>
      <c r="C69">
        <v>9.3483285790982453</v>
      </c>
      <c r="D69">
        <v>9.1519514960559096</v>
      </c>
      <c r="E69">
        <v>8.7444055836056158</v>
      </c>
      <c r="F69">
        <v>8.7891560248240399</v>
      </c>
      <c r="G69">
        <v>182558.10030207632</v>
      </c>
      <c r="H69">
        <v>199568.73048016417</v>
      </c>
      <c r="I69">
        <v>189799.30351242225</v>
      </c>
      <c r="J69">
        <v>169761.17638631526</v>
      </c>
      <c r="K69">
        <v>171945.93208186934</v>
      </c>
      <c r="L69">
        <v>420168.51740057376</v>
      </c>
      <c r="M69">
        <v>440845.04469847819</v>
      </c>
      <c r="N69">
        <v>428970.24516026932</v>
      </c>
      <c r="O69">
        <v>404613.77640019171</v>
      </c>
      <c r="P69">
        <v>407269.3606028608</v>
      </c>
      <c r="R69">
        <f>SMALL(SimData!$B$9:$B$108,67)</f>
        <v>10.075567912379366</v>
      </c>
      <c r="S69">
        <f>1/(COUNT(SimData!$B$9:$B$108)-1)+$S$68</f>
        <v>0.66666666666666619</v>
      </c>
      <c r="T69">
        <f>SMALL(SimData!$C$9:$C$108,67)</f>
        <v>10.610884585863504</v>
      </c>
      <c r="U69">
        <f>1/(COUNT(SimData!$C$9:$C$108)-1)+$U$68</f>
        <v>0.66666666666666619</v>
      </c>
      <c r="V69">
        <f>SMALL(SimData!$D$9:$D$108,67)</f>
        <v>10.132624674801505</v>
      </c>
      <c r="W69">
        <f>1/(COUNT(SimData!$D$9:$D$108)-1)+$W$68</f>
        <v>0.66666666666666619</v>
      </c>
      <c r="X69">
        <f>SMALL(SimData!$E$9:$E$108,67)</f>
        <v>10.245188287517307</v>
      </c>
      <c r="Y69">
        <f>1/(COUNT(SimData!$E$9:$E$108)-1)+$Y$68</f>
        <v>0.66666666666666619</v>
      </c>
      <c r="Z69">
        <f>SMALL(SimData!$F$9:$F$108,67)</f>
        <v>9.4419389168673096</v>
      </c>
      <c r="AA69">
        <f>1/(COUNT(SimData!$F$9:$F$108)-1)+$AA$68</f>
        <v>0.66666666666666619</v>
      </c>
    </row>
    <row r="70" spans="1:27">
      <c r="A70">
        <v>62</v>
      </c>
      <c r="B70">
        <v>9.5032248694221089</v>
      </c>
      <c r="C70">
        <v>9.9367711595714123</v>
      </c>
      <c r="D70">
        <v>9.6077066140340985</v>
      </c>
      <c r="E70">
        <v>9.4456500581826059</v>
      </c>
      <c r="F70">
        <v>9.0915100447384773</v>
      </c>
      <c r="G70">
        <v>207327.23642200325</v>
      </c>
      <c r="H70">
        <v>229291.69382407633</v>
      </c>
      <c r="I70">
        <v>212586.90874275507</v>
      </c>
      <c r="J70">
        <v>204437.96695421287</v>
      </c>
      <c r="K70">
        <v>186807.41375382547</v>
      </c>
      <c r="L70">
        <v>450275.55716144561</v>
      </c>
      <c r="M70">
        <v>476973.49241152429</v>
      </c>
      <c r="N70">
        <v>456668.72174027155</v>
      </c>
      <c r="O70">
        <v>446763.63206541236</v>
      </c>
      <c r="P70">
        <v>425333.58445938386</v>
      </c>
      <c r="R70">
        <f>SMALL(SimData!$B$9:$B$108,68)</f>
        <v>10.099013370936589</v>
      </c>
      <c r="S70">
        <f>1/(COUNT(SimData!$B$9:$B$108)-1)+$S$69</f>
        <v>0.67676767676767624</v>
      </c>
      <c r="T70">
        <f>SMALL(SimData!$C$9:$C$108,68)</f>
        <v>10.638444802449108</v>
      </c>
      <c r="U70">
        <f>1/(COUNT(SimData!$C$9:$C$108)-1)+$U$69</f>
        <v>0.67676767676767624</v>
      </c>
      <c r="V70">
        <f>SMALL(SimData!$D$9:$D$108,68)</f>
        <v>10.154147990002084</v>
      </c>
      <c r="W70">
        <f>1/(COUNT(SimData!$D$9:$D$108)-1)+$W$69</f>
        <v>0.67676767676767624</v>
      </c>
      <c r="X70">
        <f>SMALL(SimData!$E$9:$E$108,68)</f>
        <v>10.277792788857575</v>
      </c>
      <c r="Y70">
        <f>1/(COUNT(SimData!$E$9:$E$108)-1)+$Y$69</f>
        <v>0.67676767676767624</v>
      </c>
      <c r="Z70">
        <f>SMALL(SimData!$F$9:$F$108,68)</f>
        <v>9.4563571709905521</v>
      </c>
      <c r="AA70">
        <f>1/(COUNT(SimData!$F$9:$F$108)-1)+$AA$69</f>
        <v>0.67676767676767624</v>
      </c>
    </row>
    <row r="71" spans="1:27">
      <c r="A71">
        <v>63</v>
      </c>
      <c r="B71">
        <v>11.813541447763514</v>
      </c>
      <c r="C71">
        <v>12.642956582907233</v>
      </c>
      <c r="D71">
        <v>11.732329776242356</v>
      </c>
      <c r="E71">
        <v>12.632729552456611</v>
      </c>
      <c r="F71">
        <v>10.52397122614938</v>
      </c>
      <c r="G71">
        <v>328701.00680017425</v>
      </c>
      <c r="H71">
        <v>374940.21827788139</v>
      </c>
      <c r="I71">
        <v>324250.77749067219</v>
      </c>
      <c r="J71">
        <v>374361.24548365222</v>
      </c>
      <c r="K71">
        <v>259631.67598072789</v>
      </c>
      <c r="L71">
        <v>597806.13364217733</v>
      </c>
      <c r="M71">
        <v>654010.18418840191</v>
      </c>
      <c r="N71">
        <v>592396.85210254451</v>
      </c>
      <c r="O71">
        <v>653306.43913843634</v>
      </c>
      <c r="P71">
        <v>513851.93034782278</v>
      </c>
      <c r="R71">
        <f>SMALL(SimData!$B$9:$B$108,69)</f>
        <v>10.121866059831365</v>
      </c>
      <c r="S71">
        <f>1/(COUNT(SimData!$B$9:$B$108)-1)+$S$70</f>
        <v>0.6868686868686863</v>
      </c>
      <c r="T71">
        <f>SMALL(SimData!$C$9:$C$108,69)</f>
        <v>10.665304176289778</v>
      </c>
      <c r="U71">
        <f>1/(COUNT(SimData!$C$9:$C$108)-1)+$U$70</f>
        <v>0.6868686868686863</v>
      </c>
      <c r="V71">
        <f>SMALL(SimData!$D$9:$D$108,69)</f>
        <v>10.175128674518751</v>
      </c>
      <c r="W71">
        <f>1/(COUNT(SimData!$D$9:$D$108)-1)+$W$70</f>
        <v>0.6868686868686863</v>
      </c>
      <c r="X71">
        <f>SMALL(SimData!$E$9:$E$108,69)</f>
        <v>10.309561975045231</v>
      </c>
      <c r="Y71">
        <f>1/(COUNT(SimData!$E$9:$E$108)-1)+$Y$70</f>
        <v>0.6868686868686863</v>
      </c>
      <c r="Z71">
        <f>SMALL(SimData!$F$9:$F$108,69)</f>
        <v>9.4704156575066847</v>
      </c>
      <c r="AA71">
        <f>1/(COUNT(SimData!$F$9:$F$108)-1)+$AA$70</f>
        <v>0.6868686868686863</v>
      </c>
    </row>
    <row r="72" spans="1:27">
      <c r="A72">
        <v>64</v>
      </c>
      <c r="B72">
        <v>9.5318967588351207</v>
      </c>
      <c r="C72">
        <v>9.9706026024821099</v>
      </c>
      <c r="D72">
        <v>9.6339795319007244</v>
      </c>
      <c r="E72">
        <v>9.4858713147256459</v>
      </c>
      <c r="F72">
        <v>9.1089940312376143</v>
      </c>
      <c r="G72">
        <v>208768.47908664786</v>
      </c>
      <c r="H72">
        <v>231021.18502164981</v>
      </c>
      <c r="I72">
        <v>213912.85199422797</v>
      </c>
      <c r="J72">
        <v>206455.70668471511</v>
      </c>
      <c r="K72">
        <v>187672.1593526121</v>
      </c>
      <c r="L72">
        <v>452027.39662808785</v>
      </c>
      <c r="M72">
        <v>479075.69977149478</v>
      </c>
      <c r="N72">
        <v>458280.41404958215</v>
      </c>
      <c r="O72">
        <v>449216.20731871109</v>
      </c>
      <c r="P72">
        <v>426384.68813936913</v>
      </c>
      <c r="R72">
        <f>SMALL(SimData!$B$9:$B$108,70)</f>
        <v>10.161483783013054</v>
      </c>
      <c r="S72">
        <f>1/(COUNT(SimData!$B$9:$B$108)-1)+$S$71</f>
        <v>0.69696969696969635</v>
      </c>
      <c r="T72">
        <f>SMALL(SimData!$C$9:$C$108,70)</f>
        <v>10.711858511172929</v>
      </c>
      <c r="U72">
        <f>1/(COUNT(SimData!$C$9:$C$108)-1)+$U$71</f>
        <v>0.69696969696969635</v>
      </c>
      <c r="V72">
        <f>SMALL(SimData!$D$9:$D$108,70)</f>
        <v>10.211504666838083</v>
      </c>
      <c r="W72">
        <f>1/(COUNT(SimData!$D$9:$D$108)-1)+$W$71</f>
        <v>0.69696969696969635</v>
      </c>
      <c r="X72">
        <f>SMALL(SimData!$E$9:$E$108,70)</f>
        <v>10.364611844319844</v>
      </c>
      <c r="Y72">
        <f>1/(COUNT(SimData!$E$9:$E$108)-1)+$Y$71</f>
        <v>0.69696969696969635</v>
      </c>
      <c r="Z72">
        <f>SMALL(SimData!$F$9:$F$108,70)</f>
        <v>9.4947987801107718</v>
      </c>
      <c r="AA72">
        <f>1/(COUNT(SimData!$F$9:$F$108)-1)+$AA$71</f>
        <v>0.69696969696969635</v>
      </c>
    </row>
    <row r="73" spans="1:27">
      <c r="A73">
        <v>65</v>
      </c>
      <c r="B73">
        <v>9.0682287994795612</v>
      </c>
      <c r="C73">
        <v>9.4226834361111944</v>
      </c>
      <c r="D73">
        <v>9.2094119167655908</v>
      </c>
      <c r="E73">
        <v>8.8331898557972846</v>
      </c>
      <c r="F73">
        <v>8.8271776944590741</v>
      </c>
      <c r="G73">
        <v>185656.8523400852</v>
      </c>
      <c r="H73">
        <v>203287.23292577465</v>
      </c>
      <c r="I73">
        <v>192650.15538739029</v>
      </c>
      <c r="J73">
        <v>174099.42923952756</v>
      </c>
      <c r="K73">
        <v>173805.18330467446</v>
      </c>
      <c r="L73">
        <v>423935.06986997381</v>
      </c>
      <c r="M73">
        <v>445364.90766175801</v>
      </c>
      <c r="N73">
        <v>432435.4734321172</v>
      </c>
      <c r="O73">
        <v>409886.94985735166</v>
      </c>
      <c r="P73">
        <v>409529.29208450066</v>
      </c>
      <c r="R73">
        <f>SMALL(SimData!$B$9:$B$108,71)</f>
        <v>10.210763792217127</v>
      </c>
      <c r="S73">
        <f>1/(COUNT(SimData!$B$9:$B$108)-1)+$S$72</f>
        <v>0.70707070707070641</v>
      </c>
      <c r="T73">
        <f>SMALL(SimData!$C$9:$C$108,71)</f>
        <v>10.769750241718299</v>
      </c>
      <c r="U73">
        <f>1/(COUNT(SimData!$C$9:$C$108)-1)+$U$72</f>
        <v>0.70707070707070641</v>
      </c>
      <c r="V73">
        <f>SMALL(SimData!$D$9:$D$108,71)</f>
        <v>10.256758687141144</v>
      </c>
      <c r="W73">
        <f>1/(COUNT(SimData!$D$9:$D$108)-1)+$W$72</f>
        <v>0.70707070707070641</v>
      </c>
      <c r="X73">
        <f>SMALL(SimData!$E$9:$E$108,71)</f>
        <v>10.433042536736343</v>
      </c>
      <c r="Y73">
        <f>1/(COUNT(SimData!$E$9:$E$108)-1)+$Y$72</f>
        <v>0.70707070707070641</v>
      </c>
      <c r="Z73">
        <f>SMALL(SimData!$F$9:$F$108,71)</f>
        <v>9.5251483611073091</v>
      </c>
      <c r="AA73">
        <f>1/(COUNT(SimData!$F$9:$F$108)-1)+$AA$72</f>
        <v>0.70707070707070641</v>
      </c>
    </row>
    <row r="74" spans="1:27">
      <c r="A74">
        <v>66</v>
      </c>
      <c r="B74">
        <v>8.9060378752519505</v>
      </c>
      <c r="C74">
        <v>9.230605885052702</v>
      </c>
      <c r="D74">
        <v>9.0610535653606394</v>
      </c>
      <c r="E74">
        <v>8.6037314740881623</v>
      </c>
      <c r="F74">
        <v>8.7290669586734033</v>
      </c>
      <c r="G74">
        <v>177670.22864436451</v>
      </c>
      <c r="H74">
        <v>193703.28449090978</v>
      </c>
      <c r="I74">
        <v>185302.4615873273</v>
      </c>
      <c r="J74">
        <v>162918.1560655185</v>
      </c>
      <c r="K74">
        <v>169013.20908724214</v>
      </c>
      <c r="L74">
        <v>414227.27885142725</v>
      </c>
      <c r="M74">
        <v>433715.55843950203</v>
      </c>
      <c r="N74">
        <v>423504.30569505435</v>
      </c>
      <c r="O74">
        <v>396296.0424313863</v>
      </c>
      <c r="P74">
        <v>403704.61747337267</v>
      </c>
      <c r="R74">
        <f>SMALL(SimData!$B$9:$B$108,72)</f>
        <v>10.313631093638939</v>
      </c>
      <c r="S74">
        <f>1/(COUNT(SimData!$B$9:$B$108)-1)+$S$73</f>
        <v>0.71717171717171646</v>
      </c>
      <c r="T74">
        <f>SMALL(SimData!$C$9:$C$108,72)</f>
        <v>10.890534496404072</v>
      </c>
      <c r="U74">
        <f>1/(COUNT(SimData!$C$9:$C$108)-1)+$U$73</f>
        <v>0.71717171717171646</v>
      </c>
      <c r="V74">
        <f>SMALL(SimData!$D$9:$D$108,72)</f>
        <v>10.351244772003788</v>
      </c>
      <c r="W74">
        <f>1/(COUNT(SimData!$D$9:$D$108)-1)+$W$73</f>
        <v>0.71717171717171646</v>
      </c>
      <c r="X74">
        <f>SMALL(SimData!$E$9:$E$108,72)</f>
        <v>10.575724611529967</v>
      </c>
      <c r="Y74">
        <f>1/(COUNT(SimData!$E$9:$E$108)-1)+$Y$73</f>
        <v>0.71717171717171646</v>
      </c>
      <c r="Z74">
        <f>SMALL(SimData!$F$9:$F$108,72)</f>
        <v>9.5885704969334462</v>
      </c>
      <c r="AA74">
        <f>1/(COUNT(SimData!$F$9:$F$108)-1)+$AA$73</f>
        <v>0.71717171717171646</v>
      </c>
    </row>
    <row r="75" spans="1:27">
      <c r="A75">
        <v>67</v>
      </c>
      <c r="B75">
        <v>10.647086852403701</v>
      </c>
      <c r="C75">
        <v>11.281526308874689</v>
      </c>
      <c r="D75">
        <v>10.657740678024879</v>
      </c>
      <c r="E75">
        <v>11.0367749697461</v>
      </c>
      <c r="F75">
        <v>9.7948110476457941</v>
      </c>
      <c r="G75">
        <v>266080.08834908169</v>
      </c>
      <c r="H75">
        <v>299795.11613657046</v>
      </c>
      <c r="I75">
        <v>266639.53251566703</v>
      </c>
      <c r="J75">
        <v>286691.95965212269</v>
      </c>
      <c r="K75">
        <v>222059.12491007254</v>
      </c>
      <c r="L75">
        <v>521690.01588413405</v>
      </c>
      <c r="M75">
        <v>562670.84287875053</v>
      </c>
      <c r="N75">
        <v>522370.02376514464</v>
      </c>
      <c r="O75">
        <v>546743.87427717599</v>
      </c>
      <c r="P75">
        <v>468182.25969299697</v>
      </c>
      <c r="R75">
        <f>SMALL(SimData!$B$9:$B$108,73)</f>
        <v>10.32735179956023</v>
      </c>
      <c r="S75">
        <f>1/(COUNT(SimData!$B$9:$B$108)-1)+$S$74</f>
        <v>0.72727272727272652</v>
      </c>
      <c r="T75">
        <f>SMALL(SimData!$C$9:$C$108,73)</f>
        <v>10.906638986586477</v>
      </c>
      <c r="U75">
        <f>1/(COUNT(SimData!$C$9:$C$108)-1)+$U$74</f>
        <v>0.72727272727272652</v>
      </c>
      <c r="V75">
        <f>SMALL(SimData!$D$9:$D$108,73)</f>
        <v>10.363849877995627</v>
      </c>
      <c r="W75">
        <f>1/(COUNT(SimData!$D$9:$D$108)-1)+$W$74</f>
        <v>0.72727272727272652</v>
      </c>
      <c r="X75">
        <f>SMALL(SimData!$E$9:$E$108,73)</f>
        <v>10.594739599664473</v>
      </c>
      <c r="Y75">
        <f>1/(COUNT(SimData!$E$9:$E$108)-1)+$Y$74</f>
        <v>0.72727272727272652</v>
      </c>
      <c r="Z75">
        <f>SMALL(SimData!$F$9:$F$108,73)</f>
        <v>9.5970370789147683</v>
      </c>
      <c r="AA75">
        <f>1/(COUNT(SimData!$F$9:$F$108)-1)+$AA$74</f>
        <v>0.72727272727272652</v>
      </c>
    </row>
    <row r="76" spans="1:27">
      <c r="A76">
        <v>68</v>
      </c>
      <c r="B76">
        <v>6.8386616128045832</v>
      </c>
      <c r="C76">
        <v>6.7620456718524942</v>
      </c>
      <c r="D76">
        <v>7.1773899192223389</v>
      </c>
      <c r="E76">
        <v>5.6217616387357516</v>
      </c>
      <c r="F76">
        <v>7.5002532935392106</v>
      </c>
      <c r="G76">
        <v>80198.453065858106</v>
      </c>
      <c r="H76">
        <v>76737.153796702041</v>
      </c>
      <c r="I76">
        <v>95628.428055101424</v>
      </c>
      <c r="J76">
        <v>26457.670255609672</v>
      </c>
      <c r="K76">
        <v>110530.14374013839</v>
      </c>
      <c r="L76">
        <v>295749.72643715527</v>
      </c>
      <c r="M76">
        <v>291542.49554237572</v>
      </c>
      <c r="N76">
        <v>314504.95747392421</v>
      </c>
      <c r="O76">
        <v>230427.46905140567</v>
      </c>
      <c r="P76">
        <v>332618.08602480975</v>
      </c>
      <c r="R76">
        <f>SMALL(SimData!$B$9:$B$108,74)</f>
        <v>10.341825020911392</v>
      </c>
      <c r="S76">
        <f>1/(COUNT(SimData!$B$9:$B$108)-1)+$S$75</f>
        <v>0.73737373737373657</v>
      </c>
      <c r="T76">
        <f>SMALL(SimData!$C$9:$C$108,74)</f>
        <v>10.923625199417732</v>
      </c>
      <c r="U76">
        <f>1/(COUNT(SimData!$C$9:$C$108)-1)+$U$75</f>
        <v>0.73737373737373657</v>
      </c>
      <c r="V76">
        <f>SMALL(SimData!$D$9:$D$108,74)</f>
        <v>10.377146901561478</v>
      </c>
      <c r="W76">
        <f>1/(COUNT(SimData!$D$9:$D$108)-1)+$W$75</f>
        <v>0.73737373737373657</v>
      </c>
      <c r="X76">
        <f>SMALL(SimData!$E$9:$E$108,74)</f>
        <v>10.614793324487055</v>
      </c>
      <c r="Y76">
        <f>1/(COUNT(SimData!$E$9:$E$108)-1)+$Y$75</f>
        <v>0.73737373737373657</v>
      </c>
      <c r="Z76">
        <f>SMALL(SimData!$F$9:$F$108,74)</f>
        <v>9.6059698405261162</v>
      </c>
      <c r="AA76">
        <f>1/(COUNT(SimData!$F$9:$F$108)-1)+$AA$75</f>
        <v>0.73737373737373657</v>
      </c>
    </row>
    <row r="77" spans="1:27">
      <c r="A77">
        <v>69</v>
      </c>
      <c r="B77">
        <v>11.209840542199203</v>
      </c>
      <c r="C77">
        <v>11.939540679505326</v>
      </c>
      <c r="D77">
        <v>11.175707145106394</v>
      </c>
      <c r="E77">
        <v>11.809921603351007</v>
      </c>
      <c r="F77">
        <v>10.14510684681203</v>
      </c>
      <c r="G77">
        <v>295944.6569887388</v>
      </c>
      <c r="H77">
        <v>335632.5985041589</v>
      </c>
      <c r="I77">
        <v>294114.93566415156</v>
      </c>
      <c r="J77">
        <v>328502.35574764269</v>
      </c>
      <c r="K77">
        <v>239977.86609386664</v>
      </c>
      <c r="L77">
        <v>557990.58571919135</v>
      </c>
      <c r="M77">
        <v>606231.52668081888</v>
      </c>
      <c r="N77">
        <v>555766.54801339726</v>
      </c>
      <c r="O77">
        <v>597564.67204625602</v>
      </c>
      <c r="P77">
        <v>489962.60159403103</v>
      </c>
      <c r="R77">
        <f>SMALL(SimData!$B$9:$B$108,75)</f>
        <v>10.405432498453205</v>
      </c>
      <c r="S77">
        <f>1/(COUNT(SimData!$B$9:$B$108)-1)+$S$76</f>
        <v>0.74747474747474663</v>
      </c>
      <c r="T77">
        <f>SMALL(SimData!$C$9:$C$108,75)</f>
        <v>10.998258265626724</v>
      </c>
      <c r="U77">
        <f>1/(COUNT(SimData!$C$9:$C$108)-1)+$U$76</f>
        <v>0.74747474747474663</v>
      </c>
      <c r="V77">
        <f>SMALL(SimData!$D$9:$D$108,75)</f>
        <v>10.435592318257257</v>
      </c>
      <c r="W77">
        <f>1/(COUNT(SimData!$D$9:$D$108)-1)+$W$76</f>
        <v>0.74747474747474663</v>
      </c>
      <c r="X77">
        <f>SMALL(SimData!$E$9:$E$108,75)</f>
        <v>10.702875910280666</v>
      </c>
      <c r="Y77">
        <f>1/(COUNT(SimData!$E$9:$E$108)-1)+$Y$76</f>
        <v>0.74747474747474663</v>
      </c>
      <c r="Z77">
        <f>SMALL(SimData!$F$9:$F$108,75)</f>
        <v>9.6452501192676507</v>
      </c>
      <c r="AA77">
        <f>1/(COUNT(SimData!$F$9:$F$108)-1)+$AA$76</f>
        <v>0.74747474747474663</v>
      </c>
    </row>
    <row r="78" spans="1:27">
      <c r="A78">
        <v>70</v>
      </c>
      <c r="B78">
        <v>9.1104790478540281</v>
      </c>
      <c r="C78">
        <v>9.4726833215661923</v>
      </c>
      <c r="D78">
        <v>9.2480721325173523</v>
      </c>
      <c r="E78">
        <v>8.8928638366014603</v>
      </c>
      <c r="F78">
        <v>8.8527752584737307</v>
      </c>
      <c r="G78">
        <v>187745.63431830646</v>
      </c>
      <c r="H78">
        <v>205793.77129964018</v>
      </c>
      <c r="I78">
        <v>194571.83480735403</v>
      </c>
      <c r="J78">
        <v>177023.72400903737</v>
      </c>
      <c r="K78">
        <v>175058.45249160728</v>
      </c>
      <c r="L78">
        <v>426473.9974193892</v>
      </c>
      <c r="M78">
        <v>448411.62072105648</v>
      </c>
      <c r="N78">
        <v>434771.28677757946</v>
      </c>
      <c r="O78">
        <v>413441.44842653314</v>
      </c>
      <c r="P78">
        <v>411052.64861414983</v>
      </c>
      <c r="R78">
        <f>SMALL(SimData!$B$9:$B$108,76)</f>
        <v>10.484761393023749</v>
      </c>
      <c r="S78">
        <f>1/(COUNT(SimData!$B$9:$B$108)-1)+$S$77</f>
        <v>0.75757575757575668</v>
      </c>
      <c r="T78">
        <f>SMALL(SimData!$C$9:$C$108,76)</f>
        <v>11.091295555199343</v>
      </c>
      <c r="U78">
        <f>1/(COUNT(SimData!$C$9:$C$108)-1)+$U$77</f>
        <v>0.75757575757575668</v>
      </c>
      <c r="V78">
        <f>SMALL(SimData!$D$9:$D$108,76)</f>
        <v>10.508499535916325</v>
      </c>
      <c r="W78">
        <f>1/(COUNT(SimData!$D$9:$D$108)-1)+$W$77</f>
        <v>0.75757575757575668</v>
      </c>
      <c r="X78">
        <f>SMALL(SimData!$E$9:$E$108,76)</f>
        <v>10.812614956870814</v>
      </c>
      <c r="Y78">
        <f>1/(COUNT(SimData!$E$9:$E$108)-1)+$Y$77</f>
        <v>0.75757575757575668</v>
      </c>
      <c r="Z78">
        <f>SMALL(SimData!$F$9:$F$108,76)</f>
        <v>9.6942897131600088</v>
      </c>
      <c r="AA78">
        <f>1/(COUNT(SimData!$F$9:$F$108)-1)+$AA$77</f>
        <v>0.75757575757575668</v>
      </c>
    </row>
    <row r="79" spans="1:27">
      <c r="A79">
        <v>71</v>
      </c>
      <c r="B79">
        <v>11.411351703176036</v>
      </c>
      <c r="C79">
        <v>12.174615879054146</v>
      </c>
      <c r="D79">
        <v>11.36139399274218</v>
      </c>
      <c r="E79">
        <v>12.085310905789704</v>
      </c>
      <c r="F79">
        <v>10.271217053107808</v>
      </c>
      <c r="G79">
        <v>306795.19023003825</v>
      </c>
      <c r="H79">
        <v>348653.23839371814</v>
      </c>
      <c r="I79">
        <v>304097.42624614714</v>
      </c>
      <c r="J79">
        <v>343693.1022854615</v>
      </c>
      <c r="K79">
        <v>246488.18603864626</v>
      </c>
      <c r="L79">
        <v>571179.47668982344</v>
      </c>
      <c r="M79">
        <v>622058.1958455774</v>
      </c>
      <c r="N79">
        <v>567900.32770637888</v>
      </c>
      <c r="O79">
        <v>616029.11940514098</v>
      </c>
      <c r="P79">
        <v>497875.93617641029</v>
      </c>
      <c r="R79">
        <f>SMALL(SimData!$B$9:$B$108,77)</f>
        <v>10.528724112807133</v>
      </c>
      <c r="S79">
        <f>1/(COUNT(SimData!$B$9:$B$108)-1)+$S$78</f>
        <v>0.76767676767676674</v>
      </c>
      <c r="T79">
        <f>SMALL(SimData!$C$9:$C$108,77)</f>
        <v>11.142835100289258</v>
      </c>
      <c r="U79">
        <f>1/(COUNT(SimData!$C$9:$C$108)-1)+$U$78</f>
        <v>0.76767676767676674</v>
      </c>
      <c r="V79">
        <f>SMALL(SimData!$D$9:$D$108,77)</f>
        <v>10.548911216701862</v>
      </c>
      <c r="W79">
        <f>1/(COUNT(SimData!$D$9:$D$108)-1)+$W$78</f>
        <v>0.76767676767676674</v>
      </c>
      <c r="X79">
        <f>SMALL(SimData!$E$9:$E$108,77)</f>
        <v>10.87337614028487</v>
      </c>
      <c r="Y79">
        <f>1/(COUNT(SimData!$E$9:$E$108)-1)+$Y$78</f>
        <v>0.76767676767676674</v>
      </c>
      <c r="Z79">
        <f>SMALL(SimData!$F$9:$F$108,77)</f>
        <v>9.7214908066749395</v>
      </c>
      <c r="AA79">
        <f>1/(COUNT(SimData!$F$9:$F$108)-1)+$AA$78</f>
        <v>0.76767676767676674</v>
      </c>
    </row>
    <row r="80" spans="1:27">
      <c r="A80">
        <v>72</v>
      </c>
      <c r="B80">
        <v>8.5471767056294095</v>
      </c>
      <c r="C80">
        <v>8.8048331794218555</v>
      </c>
      <c r="D80">
        <v>8.7330891493107998</v>
      </c>
      <c r="E80">
        <v>8.0938472634970413</v>
      </c>
      <c r="F80">
        <v>8.5128589272592503</v>
      </c>
      <c r="G80">
        <v>160177.66436178226</v>
      </c>
      <c r="H80">
        <v>172712.20735181111</v>
      </c>
      <c r="I80">
        <v>169209.30244735174</v>
      </c>
      <c r="J80">
        <v>138428.56606990355</v>
      </c>
      <c r="K80">
        <v>158517.67051769281</v>
      </c>
      <c r="L80">
        <v>392964.95763742167</v>
      </c>
      <c r="M80">
        <v>408200.77298269537</v>
      </c>
      <c r="N80">
        <v>403942.97017816943</v>
      </c>
      <c r="O80">
        <v>366528.79273177881</v>
      </c>
      <c r="P80">
        <v>390947.2247449694</v>
      </c>
      <c r="R80">
        <f>SMALL(SimData!$B$9:$B$108,78)</f>
        <v>10.538937591829095</v>
      </c>
      <c r="S80">
        <f>1/(COUNT(SimData!$B$9:$B$108)-1)+$S$79</f>
        <v>0.77777777777777679</v>
      </c>
      <c r="T80">
        <f>SMALL(SimData!$C$9:$C$108,78)</f>
        <v>11.154806789087935</v>
      </c>
      <c r="U80">
        <f>1/(COUNT(SimData!$C$9:$C$108)-1)+$U$79</f>
        <v>0.77777777777777679</v>
      </c>
      <c r="V80">
        <f>SMALL(SimData!$D$9:$D$108,78)</f>
        <v>10.558300502298277</v>
      </c>
      <c r="W80">
        <f>1/(COUNT(SimData!$D$9:$D$108)-1)+$W$79</f>
        <v>0.77777777777777679</v>
      </c>
      <c r="X80">
        <f>SMALL(SimData!$E$9:$E$108,78)</f>
        <v>10.887486738291855</v>
      </c>
      <c r="Y80">
        <f>1/(COUNT(SimData!$E$9:$E$108)-1)+$Y$79</f>
        <v>0.77777777777777679</v>
      </c>
      <c r="Z80">
        <f>SMALL(SimData!$F$9:$F$108,78)</f>
        <v>9.7278126681019899</v>
      </c>
      <c r="AA80">
        <f>1/(COUNT(SimData!$F$9:$F$108)-1)+$AA$79</f>
        <v>0.77777777777777679</v>
      </c>
    </row>
    <row r="81" spans="1:27">
      <c r="A81">
        <v>73</v>
      </c>
      <c r="B81">
        <v>9.4684768292815225</v>
      </c>
      <c r="C81">
        <v>9.8957613545211967</v>
      </c>
      <c r="D81">
        <v>9.5758692486180017</v>
      </c>
      <c r="E81">
        <v>9.3968809158107742</v>
      </c>
      <c r="F81">
        <v>9.070330935197596</v>
      </c>
      <c r="G81">
        <v>205582.70900235581</v>
      </c>
      <c r="H81">
        <v>227198.26092049922</v>
      </c>
      <c r="I81">
        <v>210981.94351667922</v>
      </c>
      <c r="J81">
        <v>201995.62856670632</v>
      </c>
      <c r="K81">
        <v>185760.69730203692</v>
      </c>
      <c r="L81">
        <v>448155.07317956781</v>
      </c>
      <c r="M81">
        <v>474428.91163327062</v>
      </c>
      <c r="N81">
        <v>454717.87647694373</v>
      </c>
      <c r="O81">
        <v>443794.9544907831</v>
      </c>
      <c r="P81">
        <v>424061.29407025722</v>
      </c>
      <c r="R81">
        <f>SMALL(SimData!$B$9:$B$108,79)</f>
        <v>10.56113603249325</v>
      </c>
      <c r="S81">
        <f>1/(COUNT(SimData!$B$9:$B$108)-1)+$S$80</f>
        <v>0.78787878787878685</v>
      </c>
      <c r="T81">
        <f>SMALL(SimData!$C$9:$C$108,79)</f>
        <v>11.180823944139719</v>
      </c>
      <c r="U81">
        <f>1/(COUNT(SimData!$C$9:$C$108)-1)+$U$80</f>
        <v>0.78787878787878685</v>
      </c>
      <c r="V81">
        <f>SMALL(SimData!$D$9:$D$108,79)</f>
        <v>10.578708627736418</v>
      </c>
      <c r="W81">
        <f>1/(COUNT(SimData!$D$9:$D$108)-1)+$W$80</f>
        <v>0.78787878787878685</v>
      </c>
      <c r="X81">
        <f>SMALL(SimData!$E$9:$E$108,79)</f>
        <v>10.918148190124564</v>
      </c>
      <c r="Y81">
        <f>1/(COUNT(SimData!$E$9:$E$108)-1)+$Y$80</f>
        <v>0.78787878787878685</v>
      </c>
      <c r="Z81">
        <f>SMALL(SimData!$F$9:$F$108,79)</f>
        <v>9.7415560945334025</v>
      </c>
      <c r="AA81">
        <f>1/(COUNT(SimData!$F$9:$F$108)-1)+$AA$80</f>
        <v>0.78787878787878685</v>
      </c>
    </row>
    <row r="82" spans="1:27">
      <c r="A82">
        <v>74</v>
      </c>
      <c r="B82">
        <v>9.6839144639394785</v>
      </c>
      <c r="C82">
        <v>10.149867068205975</v>
      </c>
      <c r="D82">
        <v>9.773319081588415</v>
      </c>
      <c r="E82">
        <v>9.6988240201057359</v>
      </c>
      <c r="F82">
        <v>9.2018192108409238</v>
      </c>
      <c r="G82">
        <v>216436.6875402201</v>
      </c>
      <c r="H82">
        <v>240223.03516593645</v>
      </c>
      <c r="I82">
        <v>220967.60377151461</v>
      </c>
      <c r="J82">
        <v>217191.1985197165</v>
      </c>
      <c r="K82">
        <v>192273.08442475554</v>
      </c>
      <c r="L82">
        <v>461348.15192970779</v>
      </c>
      <c r="M82">
        <v>490260.60613343865</v>
      </c>
      <c r="N82">
        <v>466855.50892707275</v>
      </c>
      <c r="O82">
        <v>462265.26474097918</v>
      </c>
      <c r="P82">
        <v>431977.14132034103</v>
      </c>
      <c r="R82">
        <f>SMALL(SimData!$B$9:$B$108,80)</f>
        <v>10.597231582279738</v>
      </c>
      <c r="S82">
        <f>1/(COUNT(SimData!$B$9:$B$108)-1)+$S$81</f>
        <v>0.7979797979797969</v>
      </c>
      <c r="T82">
        <f>SMALL(SimData!$C$9:$C$108,80)</f>
        <v>11.22312111302679</v>
      </c>
      <c r="U82">
        <f>1/(COUNT(SimData!$C$9:$C$108)-1)+$U$81</f>
        <v>0.7979797979797969</v>
      </c>
      <c r="V82">
        <f>SMALL(SimData!$D$9:$D$108,80)</f>
        <v>10.611896045616252</v>
      </c>
      <c r="W82">
        <f>1/(COUNT(SimData!$D$9:$D$108)-1)+$W$81</f>
        <v>0.7979797979797969</v>
      </c>
      <c r="X82">
        <f>SMALL(SimData!$E$9:$E$108,80)</f>
        <v>10.967984024046535</v>
      </c>
      <c r="Y82">
        <f>1/(COUNT(SimData!$E$9:$E$108)-1)+$Y$81</f>
        <v>0.7979797979797969</v>
      </c>
      <c r="Z82">
        <f>SMALL(SimData!$F$9:$F$108,80)</f>
        <v>9.7639128206404209</v>
      </c>
      <c r="AA82">
        <f>1/(COUNT(SimData!$F$9:$F$108)-1)+$AA$81</f>
        <v>0.7979797979797969</v>
      </c>
    </row>
    <row r="83" spans="1:27">
      <c r="A83">
        <v>75</v>
      </c>
      <c r="B83">
        <v>10.075567912379366</v>
      </c>
      <c r="C83">
        <v>10.610884585863504</v>
      </c>
      <c r="D83">
        <v>10.132624674801505</v>
      </c>
      <c r="E83">
        <v>10.245188287517307</v>
      </c>
      <c r="F83">
        <v>9.4419389168673096</v>
      </c>
      <c r="G83">
        <v>236401.46719846781</v>
      </c>
      <c r="H83">
        <v>264180.77075583395</v>
      </c>
      <c r="I83">
        <v>239335.20105710241</v>
      </c>
      <c r="J83">
        <v>245141.89004126331</v>
      </c>
      <c r="K83">
        <v>204251.95221970428</v>
      </c>
      <c r="L83">
        <v>485615.46638418076</v>
      </c>
      <c r="M83">
        <v>519381.38347880653</v>
      </c>
      <c r="N83">
        <v>489181.43822518777</v>
      </c>
      <c r="O83">
        <v>496239.50497724139</v>
      </c>
      <c r="P83">
        <v>446537.52999302512</v>
      </c>
      <c r="R83">
        <f>SMALL(SimData!$B$9:$B$108,81)</f>
        <v>10.624632421939141</v>
      </c>
      <c r="S83">
        <f>1/(COUNT(SimData!$B$9:$B$108)-1)+$S$82</f>
        <v>0.80808080808080696</v>
      </c>
      <c r="T83">
        <f>SMALL(SimData!$C$9:$C$108,81)</f>
        <v>11.255223317986125</v>
      </c>
      <c r="U83">
        <f>1/(COUNT(SimData!$C$9:$C$108)-1)+$U$82</f>
        <v>0.80808080808080696</v>
      </c>
      <c r="V83">
        <f>SMALL(SimData!$D$9:$D$108,81)</f>
        <v>10.63709173566588</v>
      </c>
      <c r="W83">
        <f>1/(COUNT(SimData!$D$9:$D$108)-1)+$W$82</f>
        <v>0.80808080808080696</v>
      </c>
      <c r="X83">
        <f>SMALL(SimData!$E$9:$E$108,81)</f>
        <v>11.005798138669229</v>
      </c>
      <c r="Y83">
        <f>1/(COUNT(SimData!$E$9:$E$108)-1)+$Y$82</f>
        <v>0.80808080808080696</v>
      </c>
      <c r="Z83">
        <f>SMALL(SimData!$F$9:$F$108,81)</f>
        <v>9.7808919889557622</v>
      </c>
      <c r="AA83">
        <f>1/(COUNT(SimData!$F$9:$F$108)-1)+$AA$82</f>
        <v>0.80808080808080696</v>
      </c>
    </row>
    <row r="84" spans="1:27">
      <c r="A84">
        <v>76</v>
      </c>
      <c r="B84">
        <v>8.1645210617468535</v>
      </c>
      <c r="C84">
        <v>8.3496105739350135</v>
      </c>
      <c r="D84">
        <v>8.383827552519767</v>
      </c>
      <c r="E84">
        <v>7.5467343921728922</v>
      </c>
      <c r="F84">
        <v>8.2836457758268622</v>
      </c>
      <c r="G84">
        <v>141793.8355203477</v>
      </c>
      <c r="H84">
        <v>150651.61274208978</v>
      </c>
      <c r="I84">
        <v>152296.17991323187</v>
      </c>
      <c r="J84">
        <v>112691.20569189521</v>
      </c>
      <c r="K84">
        <v>147487.37321283214</v>
      </c>
      <c r="L84">
        <v>370619.29878172779</v>
      </c>
      <c r="M84">
        <v>381385.9823558628</v>
      </c>
      <c r="N84">
        <v>383384.96403093095</v>
      </c>
      <c r="O84">
        <v>335244.87033380731</v>
      </c>
      <c r="P84">
        <v>377539.82943155314</v>
      </c>
      <c r="R84">
        <f>SMALL(SimData!$B$9:$B$108,82)</f>
        <v>10.647086852403701</v>
      </c>
      <c r="S84">
        <f>1/(COUNT(SimData!$B$9:$B$108)-1)+$S$83</f>
        <v>0.81818181818181701</v>
      </c>
      <c r="T84">
        <f>SMALL(SimData!$C$9:$C$108,82)</f>
        <v>11.281526308874689</v>
      </c>
      <c r="U84">
        <f>1/(COUNT(SimData!$C$9:$C$108)-1)+$U$83</f>
        <v>0.81818181818181701</v>
      </c>
      <c r="V84">
        <f>SMALL(SimData!$D$9:$D$108,82)</f>
        <v>10.657740678024879</v>
      </c>
      <c r="W84">
        <f>1/(COUNT(SimData!$D$9:$D$108)-1)+$W$83</f>
        <v>0.81818181818181701</v>
      </c>
      <c r="X84">
        <f>SMALL(SimData!$E$9:$E$108,82)</f>
        <v>11.0367749697461</v>
      </c>
      <c r="Y84">
        <f>1/(COUNT(SimData!$E$9:$E$108)-1)+$Y$83</f>
        <v>0.81818181818181701</v>
      </c>
      <c r="Z84">
        <f>SMALL(SimData!$F$9:$F$108,82)</f>
        <v>9.7948110476457941</v>
      </c>
      <c r="AA84">
        <f>1/(COUNT(SimData!$F$9:$F$108)-1)+$AA$83</f>
        <v>0.81818181818181701</v>
      </c>
    </row>
    <row r="85" spans="1:27">
      <c r="A85">
        <v>77</v>
      </c>
      <c r="B85">
        <v>10.701596398265549</v>
      </c>
      <c r="C85">
        <v>11.345363104246026</v>
      </c>
      <c r="D85">
        <v>10.707873224716986</v>
      </c>
      <c r="E85">
        <v>11.111931840795677</v>
      </c>
      <c r="F85">
        <v>9.8286190701865088</v>
      </c>
      <c r="G85">
        <v>268944.84756888461</v>
      </c>
      <c r="H85">
        <v>303232.82720033382</v>
      </c>
      <c r="I85">
        <v>269275.11099788581</v>
      </c>
      <c r="J85">
        <v>290702.62255984661</v>
      </c>
      <c r="K85">
        <v>223777.98044195422</v>
      </c>
      <c r="L85">
        <v>525172.14862054971</v>
      </c>
      <c r="M85">
        <v>566849.40216244885</v>
      </c>
      <c r="N85">
        <v>525573.58588264708</v>
      </c>
      <c r="O85">
        <v>551618.86010815762</v>
      </c>
      <c r="P85">
        <v>470271.53933484619</v>
      </c>
      <c r="R85">
        <f>SMALL(SimData!$B$9:$B$108,83)</f>
        <v>10.698605479363753</v>
      </c>
      <c r="S85">
        <f>1/(COUNT(SimData!$B$9:$B$108)-1)+$S$84</f>
        <v>0.82828282828282707</v>
      </c>
      <c r="T85">
        <f>SMALL(SimData!$C$9:$C$108,83)</f>
        <v>11.341860966204793</v>
      </c>
      <c r="U85">
        <f>1/(COUNT(SimData!$C$9:$C$108)-1)+$U$84</f>
        <v>0.82828282828282707</v>
      </c>
      <c r="V85">
        <f>SMALL(SimData!$D$9:$D$108,83)</f>
        <v>10.705122252381058</v>
      </c>
      <c r="W85">
        <f>1/(COUNT(SimData!$D$9:$D$108)-1)+$W$84</f>
        <v>0.82828282828282707</v>
      </c>
      <c r="X85">
        <f>SMALL(SimData!$E$9:$E$108,83)</f>
        <v>11.107809525636455</v>
      </c>
      <c r="Y85">
        <f>1/(COUNT(SimData!$E$9:$E$108)-1)+$Y$84</f>
        <v>0.82828282828282707</v>
      </c>
      <c r="Z85">
        <f>SMALL(SimData!$F$9:$F$108,83)</f>
        <v>9.826763352509877</v>
      </c>
      <c r="AA85">
        <f>1/(COUNT(SimData!$F$9:$F$108)-1)+$AA$84</f>
        <v>0.82828282828282707</v>
      </c>
    </row>
    <row r="86" spans="1:27">
      <c r="A86">
        <v>78</v>
      </c>
      <c r="B86">
        <v>8.3436309969210107</v>
      </c>
      <c r="C86">
        <v>8.5628458532636529</v>
      </c>
      <c r="D86">
        <v>8.5472484913458242</v>
      </c>
      <c r="E86">
        <v>7.8032696514576418</v>
      </c>
      <c r="F86">
        <v>8.3907619887993103</v>
      </c>
      <c r="G86">
        <v>150364.44329204957</v>
      </c>
      <c r="H86">
        <v>160936.3420681319</v>
      </c>
      <c r="I86">
        <v>160181.13906319765</v>
      </c>
      <c r="J86">
        <v>124690.05657227791</v>
      </c>
      <c r="K86">
        <v>152629.7378758532</v>
      </c>
      <c r="L86">
        <v>381036.92609453003</v>
      </c>
      <c r="M86">
        <v>393887.13513122534</v>
      </c>
      <c r="N86">
        <v>392969.18115870899</v>
      </c>
      <c r="O86">
        <v>349829.54857173044</v>
      </c>
      <c r="P86">
        <v>383790.40581923444</v>
      </c>
      <c r="R86">
        <f>SMALL(SimData!$B$9:$B$108,84)</f>
        <v>10.701596398265549</v>
      </c>
      <c r="S86">
        <f>1/(COUNT(SimData!$B$9:$B$108)-1)+$S$85</f>
        <v>0.83838383838383712</v>
      </c>
      <c r="T86">
        <f>SMALL(SimData!$C$9:$C$108,84)</f>
        <v>11.345363104246026</v>
      </c>
      <c r="U86">
        <f>1/(COUNT(SimData!$C$9:$C$108)-1)+$U$85</f>
        <v>0.83838383838383712</v>
      </c>
      <c r="V86">
        <f>SMALL(SimData!$D$9:$D$108,84)</f>
        <v>10.707873224716986</v>
      </c>
      <c r="W86">
        <f>1/(COUNT(SimData!$D$9:$D$108)-1)+$W$85</f>
        <v>0.83838383838383712</v>
      </c>
      <c r="X86">
        <f>SMALL(SimData!$E$9:$E$108,84)</f>
        <v>11.111931840795677</v>
      </c>
      <c r="Y86">
        <f>1/(COUNT(SimData!$E$9:$E$108)-1)+$Y$85</f>
        <v>0.83838383838383712</v>
      </c>
      <c r="Z86">
        <f>SMALL(SimData!$F$9:$F$108,84)</f>
        <v>9.8286190701865088</v>
      </c>
      <c r="AA86">
        <f>1/(COUNT(SimData!$F$9:$F$108)-1)+$AA$85</f>
        <v>0.83838383838383712</v>
      </c>
    </row>
    <row r="87" spans="1:27">
      <c r="A87">
        <v>79</v>
      </c>
      <c r="B87">
        <v>10.528724112807133</v>
      </c>
      <c r="C87">
        <v>11.142835100289258</v>
      </c>
      <c r="D87">
        <v>10.548911216701862</v>
      </c>
      <c r="E87">
        <v>10.87337614028487</v>
      </c>
      <c r="F87">
        <v>9.7214908066749395</v>
      </c>
      <c r="G87">
        <v>259880.05354581727</v>
      </c>
      <c r="H87">
        <v>292355.07437265338</v>
      </c>
      <c r="I87">
        <v>260935.50049666385</v>
      </c>
      <c r="J87">
        <v>278011.91092755238</v>
      </c>
      <c r="K87">
        <v>218339.10402811388</v>
      </c>
      <c r="L87">
        <v>514153.83483054873</v>
      </c>
      <c r="M87">
        <v>553627.42561444791</v>
      </c>
      <c r="N87">
        <v>515436.7371958461</v>
      </c>
      <c r="O87">
        <v>536193.22080215637</v>
      </c>
      <c r="P87">
        <v>463660.55106084573</v>
      </c>
      <c r="R87">
        <f>SMALL(SimData!$B$9:$B$108,85)</f>
        <v>10.763999250065936</v>
      </c>
      <c r="S87">
        <f>1/(COUNT(SimData!$B$9:$B$108)-1)+$S$86</f>
        <v>0.84848484848484718</v>
      </c>
      <c r="T87">
        <f>SMALL(SimData!$C$9:$C$108,85)</f>
        <v>11.418417202240546</v>
      </c>
      <c r="U87">
        <f>1/(COUNT(SimData!$C$9:$C$108)-1)+$U$86</f>
        <v>0.84848484848484718</v>
      </c>
      <c r="V87">
        <f>SMALL(SimData!$D$9:$D$108,85)</f>
        <v>10.765275561616257</v>
      </c>
      <c r="W87">
        <f>1/(COUNT(SimData!$D$9:$D$108)-1)+$W$86</f>
        <v>0.84848484848484718</v>
      </c>
      <c r="X87">
        <f>SMALL(SimData!$E$9:$E$108,85)</f>
        <v>11.197900286846195</v>
      </c>
      <c r="Y87">
        <f>1/(COUNT(SimData!$E$9:$E$108)-1)+$Y$86</f>
        <v>0.84848484848484718</v>
      </c>
      <c r="Z87">
        <f>SMALL(SimData!$F$9:$F$108,85)</f>
        <v>9.8673550530612122</v>
      </c>
      <c r="AA87">
        <f>1/(COUNT(SimData!$F$9:$F$108)-1)+$AA$86</f>
        <v>0.84848484848484718</v>
      </c>
    </row>
    <row r="88" spans="1:27">
      <c r="A88">
        <v>80</v>
      </c>
      <c r="B88">
        <v>7.6001382269715476</v>
      </c>
      <c r="C88">
        <v>7.6758233767707047</v>
      </c>
      <c r="D88">
        <v>7.8695627457805077</v>
      </c>
      <c r="E88">
        <v>6.7330616251076352</v>
      </c>
      <c r="F88">
        <v>7.9481106976777198</v>
      </c>
      <c r="G88">
        <v>115179.03719607787</v>
      </c>
      <c r="H88">
        <v>118713.85475296585</v>
      </c>
      <c r="I88">
        <v>127810.56545490376</v>
      </c>
      <c r="J88">
        <v>75430.488037917297</v>
      </c>
      <c r="K88">
        <v>131518.49421827018</v>
      </c>
      <c r="L88">
        <v>338268.84507608821</v>
      </c>
      <c r="M88">
        <v>342565.43790909526</v>
      </c>
      <c r="N88">
        <v>353622.54662174266</v>
      </c>
      <c r="O88">
        <v>289954.23514591187</v>
      </c>
      <c r="P88">
        <v>358129.55720816937</v>
      </c>
      <c r="R88">
        <f>SMALL(SimData!$B$9:$B$108,86)</f>
        <v>10.764291443874214</v>
      </c>
      <c r="S88">
        <f>1/(COUNT(SimData!$B$9:$B$108)-1)+$S$87</f>
        <v>0.85858585858585723</v>
      </c>
      <c r="T88">
        <f>SMALL(SimData!$C$9:$C$108,86)</f>
        <v>11.418759202508898</v>
      </c>
      <c r="U88">
        <f>1/(COUNT(SimData!$C$9:$C$108)-1)+$U$87</f>
        <v>0.85858585858585723</v>
      </c>
      <c r="V88">
        <f>SMALL(SimData!$D$9:$D$108,86)</f>
        <v>10.765544366927831</v>
      </c>
      <c r="W88">
        <f>1/(COUNT(SimData!$D$9:$D$108)-1)+$W$87</f>
        <v>0.85858585858585723</v>
      </c>
      <c r="X88">
        <f>SMALL(SimData!$E$9:$E$108,86)</f>
        <v>11.198302644590177</v>
      </c>
      <c r="Y88">
        <f>1/(COUNT(SimData!$E$9:$E$108)-1)+$Y$87</f>
        <v>0.85858585858585723</v>
      </c>
      <c r="Z88">
        <f>SMALL(SimData!$F$9:$F$108,86)</f>
        <v>9.8675365107825286</v>
      </c>
      <c r="AA88">
        <f>1/(COUNT(SimData!$F$9:$F$108)-1)+$AA$87</f>
        <v>0.85858585858585723</v>
      </c>
    </row>
    <row r="89" spans="1:27">
      <c r="A89">
        <v>81</v>
      </c>
      <c r="B89">
        <v>9.7879578297564258</v>
      </c>
      <c r="C89">
        <v>10.272453512310607</v>
      </c>
      <c r="D89">
        <v>9.8687250151909964</v>
      </c>
      <c r="E89">
        <v>9.844284415862214</v>
      </c>
      <c r="F89">
        <v>9.2654716666777084</v>
      </c>
      <c r="G89">
        <v>221710.96940347529</v>
      </c>
      <c r="H89">
        <v>246552.17340184271</v>
      </c>
      <c r="I89">
        <v>225819.94308570912</v>
      </c>
      <c r="J89">
        <v>224575.19312827359</v>
      </c>
      <c r="K89">
        <v>195437.65354270861</v>
      </c>
      <c r="L89">
        <v>467759.07449875603</v>
      </c>
      <c r="M89">
        <v>497953.71321629663</v>
      </c>
      <c r="N89">
        <v>472753.55769059691</v>
      </c>
      <c r="O89">
        <v>471240.55633764673</v>
      </c>
      <c r="P89">
        <v>435823.69486177008</v>
      </c>
      <c r="R89">
        <f>SMALL(SimData!$B$9:$B$108,87)</f>
        <v>10.780542313297651</v>
      </c>
      <c r="S89">
        <f>1/(COUNT(SimData!$B$9:$B$108)-1)+$S$88</f>
        <v>0.86868686868686729</v>
      </c>
      <c r="T89">
        <f>SMALL(SimData!$C$9:$C$108,87)</f>
        <v>11.437779168125765</v>
      </c>
      <c r="U89">
        <f>1/(COUNT(SimData!$C$9:$C$108)-1)+$U$88</f>
        <v>0.86868686868686729</v>
      </c>
      <c r="V89">
        <f>SMALL(SimData!$D$9:$D$108,87)</f>
        <v>10.780494822468711</v>
      </c>
      <c r="W89">
        <f>1/(COUNT(SimData!$D$9:$D$108)-1)+$W$88</f>
        <v>0.86868686868686729</v>
      </c>
      <c r="X89">
        <f>SMALL(SimData!$E$9:$E$108,87)</f>
        <v>11.220677851669009</v>
      </c>
      <c r="Y89">
        <f>1/(COUNT(SimData!$E$9:$E$108)-1)+$Y$88</f>
        <v>0.86868686868686729</v>
      </c>
      <c r="Z89">
        <f>SMALL(SimData!$F$9:$F$108,87)</f>
        <v>9.8776297894492071</v>
      </c>
      <c r="AA89">
        <f>1/(COUNT(SimData!$F$9:$F$108)-1)+$AA$88</f>
        <v>0.86868686868686729</v>
      </c>
    </row>
    <row r="90" spans="1:27">
      <c r="A90">
        <v>82</v>
      </c>
      <c r="B90">
        <v>9.8379897604979529</v>
      </c>
      <c r="C90">
        <v>10.331372196337965</v>
      </c>
      <c r="D90">
        <v>9.9146148407272587</v>
      </c>
      <c r="E90">
        <v>9.9141502989168089</v>
      </c>
      <c r="F90">
        <v>9.29611562538458</v>
      </c>
      <c r="G90">
        <v>224254.79889249592</v>
      </c>
      <c r="H90">
        <v>249604.76878866763</v>
      </c>
      <c r="I90">
        <v>228160.26621560822</v>
      </c>
      <c r="J90">
        <v>228136.55441290268</v>
      </c>
      <c r="K90">
        <v>196963.95123612112</v>
      </c>
      <c r="L90">
        <v>470851.11514159502</v>
      </c>
      <c r="M90">
        <v>501664.16198770358</v>
      </c>
      <c r="N90">
        <v>475598.23508200876</v>
      </c>
      <c r="O90">
        <v>475569.41323762137</v>
      </c>
      <c r="P90">
        <v>437678.91924747359</v>
      </c>
      <c r="R90">
        <f>SMALL(SimData!$B$9:$B$108,88)</f>
        <v>10.942044876481742</v>
      </c>
      <c r="S90">
        <f>1/(COUNT(SimData!$B$9:$B$108)-1)+$S$89</f>
        <v>0.87878787878787734</v>
      </c>
      <c r="T90">
        <f>SMALL(SimData!$C$9:$C$108,88)</f>
        <v>11.626697358041586</v>
      </c>
      <c r="U90">
        <f>1/(COUNT(SimData!$C$9:$C$108)-1)+$U$89</f>
        <v>0.87878787878787734</v>
      </c>
      <c r="V90">
        <f>SMALL(SimData!$D$9:$D$108,88)</f>
        <v>10.929114024928129</v>
      </c>
      <c r="W90">
        <f>1/(COUNT(SimData!$D$9:$D$108)-1)+$W$89</f>
        <v>0.87878787878787734</v>
      </c>
      <c r="X90">
        <f>SMALL(SimData!$E$9:$E$108,88)</f>
        <v>11.442766115809144</v>
      </c>
      <c r="Y90">
        <f>1/(COUNT(SimData!$E$9:$E$108)-1)+$Y$89</f>
        <v>0.87878787878787734</v>
      </c>
      <c r="Z90">
        <f>SMALL(SimData!$F$9:$F$108,88)</f>
        <v>9.9780645803522017</v>
      </c>
      <c r="AA90">
        <f>1/(COUNT(SimData!$F$9:$F$108)-1)+$AA$89</f>
        <v>0.87878787878787734</v>
      </c>
    </row>
    <row r="91" spans="1:27">
      <c r="A91">
        <v>83</v>
      </c>
      <c r="B91">
        <v>11.560428827056755</v>
      </c>
      <c r="C91">
        <v>12.348341968816106</v>
      </c>
      <c r="D91">
        <v>11.498835545023178</v>
      </c>
      <c r="E91">
        <v>12.288560865235825</v>
      </c>
      <c r="F91">
        <v>10.364740433297149</v>
      </c>
      <c r="G91">
        <v>314875.96828083461</v>
      </c>
      <c r="H91">
        <v>358350.17205467378</v>
      </c>
      <c r="I91">
        <v>311531.74205287965</v>
      </c>
      <c r="J91">
        <v>355006.19155657664</v>
      </c>
      <c r="K91">
        <v>251336.6528691242</v>
      </c>
      <c r="L91">
        <v>581001.71291542926</v>
      </c>
      <c r="M91">
        <v>633844.87931630434</v>
      </c>
      <c r="N91">
        <v>576936.78503393615</v>
      </c>
      <c r="O91">
        <v>629780.25012098916</v>
      </c>
      <c r="P91">
        <v>503769.27791177412</v>
      </c>
      <c r="R91">
        <f>SMALL(SimData!$B$9:$B$108,89)</f>
        <v>10.988620865708848</v>
      </c>
      <c r="S91">
        <f>1/(COUNT(SimData!$B$9:$B$108)-1)+$S$90</f>
        <v>0.8888888888888874</v>
      </c>
      <c r="T91">
        <f>SMALL(SimData!$C$9:$C$108,89)</f>
        <v>11.681144901498181</v>
      </c>
      <c r="U91">
        <f>1/(COUNT(SimData!$C$9:$C$108)-1)+$U$90</f>
        <v>0.8888888888888874</v>
      </c>
      <c r="V91">
        <f>SMALL(SimData!$D$9:$D$108,89)</f>
        <v>10.971988101457644</v>
      </c>
      <c r="W91">
        <f>1/(COUNT(SimData!$D$9:$D$108)-1)+$W$90</f>
        <v>0.8888888888888874</v>
      </c>
      <c r="X91">
        <f>SMALL(SimData!$E$9:$E$108,89)</f>
        <v>11.506721130321724</v>
      </c>
      <c r="Y91">
        <f>1/(COUNT(SimData!$E$9:$E$108)-1)+$Y$90</f>
        <v>0.8888888888888874</v>
      </c>
      <c r="Z91">
        <f>SMALL(SimData!$F$9:$F$108,89)</f>
        <v>10.007071891026603</v>
      </c>
      <c r="AA91">
        <f>1/(COUNT(SimData!$F$9:$F$108)-1)+$AA$90</f>
        <v>0.8888888888888874</v>
      </c>
    </row>
    <row r="92" spans="1:27">
      <c r="A92">
        <v>84</v>
      </c>
      <c r="B92">
        <v>11.403982111455685</v>
      </c>
      <c r="C92">
        <v>12.166023784860714</v>
      </c>
      <c r="D92">
        <v>11.35460116787225</v>
      </c>
      <c r="E92">
        <v>12.07525272350725</v>
      </c>
      <c r="F92">
        <v>10.266598758738784</v>
      </c>
      <c r="G92">
        <v>306396.9034010435</v>
      </c>
      <c r="H92">
        <v>348175.29419892468</v>
      </c>
      <c r="I92">
        <v>303731.00236347201</v>
      </c>
      <c r="J92">
        <v>343135.50072486908</v>
      </c>
      <c r="K92">
        <v>246249.21394124953</v>
      </c>
      <c r="L92">
        <v>570695.35655988764</v>
      </c>
      <c r="M92">
        <v>621477.25168965466</v>
      </c>
      <c r="N92">
        <v>567454.93718683801</v>
      </c>
      <c r="O92">
        <v>615351.35122323094</v>
      </c>
      <c r="P92">
        <v>497585.4640984491</v>
      </c>
      <c r="R92">
        <f>SMALL(SimData!$B$9:$B$108,90)</f>
        <v>10.997826973976519</v>
      </c>
      <c r="S92">
        <f>1/(COUNT(SimData!$B$9:$B$108)-1)+$S$91</f>
        <v>0.89898989898989745</v>
      </c>
      <c r="T92">
        <f>SMALL(SimData!$C$9:$C$108,90)</f>
        <v>11.691905045273911</v>
      </c>
      <c r="U92">
        <f>1/(COUNT(SimData!$C$9:$C$108)-1)+$U$91</f>
        <v>0.89898989898989745</v>
      </c>
      <c r="V92">
        <f>SMALL(SimData!$D$9:$D$108,90)</f>
        <v>10.98046321256124</v>
      </c>
      <c r="W92">
        <f>1/(COUNT(SimData!$D$9:$D$108)-1)+$W$91</f>
        <v>0.89898989898989745</v>
      </c>
      <c r="X92">
        <f>SMALL(SimData!$E$9:$E$108,90)</f>
        <v>11.519357422853952</v>
      </c>
      <c r="Y92">
        <f>1/(COUNT(SimData!$E$9:$E$108)-1)+$Y$91</f>
        <v>0.89898989898989745</v>
      </c>
      <c r="Z92">
        <f>SMALL(SimData!$F$9:$F$108,90)</f>
        <v>10.01280767390845</v>
      </c>
      <c r="AA92">
        <f>1/(COUNT(SimData!$F$9:$F$108)-1)+$AA$91</f>
        <v>0.89898989898989745</v>
      </c>
    </row>
    <row r="93" spans="1:27">
      <c r="A93">
        <v>85</v>
      </c>
      <c r="B93">
        <v>10.000250119377538</v>
      </c>
      <c r="C93">
        <v>10.522319774067345</v>
      </c>
      <c r="D93">
        <v>10.063492567654617</v>
      </c>
      <c r="E93">
        <v>10.140369883985938</v>
      </c>
      <c r="F93">
        <v>9.3956542892736401</v>
      </c>
      <c r="G93">
        <v>232538.64537152904</v>
      </c>
      <c r="H93">
        <v>259545.38456350716</v>
      </c>
      <c r="I93">
        <v>235781.40497631871</v>
      </c>
      <c r="J93">
        <v>239733.93948354886</v>
      </c>
      <c r="K93">
        <v>201934.25912354083</v>
      </c>
      <c r="L93">
        <v>480920.18231090024</v>
      </c>
      <c r="M93">
        <v>513747.04259086947</v>
      </c>
      <c r="N93">
        <v>484861.77687776962</v>
      </c>
      <c r="O93">
        <v>489666.1072746485</v>
      </c>
      <c r="P93">
        <v>443720.35954905645</v>
      </c>
      <c r="R93">
        <f>SMALL(SimData!$B$9:$B$108,91)</f>
        <v>11.008723773066563</v>
      </c>
      <c r="S93">
        <f>1/(COUNT(SimData!$B$9:$B$108)-1)+$S$92</f>
        <v>0.90909090909090751</v>
      </c>
      <c r="T93">
        <f>SMALL(SimData!$C$9:$C$108,91)</f>
        <v>11.704640493578292</v>
      </c>
      <c r="U93">
        <f>1/(COUNT(SimData!$C$9:$C$108)-1)+$U$92</f>
        <v>0.90909090909090751</v>
      </c>
      <c r="V93">
        <f>SMALL(SimData!$D$9:$D$108,91)</f>
        <v>10.990495072291212</v>
      </c>
      <c r="W93">
        <f>1/(COUNT(SimData!$D$9:$D$108)-1)+$W$92</f>
        <v>0.90909090909090751</v>
      </c>
      <c r="X93">
        <f>SMALL(SimData!$E$9:$E$108,91)</f>
        <v>11.534312262715414</v>
      </c>
      <c r="Y93">
        <f>1/(COUNT(SimData!$E$9:$E$108)-1)+$Y$92</f>
        <v>0.90909090909090751</v>
      </c>
      <c r="Z93">
        <f>SMALL(SimData!$F$9:$F$108,91)</f>
        <v>10.019597790481203</v>
      </c>
      <c r="AA93">
        <f>1/(COUNT(SimData!$F$9:$F$108)-1)+$AA$92</f>
        <v>0.90909090909090751</v>
      </c>
    </row>
    <row r="94" spans="1:27">
      <c r="A94">
        <v>86</v>
      </c>
      <c r="B94">
        <v>10.624632421939141</v>
      </c>
      <c r="C94">
        <v>11.255223317986125</v>
      </c>
      <c r="D94">
        <v>10.63709173566588</v>
      </c>
      <c r="E94">
        <v>11.005798138669229</v>
      </c>
      <c r="F94">
        <v>9.7808919889557622</v>
      </c>
      <c r="G94">
        <v>264901.72803363623</v>
      </c>
      <c r="H94">
        <v>298381.08375803591</v>
      </c>
      <c r="I94">
        <v>265555.44102545746</v>
      </c>
      <c r="J94">
        <v>285042.25521049905</v>
      </c>
      <c r="K94">
        <v>221352.10872080526</v>
      </c>
      <c r="L94">
        <v>520257.71155595826</v>
      </c>
      <c r="M94">
        <v>560952.07768493926</v>
      </c>
      <c r="N94">
        <v>521052.30378322303</v>
      </c>
      <c r="O94">
        <v>544738.64821772976</v>
      </c>
      <c r="P94">
        <v>467322.87709609134</v>
      </c>
      <c r="R94">
        <f>SMALL(SimData!$B$9:$B$108,92)</f>
        <v>11.148829332756762</v>
      </c>
      <c r="S94">
        <f>1/(COUNT(SimData!$B$9:$B$108)-1)+$S$93</f>
        <v>0.91919191919191756</v>
      </c>
      <c r="T94">
        <f>SMALL(SimData!$C$9:$C$108,92)</f>
        <v>11.868311144385025</v>
      </c>
      <c r="U94">
        <f>1/(COUNT(SimData!$C$9:$C$108)-1)+$U$93</f>
        <v>0.91919191919191756</v>
      </c>
      <c r="V94">
        <f>SMALL(SimData!$D$9:$D$108,92)</f>
        <v>11.119509009762735</v>
      </c>
      <c r="W94">
        <f>1/(COUNT(SimData!$D$9:$D$108)-1)+$W$93</f>
        <v>0.91919191919191756</v>
      </c>
      <c r="X94">
        <f>SMALL(SimData!$E$9:$E$108,92)</f>
        <v>11.726392924560265</v>
      </c>
      <c r="Y94">
        <f>1/(COUNT(SimData!$E$9:$E$108)-1)+$Y$93</f>
        <v>0.91919191919191756</v>
      </c>
      <c r="Z94">
        <f>SMALL(SimData!$F$9:$F$108,92)</f>
        <v>10.106994661251958</v>
      </c>
      <c r="AA94">
        <f>1/(COUNT(SimData!$F$9:$F$108)-1)+$AA$93</f>
        <v>0.91919191919191756</v>
      </c>
    </row>
    <row r="95" spans="1:27">
      <c r="A95">
        <v>87</v>
      </c>
      <c r="B95">
        <v>10.210763792217127</v>
      </c>
      <c r="C95">
        <v>10.769750241718299</v>
      </c>
      <c r="D95">
        <v>10.256758687141144</v>
      </c>
      <c r="E95">
        <v>10.433042536736343</v>
      </c>
      <c r="F95">
        <v>9.5251483611073091</v>
      </c>
      <c r="G95">
        <v>243363.4053067317</v>
      </c>
      <c r="H95">
        <v>272535.09648575052</v>
      </c>
      <c r="I95">
        <v>245740.1841167052</v>
      </c>
      <c r="J95">
        <v>254888.60339283268</v>
      </c>
      <c r="K95">
        <v>208429.11508466257</v>
      </c>
      <c r="L95">
        <v>494077.7456668886</v>
      </c>
      <c r="M95">
        <v>529536.11861805583</v>
      </c>
      <c r="N95">
        <v>496966.73516527901</v>
      </c>
      <c r="O95">
        <v>508086.6959730325</v>
      </c>
      <c r="P95">
        <v>451614.89756264968</v>
      </c>
      <c r="R95">
        <f>SMALL(SimData!$B$9:$B$108,93)</f>
        <v>11.209840542199203</v>
      </c>
      <c r="S95">
        <f>1/(COUNT(SimData!$B$9:$B$108)-1)+$S$94</f>
        <v>0.92929292929292762</v>
      </c>
      <c r="T95">
        <f>SMALL(SimData!$C$9:$C$108,93)</f>
        <v>11.939540679505326</v>
      </c>
      <c r="U95">
        <f>1/(COUNT(SimData!$C$9:$C$108)-1)+$U$94</f>
        <v>0.92929292929292762</v>
      </c>
      <c r="V95">
        <f>SMALL(SimData!$D$9:$D$108,93)</f>
        <v>11.175707145106394</v>
      </c>
      <c r="W95">
        <f>1/(COUNT(SimData!$D$9:$D$108)-1)+$W$94</f>
        <v>0.92929292929292762</v>
      </c>
      <c r="X95">
        <f>SMALL(SimData!$E$9:$E$108,93)</f>
        <v>11.809921603351007</v>
      </c>
      <c r="Y95">
        <f>1/(COUNT(SimData!$E$9:$E$108)-1)+$Y$94</f>
        <v>0.92929292929292762</v>
      </c>
      <c r="Z95">
        <f>SMALL(SimData!$F$9:$F$108,93)</f>
        <v>10.14510684681203</v>
      </c>
      <c r="AA95">
        <f>1/(COUNT(SimData!$F$9:$F$108)-1)+$AA$94</f>
        <v>0.92929292929292762</v>
      </c>
    </row>
    <row r="96" spans="1:27">
      <c r="A96">
        <v>88</v>
      </c>
      <c r="B96">
        <v>8.9151321497602272</v>
      </c>
      <c r="C96">
        <v>9.2413817343750964</v>
      </c>
      <c r="D96">
        <v>9.0693700750023947</v>
      </c>
      <c r="E96">
        <v>8.6166136277265473</v>
      </c>
      <c r="F96">
        <v>8.7345617062102345</v>
      </c>
      <c r="G96">
        <v>178116.71605229215</v>
      </c>
      <c r="H96">
        <v>194239.06938042305</v>
      </c>
      <c r="I96">
        <v>185713.23000262072</v>
      </c>
      <c r="J96">
        <v>163543.23843661731</v>
      </c>
      <c r="K96">
        <v>169281.10153199872</v>
      </c>
      <c r="L96">
        <v>414769.98708630953</v>
      </c>
      <c r="M96">
        <v>434366.80832136091</v>
      </c>
      <c r="N96">
        <v>424003.59727114619</v>
      </c>
      <c r="O96">
        <v>397055.83396022167</v>
      </c>
      <c r="P96">
        <v>404030.24241430219</v>
      </c>
      <c r="R96">
        <f>SMALL(SimData!$B$9:$B$108,94)</f>
        <v>11.403982111455685</v>
      </c>
      <c r="S96">
        <f>1/(COUNT(SimData!$B$9:$B$108)-1)+$S$95</f>
        <v>0.93939393939393767</v>
      </c>
      <c r="T96">
        <f>SMALL(SimData!$C$9:$C$108,94)</f>
        <v>12.166023784860714</v>
      </c>
      <c r="U96">
        <f>1/(COUNT(SimData!$C$9:$C$108)-1)+$U$95</f>
        <v>0.93939393939393767</v>
      </c>
      <c r="V96">
        <f>SMALL(SimData!$D$9:$D$108,94)</f>
        <v>11.35460116787225</v>
      </c>
      <c r="W96">
        <f>1/(COUNT(SimData!$D$9:$D$108)-1)+$W$95</f>
        <v>0.93939393939393767</v>
      </c>
      <c r="X96">
        <f>SMALL(SimData!$E$9:$E$108,94)</f>
        <v>12.07525272350725</v>
      </c>
      <c r="Y96">
        <f>1/(COUNT(SimData!$E$9:$E$108)-1)+$Y$95</f>
        <v>0.93939393939393767</v>
      </c>
      <c r="Z96">
        <f>SMALL(SimData!$F$9:$F$108,94)</f>
        <v>10.266598758738784</v>
      </c>
      <c r="AA96">
        <f>1/(COUNT(SimData!$F$9:$F$108)-1)+$AA$95</f>
        <v>0.93939393939393767</v>
      </c>
    </row>
    <row r="97" spans="1:27">
      <c r="A97">
        <v>89</v>
      </c>
      <c r="B97">
        <v>10.32735179956023</v>
      </c>
      <c r="C97">
        <v>10.906638986586477</v>
      </c>
      <c r="D97">
        <v>10.363849877995627</v>
      </c>
      <c r="E97">
        <v>10.594739599664473</v>
      </c>
      <c r="F97">
        <v>9.5970370789147683</v>
      </c>
      <c r="G97">
        <v>249396.25115472963</v>
      </c>
      <c r="H97">
        <v>279774.51150334778</v>
      </c>
      <c r="I97">
        <v>251290.40229686315</v>
      </c>
      <c r="J97">
        <v>263334.58758002962</v>
      </c>
      <c r="K97">
        <v>212048.82259346126</v>
      </c>
      <c r="L97">
        <v>501410.70750041667</v>
      </c>
      <c r="M97">
        <v>538335.67281828925</v>
      </c>
      <c r="N97">
        <v>503713.06005212455</v>
      </c>
      <c r="O97">
        <v>518352.84253997152</v>
      </c>
      <c r="P97">
        <v>456014.67466276651</v>
      </c>
      <c r="R97">
        <f>SMALL(SimData!$B$9:$B$108,95)</f>
        <v>11.411351703176036</v>
      </c>
      <c r="S97">
        <f>1/(COUNT(SimData!$B$9:$B$108)-1)+$S$96</f>
        <v>0.94949494949494773</v>
      </c>
      <c r="T97">
        <f>SMALL(SimData!$C$9:$C$108,95)</f>
        <v>12.174615879054146</v>
      </c>
      <c r="U97">
        <f>1/(COUNT(SimData!$C$9:$C$108)-1)+$U$96</f>
        <v>0.94949494949494773</v>
      </c>
      <c r="V97">
        <f>SMALL(SimData!$D$9:$D$108,95)</f>
        <v>11.36139399274218</v>
      </c>
      <c r="W97">
        <f>1/(COUNT(SimData!$D$9:$D$108)-1)+$W$96</f>
        <v>0.94949494949494773</v>
      </c>
      <c r="X97">
        <f>SMALL(SimData!$E$9:$E$108,95)</f>
        <v>12.085310905789704</v>
      </c>
      <c r="Y97">
        <f>1/(COUNT(SimData!$E$9:$E$108)-1)+$Y$96</f>
        <v>0.94949494949494773</v>
      </c>
      <c r="Z97">
        <f>SMALL(SimData!$F$9:$F$108,95)</f>
        <v>10.271217053107808</v>
      </c>
      <c r="AA97">
        <f>1/(COUNT(SimData!$F$9:$F$108)-1)+$AA$96</f>
        <v>0.94949494949494773</v>
      </c>
    </row>
    <row r="98" spans="1:27">
      <c r="A98">
        <v>90</v>
      </c>
      <c r="B98">
        <v>9.8679098292869476</v>
      </c>
      <c r="C98">
        <v>10.366597399072477</v>
      </c>
      <c r="D98">
        <v>9.9420613844523817</v>
      </c>
      <c r="E98">
        <v>9.9559060059221736</v>
      </c>
      <c r="F98">
        <v>9.314452164784246</v>
      </c>
      <c r="G98">
        <v>225778.40706952987</v>
      </c>
      <c r="H98">
        <v>251433.0986011083</v>
      </c>
      <c r="I98">
        <v>229561.98573847942</v>
      </c>
      <c r="J98">
        <v>230269.60586075007</v>
      </c>
      <c r="K98">
        <v>197878.11614234152</v>
      </c>
      <c r="L98">
        <v>472703.07040333078</v>
      </c>
      <c r="M98">
        <v>503886.50830178655</v>
      </c>
      <c r="N98">
        <v>477302.03392280574</v>
      </c>
      <c r="O98">
        <v>478162.15060405142</v>
      </c>
      <c r="P98">
        <v>438790.09240451513</v>
      </c>
      <c r="R98">
        <f>SMALL(SimData!$B$9:$B$108,96)</f>
        <v>11.456451953988125</v>
      </c>
      <c r="S98">
        <f>1/(COUNT(SimData!$B$9:$B$108)-1)+$S$97</f>
        <v>0.95959595959595778</v>
      </c>
      <c r="T98">
        <f>SMALL(SimData!$C$9:$C$108,96)</f>
        <v>12.22718936804802</v>
      </c>
      <c r="U98">
        <f>1/(COUNT(SimData!$C$9:$C$108)-1)+$U$97</f>
        <v>0.95959595959595778</v>
      </c>
      <c r="V98">
        <f>SMALL(SimData!$D$9:$D$108,96)</f>
        <v>11.402967777852629</v>
      </c>
      <c r="W98">
        <f>1/(COUNT(SimData!$D$9:$D$108)-1)+$W$97</f>
        <v>0.95959595959595778</v>
      </c>
      <c r="X98">
        <f>SMALL(SimData!$E$9:$E$108,96)</f>
        <v>12.146842968165265</v>
      </c>
      <c r="Y98">
        <f>1/(COUNT(SimData!$E$9:$E$108)-1)+$Y$97</f>
        <v>0.95959595959595778</v>
      </c>
      <c r="Z98">
        <f>SMALL(SimData!$F$9:$F$108,96)</f>
        <v>10.299490275759291</v>
      </c>
      <c r="AA98">
        <f>1/(COUNT(SimData!$F$9:$F$108)-1)+$AA$97</f>
        <v>0.95959595959595778</v>
      </c>
    </row>
    <row r="99" spans="1:27">
      <c r="A99">
        <v>91</v>
      </c>
      <c r="B99">
        <v>10.988620865708848</v>
      </c>
      <c r="C99">
        <v>11.681144901498181</v>
      </c>
      <c r="D99">
        <v>10.971988101457644</v>
      </c>
      <c r="E99">
        <v>11.506721130321724</v>
      </c>
      <c r="F99">
        <v>10.007071891026603</v>
      </c>
      <c r="G99">
        <v>284128.30036250059</v>
      </c>
      <c r="H99">
        <v>321452.97055267333</v>
      </c>
      <c r="I99">
        <v>283243.88756801258</v>
      </c>
      <c r="J99">
        <v>311959.4564709093</v>
      </c>
      <c r="K99">
        <v>232888.05211812397</v>
      </c>
      <c r="L99">
        <v>543627.73038776999</v>
      </c>
      <c r="M99">
        <v>588996.10028311331</v>
      </c>
      <c r="N99">
        <v>542552.72110848967</v>
      </c>
      <c r="O99">
        <v>577456.67458226625</v>
      </c>
      <c r="P99">
        <v>481344.88839517854</v>
      </c>
      <c r="R99">
        <f>SMALL(SimData!$B$9:$B$108,97)</f>
        <v>11.480564456845366</v>
      </c>
      <c r="S99">
        <f>1/(COUNT(SimData!$B$9:$B$108)-1)+$S$98</f>
        <v>0.96969696969696784</v>
      </c>
      <c r="T99">
        <f>SMALL(SimData!$C$9:$C$108,97)</f>
        <v>12.255291605696488</v>
      </c>
      <c r="U99">
        <f>1/(COUNT(SimData!$C$9:$C$108)-1)+$U$98</f>
        <v>0.96969696969696784</v>
      </c>
      <c r="V99">
        <f>SMALL(SimData!$D$9:$D$108,97)</f>
        <v>11.42519714954785</v>
      </c>
      <c r="W99">
        <f>1/(COUNT(SimData!$D$9:$D$108)-1)+$W$98</f>
        <v>0.96969696969696784</v>
      </c>
      <c r="X99">
        <f>SMALL(SimData!$E$9:$E$108,97)</f>
        <v>12.179725301260095</v>
      </c>
      <c r="Y99">
        <f>1/(COUNT(SimData!$E$9:$E$108)-1)+$Y$98</f>
        <v>0.96969696969696784</v>
      </c>
      <c r="Z99">
        <f>SMALL(SimData!$F$9:$F$108,97)</f>
        <v>10.314613592996324</v>
      </c>
      <c r="AA99">
        <f>1/(COUNT(SimData!$F$9:$F$108)-1)+$AA$98</f>
        <v>0.96969696969696784</v>
      </c>
    </row>
    <row r="100" spans="1:27">
      <c r="A100">
        <v>92</v>
      </c>
      <c r="B100">
        <v>8.9439079681303753</v>
      </c>
      <c r="C100">
        <v>9.2754737934831013</v>
      </c>
      <c r="D100">
        <v>9.0956866029186187</v>
      </c>
      <c r="E100">
        <v>8.6573622841721356</v>
      </c>
      <c r="F100">
        <v>8.7519530757755479</v>
      </c>
      <c r="G100">
        <v>179530.52030365739</v>
      </c>
      <c r="H100">
        <v>195935.63448206126</v>
      </c>
      <c r="I100">
        <v>187013.92991387681</v>
      </c>
      <c r="J100">
        <v>165522.5643885287</v>
      </c>
      <c r="K100">
        <v>170129.38408281794</v>
      </c>
      <c r="L100">
        <v>416488.47499012062</v>
      </c>
      <c r="M100">
        <v>436428.99380593403</v>
      </c>
      <c r="N100">
        <v>425584.60614265234</v>
      </c>
      <c r="O100">
        <v>399461.71702555713</v>
      </c>
      <c r="P100">
        <v>405061.33515658876</v>
      </c>
      <c r="R100">
        <f>SMALL(SimData!$B$9:$B$108,98)</f>
        <v>11.487170778309483</v>
      </c>
      <c r="S100">
        <f>1/(COUNT(SimData!$B$9:$B$108)-1)+$S$99</f>
        <v>0.97979797979797789</v>
      </c>
      <c r="T100">
        <f>SMALL(SimData!$C$9:$C$108,98)</f>
        <v>12.262990330122335</v>
      </c>
      <c r="U100">
        <f>1/(COUNT(SimData!$C$9:$C$108)-1)+$U$99</f>
        <v>0.97979797979797789</v>
      </c>
      <c r="V100">
        <f>SMALL(SimData!$D$9:$D$108,98)</f>
        <v>11.431287807725385</v>
      </c>
      <c r="W100">
        <f>1/(COUNT(SimData!$D$9:$D$108)-1)+$W$99</f>
        <v>0.97979797979797789</v>
      </c>
      <c r="X100">
        <f>SMALL(SimData!$E$9:$E$108,98)</f>
        <v>12.188732515060078</v>
      </c>
      <c r="Y100">
        <f>1/(COUNT(SimData!$E$9:$E$108)-1)+$Y$99</f>
        <v>0.97979797979797789</v>
      </c>
      <c r="Z100">
        <f>SMALL(SimData!$F$9:$F$108,98)</f>
        <v>10.318757947319911</v>
      </c>
      <c r="AA100">
        <f>1/(COUNT(SimData!$F$9:$F$108)-1)+$AA$99</f>
        <v>0.97979797979797789</v>
      </c>
    </row>
    <row r="101" spans="1:27">
      <c r="A101">
        <v>93</v>
      </c>
      <c r="B101">
        <v>11.148829332756762</v>
      </c>
      <c r="C101">
        <v>11.868311144385025</v>
      </c>
      <c r="D101">
        <v>11.119509009762735</v>
      </c>
      <c r="E101">
        <v>11.726392924560265</v>
      </c>
      <c r="F101">
        <v>10.106994661251958</v>
      </c>
      <c r="G101">
        <v>292675.82175078872</v>
      </c>
      <c r="H101">
        <v>331709.99621861894</v>
      </c>
      <c r="I101">
        <v>291107.60724523757</v>
      </c>
      <c r="J101">
        <v>323925.98641451239</v>
      </c>
      <c r="K101">
        <v>238016.56495109666</v>
      </c>
      <c r="L101">
        <v>554017.2960572429</v>
      </c>
      <c r="M101">
        <v>601463.57908648066</v>
      </c>
      <c r="N101">
        <v>552111.12152440473</v>
      </c>
      <c r="O101">
        <v>592002.06651952805</v>
      </c>
      <c r="P101">
        <v>487578.62779686204</v>
      </c>
      <c r="R101">
        <f>SMALL(SimData!$B$9:$B$108,99)</f>
        <v>11.560428827056755</v>
      </c>
      <c r="S101">
        <f>1/(COUNT(SimData!$B$9:$B$108)-1)+$S$100</f>
        <v>0.98989898989898795</v>
      </c>
      <c r="T101">
        <f>SMALL(SimData!$C$9:$C$108,99)</f>
        <v>12.348341968816106</v>
      </c>
      <c r="U101">
        <f>1/(COUNT(SimData!$C$9:$C$108)-1)+$U$100</f>
        <v>0.98989898989898795</v>
      </c>
      <c r="V101">
        <f>SMALL(SimData!$D$9:$D$108,99)</f>
        <v>11.498835545023178</v>
      </c>
      <c r="W101">
        <f>1/(COUNT(SimData!$D$9:$D$108)-1)+$W$100</f>
        <v>0.98989898989898795</v>
      </c>
      <c r="X101">
        <f>SMALL(SimData!$E$9:$E$108,99)</f>
        <v>12.288560865235825</v>
      </c>
      <c r="Y101">
        <f>1/(COUNT(SimData!$E$9:$E$108)-1)+$Y$100</f>
        <v>0.98989898989898795</v>
      </c>
      <c r="Z101">
        <f>SMALL(SimData!$F$9:$F$108,99)</f>
        <v>10.364740433297149</v>
      </c>
      <c r="AA101">
        <f>1/(COUNT(SimData!$F$9:$F$108)-1)+$AA$100</f>
        <v>0.98989898989898795</v>
      </c>
    </row>
    <row r="102" spans="1:27">
      <c r="A102">
        <v>94</v>
      </c>
      <c r="B102">
        <v>8.3317663534211466</v>
      </c>
      <c r="C102">
        <v>8.5487293654182874</v>
      </c>
      <c r="D102">
        <v>8.536419941412893</v>
      </c>
      <c r="E102">
        <v>7.7863007231100401</v>
      </c>
      <c r="F102">
        <v>8.3836570048509138</v>
      </c>
      <c r="G102">
        <v>149794.84254501399</v>
      </c>
      <c r="H102">
        <v>160252.82117168896</v>
      </c>
      <c r="I102">
        <v>159657.10637592489</v>
      </c>
      <c r="J102">
        <v>123892.61552642763</v>
      </c>
      <c r="K102">
        <v>152287.97742763173</v>
      </c>
      <c r="L102">
        <v>380344.57282650354</v>
      </c>
      <c r="M102">
        <v>393056.31120959343</v>
      </c>
      <c r="N102">
        <v>392332.21615212457</v>
      </c>
      <c r="O102">
        <v>348860.25399649295</v>
      </c>
      <c r="P102">
        <v>383374.99385841837</v>
      </c>
      <c r="R102">
        <f>SMALL(SimData!$B$9:$B$108,100)</f>
        <v>11.813541447763514</v>
      </c>
      <c r="S102">
        <f>1/(COUNT(SimData!$B$9:$B$108)-1)+$S$101</f>
        <v>0.999999999999998</v>
      </c>
      <c r="T102">
        <f>SMALL(SimData!$C$9:$C$108,100)</f>
        <v>12.642956582907233</v>
      </c>
      <c r="U102">
        <f>1/(COUNT(SimData!$C$9:$C$108)-1)+$U$101</f>
        <v>0.999999999999998</v>
      </c>
      <c r="V102">
        <f>SMALL(SimData!$D$9:$D$108,100)</f>
        <v>11.732329776242356</v>
      </c>
      <c r="W102">
        <f>1/(COUNT(SimData!$D$9:$D$108)-1)+$W$101</f>
        <v>0.999999999999998</v>
      </c>
      <c r="X102">
        <f>SMALL(SimData!$E$9:$E$108,100)</f>
        <v>12.632729552456611</v>
      </c>
      <c r="Y102">
        <f>1/(COUNT(SimData!$E$9:$E$108)-1)+$Y$101</f>
        <v>0.999999999999998</v>
      </c>
      <c r="Z102">
        <f>SMALL(SimData!$F$9:$F$108,100)</f>
        <v>10.52397122614938</v>
      </c>
      <c r="AA102">
        <f>1/(COUNT(SimData!$F$9:$F$108)-1)+$AA$101</f>
        <v>0.999999999999998</v>
      </c>
    </row>
    <row r="103" spans="1:27">
      <c r="A103">
        <v>95</v>
      </c>
      <c r="B103">
        <v>10.024544295746262</v>
      </c>
      <c r="C103">
        <v>10.550891606767857</v>
      </c>
      <c r="D103">
        <v>10.085789704110089</v>
      </c>
      <c r="E103">
        <v>10.174192588223812</v>
      </c>
      <c r="F103">
        <v>9.4105780597897528</v>
      </c>
      <c r="G103">
        <v>233783.39627672231</v>
      </c>
      <c r="H103">
        <v>261039.08564973937</v>
      </c>
      <c r="I103">
        <v>236926.57580909657</v>
      </c>
      <c r="J103">
        <v>241476.59075081954</v>
      </c>
      <c r="K103">
        <v>202681.10966665705</v>
      </c>
      <c r="L103">
        <v>482433.18481585587</v>
      </c>
      <c r="M103">
        <v>515562.64559681661</v>
      </c>
      <c r="N103">
        <v>486253.73918232886</v>
      </c>
      <c r="O103">
        <v>491784.31078158657</v>
      </c>
      <c r="P103">
        <v>444628.16105203016</v>
      </c>
    </row>
    <row r="104" spans="1:27">
      <c r="A104">
        <v>96</v>
      </c>
      <c r="B104">
        <v>10.763999250065936</v>
      </c>
      <c r="C104">
        <v>11.418417202240546</v>
      </c>
      <c r="D104">
        <v>10.765275561616257</v>
      </c>
      <c r="E104">
        <v>11.197900286846195</v>
      </c>
      <c r="F104">
        <v>9.8673550530612122</v>
      </c>
      <c r="G104">
        <v>272231.78084286884</v>
      </c>
      <c r="H104">
        <v>307177.14712911495</v>
      </c>
      <c r="I104">
        <v>272299.08960995125</v>
      </c>
      <c r="J104">
        <v>295304.32914342475</v>
      </c>
      <c r="K104">
        <v>225750.14040634478</v>
      </c>
      <c r="L104">
        <v>529167.43655841041</v>
      </c>
      <c r="M104">
        <v>571643.74768788181</v>
      </c>
      <c r="N104">
        <v>529249.25078547897</v>
      </c>
      <c r="O104">
        <v>557212.26322116284</v>
      </c>
      <c r="P104">
        <v>472668.71209756273</v>
      </c>
    </row>
    <row r="105" spans="1:27">
      <c r="A105">
        <v>97</v>
      </c>
      <c r="B105">
        <v>8.7206822704319045</v>
      </c>
      <c r="C105">
        <v>9.0108259454075696</v>
      </c>
      <c r="D105">
        <v>8.8916061041007044</v>
      </c>
      <c r="E105">
        <v>8.3407514836814958</v>
      </c>
      <c r="F105">
        <v>8.6172430935567323</v>
      </c>
      <c r="G105">
        <v>168604.53042276448</v>
      </c>
      <c r="H105">
        <v>182824.44662498974</v>
      </c>
      <c r="I105">
        <v>176962.01922345534</v>
      </c>
      <c r="J105">
        <v>150226.17855527869</v>
      </c>
      <c r="K105">
        <v>163573.79015428224</v>
      </c>
      <c r="L105">
        <v>403207.86600245856</v>
      </c>
      <c r="M105">
        <v>420492.2630207396</v>
      </c>
      <c r="N105">
        <v>413366.44587400323</v>
      </c>
      <c r="O105">
        <v>380868.86444283032</v>
      </c>
      <c r="P105">
        <v>397092.96976399166</v>
      </c>
    </row>
    <row r="106" spans="1:27">
      <c r="A106">
        <v>98</v>
      </c>
      <c r="B106">
        <v>9.1065417429843141</v>
      </c>
      <c r="C106">
        <v>9.4680244482375588</v>
      </c>
      <c r="D106">
        <v>9.2444691514961619</v>
      </c>
      <c r="E106">
        <v>8.8873045342536336</v>
      </c>
      <c r="F106">
        <v>8.8503891213305348</v>
      </c>
      <c r="G106">
        <v>187550.8354564202</v>
      </c>
      <c r="H106">
        <v>205560.01266537653</v>
      </c>
      <c r="I106">
        <v>194392.61985441844</v>
      </c>
      <c r="J106">
        <v>176751.00560239644</v>
      </c>
      <c r="K106">
        <v>174941.57317447558</v>
      </c>
      <c r="L106">
        <v>426237.21818527341</v>
      </c>
      <c r="M106">
        <v>448127.48564011755</v>
      </c>
      <c r="N106">
        <v>434553.44988219283</v>
      </c>
      <c r="O106">
        <v>413109.95749877102</v>
      </c>
      <c r="P106">
        <v>410910.58107368054</v>
      </c>
    </row>
    <row r="107" spans="1:27">
      <c r="A107">
        <v>99</v>
      </c>
      <c r="B107">
        <v>9.123577249267699</v>
      </c>
      <c r="C107">
        <v>9.4881810418644665</v>
      </c>
      <c r="D107">
        <v>9.2600584837125783</v>
      </c>
      <c r="E107">
        <v>8.9113553819369784</v>
      </c>
      <c r="F107">
        <v>8.8607142336908336</v>
      </c>
      <c r="G107">
        <v>188393.88485663582</v>
      </c>
      <c r="H107">
        <v>206571.67194563546</v>
      </c>
      <c r="I107">
        <v>195168.22530261707</v>
      </c>
      <c r="J107">
        <v>177931.27476269868</v>
      </c>
      <c r="K107">
        <v>175447.40281460504</v>
      </c>
      <c r="L107">
        <v>427261.95000029437</v>
      </c>
      <c r="M107">
        <v>449357.16381814267</v>
      </c>
      <c r="N107">
        <v>435496.20315201231</v>
      </c>
      <c r="O107">
        <v>414544.58203980059</v>
      </c>
      <c r="P107">
        <v>411525.42016269307</v>
      </c>
    </row>
    <row r="108" spans="1:27">
      <c r="A108">
        <v>100</v>
      </c>
      <c r="B108">
        <v>10.56113603249325</v>
      </c>
      <c r="C108">
        <v>11.180823944139719</v>
      </c>
      <c r="D108">
        <v>10.578708627736418</v>
      </c>
      <c r="E108">
        <v>10.918148190124564</v>
      </c>
      <c r="F108">
        <v>9.7415560945334025</v>
      </c>
      <c r="G108">
        <v>261575.05020553316</v>
      </c>
      <c r="H108">
        <v>294389.07036431227</v>
      </c>
      <c r="I108">
        <v>262494.89742360252</v>
      </c>
      <c r="J108">
        <v>280384.90625115472</v>
      </c>
      <c r="K108">
        <v>219356.10202394344</v>
      </c>
      <c r="L108">
        <v>516214.11386416247</v>
      </c>
      <c r="M108">
        <v>556099.7604547845</v>
      </c>
      <c r="N108">
        <v>517332.1939067709</v>
      </c>
      <c r="O108">
        <v>539077.61144921579</v>
      </c>
      <c r="P108">
        <v>464896.71848101408</v>
      </c>
    </row>
    <row r="110" spans="1:27">
      <c r="A110" t="s">
        <v>75</v>
      </c>
    </row>
    <row r="111" spans="1:27">
      <c r="A111" t="s">
        <v>76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  <c r="E111" t="str">
        <f>IF(ISBLANK($E110)=TRUE,"",_xll.EDF(E9:E108,$E110))</f>
        <v/>
      </c>
      <c r="F111" t="str">
        <f>IF(ISBLANK($F110)=TRUE,"",_xll.EDF(F9:F108,$F110))</f>
        <v/>
      </c>
      <c r="G111" t="str">
        <f>IF(ISBLANK($G110)=TRUE,"",_xll.EDF(G9:G108,$G110))</f>
        <v/>
      </c>
      <c r="H111" t="str">
        <f>IF(ISBLANK($H110)=TRUE,"",_xll.EDF(H9:H108,$H110))</f>
        <v/>
      </c>
      <c r="I111" t="str">
        <f>IF(ISBLANK($I110)=TRUE,"",_xll.EDF(I9:I108,$I110))</f>
        <v/>
      </c>
      <c r="J111" t="str">
        <f>IF(ISBLANK($J110)=TRUE,"",_xll.EDF(J9:J108,$J110))</f>
        <v/>
      </c>
      <c r="K111" t="str">
        <f>IF(ISBLANK($K110)=TRUE,"",_xll.EDF(K9:K108,$K110))</f>
        <v/>
      </c>
      <c r="L111" t="str">
        <f>IF(ISBLANK($L110)=TRUE,"",_xll.EDF(L9:L108,$L110))</f>
        <v/>
      </c>
      <c r="M111" t="str">
        <f>IF(ISBLANK($M110)=TRUE,"",_xll.EDF(M9:M108,$M110))</f>
        <v/>
      </c>
      <c r="N111" t="str">
        <f>IF(ISBLANK($N110)=TRUE,"",_xll.EDF(N9:N108,$N110))</f>
        <v/>
      </c>
      <c r="O111" t="str">
        <f>IF(ISBLANK($O110)=TRUE,"",_xll.EDF(O9:O108,$O110))</f>
        <v/>
      </c>
      <c r="P111" t="str">
        <f>IF(ISBLANK($P110)=TRUE,"",_xll.EDF(P9:P108,$P110))</f>
        <v/>
      </c>
    </row>
    <row r="112" spans="1:27">
      <c r="A112" t="s">
        <v>77</v>
      </c>
    </row>
    <row r="113" spans="1:16">
      <c r="A113" t="s">
        <v>78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  <c r="E113" t="str">
        <f>IF(ISBLANK($E112)=TRUE,"",_xll.EDF(E9:E108,$E112))</f>
        <v/>
      </c>
      <c r="F113" t="str">
        <f>IF(ISBLANK($F112)=TRUE,"",_xll.EDF(F9:F108,$F112))</f>
        <v/>
      </c>
      <c r="G113" t="str">
        <f>IF(ISBLANK($G112)=TRUE,"",_xll.EDF(G9:G108,$G112))</f>
        <v/>
      </c>
      <c r="H113" t="str">
        <f>IF(ISBLANK($H112)=TRUE,"",_xll.EDF(H9:H108,$H112))</f>
        <v/>
      </c>
      <c r="I113" t="str">
        <f>IF(ISBLANK($I112)=TRUE,"",_xll.EDF(I9:I108,$I112))</f>
        <v/>
      </c>
      <c r="J113" t="str">
        <f>IF(ISBLANK($J112)=TRUE,"",_xll.EDF(J9:J108,$J112))</f>
        <v/>
      </c>
      <c r="K113" t="str">
        <f>IF(ISBLANK($K112)=TRUE,"",_xll.EDF(K9:K108,$K112))</f>
        <v/>
      </c>
      <c r="L113" t="str">
        <f>IF(ISBLANK($L112)=TRUE,"",_xll.EDF(L9:L108,$L112))</f>
        <v/>
      </c>
      <c r="M113" t="str">
        <f>IF(ISBLANK($M112)=TRUE,"",_xll.EDF(M9:M108,$M112))</f>
        <v/>
      </c>
      <c r="N113" t="str">
        <f>IF(ISBLANK($N112)=TRUE,"",_xll.EDF(N9:N108,$N112))</f>
        <v/>
      </c>
      <c r="O113" t="str">
        <f>IF(ISBLANK($O112)=TRUE,"",_xll.EDF(O9:O108,$O112))</f>
        <v/>
      </c>
      <c r="P113" t="str">
        <f>IF(ISBLANK($P112)=TRUE,"",_xll.EDF(P9:P108,$P112))</f>
        <v/>
      </c>
    </row>
    <row r="114" spans="1:16">
      <c r="A114" t="s">
        <v>79</v>
      </c>
    </row>
    <row r="115" spans="1:16">
      <c r="A115" t="s">
        <v>80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  <c r="E115" t="str">
        <f>IF(ISBLANK($E114)=TRUE,"",_xll.EDF(E9:E108,$E114))</f>
        <v/>
      </c>
      <c r="F115" t="str">
        <f>IF(ISBLANK($F114)=TRUE,"",_xll.EDF(F9:F108,$F114))</f>
        <v/>
      </c>
      <c r="G115" t="str">
        <f>IF(ISBLANK($G114)=TRUE,"",_xll.EDF(G9:G108,$G114))</f>
        <v/>
      </c>
      <c r="H115" t="str">
        <f>IF(ISBLANK($H114)=TRUE,"",_xll.EDF(H9:H108,$H114))</f>
        <v/>
      </c>
      <c r="I115" t="str">
        <f>IF(ISBLANK($I114)=TRUE,"",_xll.EDF(I9:I108,$I114))</f>
        <v/>
      </c>
      <c r="J115" t="str">
        <f>IF(ISBLANK($J114)=TRUE,"",_xll.EDF(J9:J108,$J114))</f>
        <v/>
      </c>
      <c r="K115" t="str">
        <f>IF(ISBLANK($K114)=TRUE,"",_xll.EDF(K9:K108,$K114))</f>
        <v/>
      </c>
      <c r="L115" t="str">
        <f>IF(ISBLANK($L114)=TRUE,"",_xll.EDF(L9:L108,$L114))</f>
        <v/>
      </c>
      <c r="M115" t="str">
        <f>IF(ISBLANK($M114)=TRUE,"",_xll.EDF(M9:M108,$M114))</f>
        <v/>
      </c>
      <c r="N115" t="str">
        <f>IF(ISBLANK($N114)=TRUE,"",_xll.EDF(N9:N108,$N114))</f>
        <v/>
      </c>
      <c r="O115" t="str">
        <f>IF(ISBLANK($O114)=TRUE,"",_xll.EDF(O9:O108,$O114))</f>
        <v/>
      </c>
      <c r="P115" t="str">
        <f>IF(ISBLANK($P114)=TRUE,"",_xll.EDF(P9:P108,$P114))</f>
        <v/>
      </c>
    </row>
    <row r="116" spans="1:16">
      <c r="A116" t="s">
        <v>81</v>
      </c>
    </row>
    <row r="117" spans="1:16">
      <c r="A117" t="s">
        <v>82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  <c r="E117" t="str">
        <f>IF(ISBLANK($E116)=TRUE,"",_xll.EDF(E9:E108,$E116))</f>
        <v/>
      </c>
      <c r="F117" t="str">
        <f>IF(ISBLANK($F116)=TRUE,"",_xll.EDF(F9:F108,$F116))</f>
        <v/>
      </c>
      <c r="G117" t="str">
        <f>IF(ISBLANK($G116)=TRUE,"",_xll.EDF(G9:G108,$G116))</f>
        <v/>
      </c>
      <c r="H117" t="str">
        <f>IF(ISBLANK($H116)=TRUE,"",_xll.EDF(H9:H108,$H116))</f>
        <v/>
      </c>
      <c r="I117" t="str">
        <f>IF(ISBLANK($I116)=TRUE,"",_xll.EDF(I9:I108,$I116))</f>
        <v/>
      </c>
      <c r="J117" t="str">
        <f>IF(ISBLANK($J116)=TRUE,"",_xll.EDF(J9:J108,$J116))</f>
        <v/>
      </c>
      <c r="K117" t="str">
        <f>IF(ISBLANK($K116)=TRUE,"",_xll.EDF(K9:K108,$K116))</f>
        <v/>
      </c>
      <c r="L117" t="str">
        <f>IF(ISBLANK($L116)=TRUE,"",_xll.EDF(L9:L108,$L116))</f>
        <v/>
      </c>
      <c r="M117" t="str">
        <f>IF(ISBLANK($M116)=TRUE,"",_xll.EDF(M9:M108,$M116))</f>
        <v/>
      </c>
      <c r="N117" t="str">
        <f>IF(ISBLANK($N116)=TRUE,"",_xll.EDF(N9:N108,$N116))</f>
        <v/>
      </c>
      <c r="O117" t="str">
        <f>IF(ISBLANK($O116)=TRUE,"",_xll.EDF(O9:O108,$O116))</f>
        <v/>
      </c>
      <c r="P117" t="str">
        <f>IF(ISBLANK($P116)=TRUE,"",_xll.EDF(P9:P108,$P116))</f>
        <v/>
      </c>
    </row>
    <row r="118" spans="1:16">
      <c r="A118" t="s">
        <v>83</v>
      </c>
    </row>
    <row r="119" spans="1:16">
      <c r="A119" t="s">
        <v>84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  <c r="E119" t="str">
        <f>IF(ISBLANK($E118)=TRUE,"",_xll.EDF(E9:E108,$E118))</f>
        <v/>
      </c>
      <c r="F119" t="str">
        <f>IF(ISBLANK($F118)=TRUE,"",_xll.EDF(F9:F108,$F118))</f>
        <v/>
      </c>
      <c r="G119" t="str">
        <f>IF(ISBLANK($G118)=TRUE,"",_xll.EDF(G9:G108,$G118))</f>
        <v/>
      </c>
      <c r="H119" t="str">
        <f>IF(ISBLANK($H118)=TRUE,"",_xll.EDF(H9:H108,$H118))</f>
        <v/>
      </c>
      <c r="I119" t="str">
        <f>IF(ISBLANK($I118)=TRUE,"",_xll.EDF(I9:I108,$I118))</f>
        <v/>
      </c>
      <c r="J119" t="str">
        <f>IF(ISBLANK($J118)=TRUE,"",_xll.EDF(J9:J108,$J118))</f>
        <v/>
      </c>
      <c r="K119" t="str">
        <f>IF(ISBLANK($K118)=TRUE,"",_xll.EDF(K9:K108,$K118))</f>
        <v/>
      </c>
      <c r="L119" t="str">
        <f>IF(ISBLANK($L118)=TRUE,"",_xll.EDF(L9:L108,$L118))</f>
        <v/>
      </c>
      <c r="M119" t="str">
        <f>IF(ISBLANK($M118)=TRUE,"",_xll.EDF(M9:M108,$M118))</f>
        <v/>
      </c>
      <c r="N119" t="str">
        <f>IF(ISBLANK($N118)=TRUE,"",_xll.EDF(N9:N108,$N118))</f>
        <v/>
      </c>
      <c r="O119" t="str">
        <f>IF(ISBLANK($O118)=TRUE,"",_xll.EDF(O9:O108,$O118))</f>
        <v/>
      </c>
      <c r="P119" t="str">
        <f>IF(ISBLANK($P118)=TRUE,"",_xll.EDF(P9:P108,$P118))</f>
        <v/>
      </c>
    </row>
  </sheetData>
  <sheetCalcPr fullCalcOnLoad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workbookViewId="0">
      <selection activeCell="G4" sqref="G4"/>
    </sheetView>
  </sheetViews>
  <sheetFormatPr defaultRowHeight="12"/>
  <cols>
    <col min="2" max="2" width="12.28515625" bestFit="1" customWidth="1"/>
    <col min="3" max="7" width="9.85546875" bestFit="1" customWidth="1"/>
    <col min="11" max="12" width="10.140625" bestFit="1" customWidth="1"/>
    <col min="13" max="14" width="10.7109375" bestFit="1" customWidth="1"/>
  </cols>
  <sheetData>
    <row r="1" spans="1:14">
      <c r="A1" t="str">
        <f>"Stochastic Efficiency with Respect to A Function (SERF) Under a"&amp;IF($D$4=1," Neg. Exponential",IF($D$4=2," Power",IF($D$4=3,"n Expo-Power",IF($D$4=4," Quadratic",IF($D$4=5," Log",IF($D$4=6,"n Exponent",IF($D$4=7," HARA","")))))))&amp;" Utility Function"</f>
        <v>Stochastic Efficiency with Respect to A Function (SERF) Under a Neg. Exponential Utility Function</v>
      </c>
      <c r="I1" t="str">
        <f>IF($D$4=1,"Neg. Exponential",IF($D$4=2,"Power",IF($D$4=3,"Expo-Power",IF($D$4=4,"Quadratic",IF($D$4=5,"Log",IF($D$4=6,"Exponent",IF($D$4=7,"HARA","")))))))&amp;" Utility Weighted Risk Premiums Relative to "&amp;$I$3</f>
        <v>Neg. Exponential Utility Weighted Risk Premiums Relative to NPV 1: 1</v>
      </c>
    </row>
    <row r="2" spans="1:14">
      <c r="A2" t="s">
        <v>86</v>
      </c>
      <c r="I2" t="s">
        <v>98</v>
      </c>
    </row>
    <row r="3" spans="1:14">
      <c r="A3" t="s">
        <v>87</v>
      </c>
      <c r="B3" s="51">
        <v>0</v>
      </c>
      <c r="D3" t="str">
        <f>$D$4&amp;" = "&amp;IF($D$4=1,"Neg. Exponential",IF($D$4=2,"Power",IF($D$4=3,"Expo-Power",IF($D$4=4,"Quadratic",IF($D$4=5,"Log",IF($D$4=6,"Exponent",IF($D$4=7,"HARA",""))))))&amp;" Utility Function")</f>
        <v>1 = Neg. Exponential</v>
      </c>
      <c r="I3" s="50" t="str">
        <f>$C$11</f>
        <v>NPV 1: 1</v>
      </c>
      <c r="J3" t="s">
        <v>99</v>
      </c>
    </row>
    <row r="4" spans="1:14">
      <c r="A4" t="s">
        <v>88</v>
      </c>
      <c r="B4" s="55">
        <f>4/450000</f>
        <v>8.8888888888888883E-6</v>
      </c>
      <c r="D4" s="50">
        <v>1</v>
      </c>
      <c r="G4" s="50" t="str">
        <f ca="1">_xll.VFORMULA(B4)</f>
        <v>=4/450000</v>
      </c>
      <c r="H4" s="50" t="s">
        <v>100</v>
      </c>
    </row>
    <row r="5" spans="1:14">
      <c r="A5" t="s">
        <v>89</v>
      </c>
      <c r="B5" s="51" t="b">
        <v>1</v>
      </c>
      <c r="D5" t="str">
        <f>"U(x) = "&amp;IF($D$4=1,"-exp(-ARAC*x)",IF($D$4=2,"(1/(1-RRAC))*x^(1-RRAC)",IF($D$4=3,"-exp(-b*x^a)",IF($D$4=4,"a*x-b/2*x^2, a&gt;0",IF($D$4=5,"ln(x+a)",IF($D$4=6,"(x+a)^b",IF($D$4=7,"c/(1-c)*(a+b/c*x)^(1-c)","")))))))</f>
        <v>U(x) = -exp(-ARAC*x)</v>
      </c>
    </row>
    <row r="6" spans="1:14">
      <c r="A6" t="s">
        <v>90</v>
      </c>
      <c r="B6" s="51">
        <v>0</v>
      </c>
    </row>
    <row r="7" spans="1:14">
      <c r="A7" t="s">
        <v>91</v>
      </c>
      <c r="B7" s="51" t="s">
        <v>94</v>
      </c>
      <c r="D7" t="s">
        <v>95</v>
      </c>
    </row>
    <row r="8" spans="1:14">
      <c r="A8" t="s">
        <v>92</v>
      </c>
      <c r="B8" s="51" t="s">
        <v>94</v>
      </c>
      <c r="D8" t="s">
        <v>96</v>
      </c>
      <c r="E8">
        <f>AVERAGE(SimData!$L$9:$L$108,SimData!$M$9:$M$108,SimData!$N$9:$N$108,SimData!$O$9:$O$108,SimData!$P$9:$P$108,)</f>
        <v>459358.14105218573</v>
      </c>
    </row>
    <row r="9" spans="1:14">
      <c r="A9" t="s">
        <v>93</v>
      </c>
      <c r="B9" s="51" t="s">
        <v>94</v>
      </c>
      <c r="D9" t="s">
        <v>97</v>
      </c>
      <c r="E9">
        <f>STDEV(SimData!$L$9:$L$108,SimData!$M$9:$M$108,SimData!$N$9:$N$108,SimData!$O$9:$O$108,SimData!$P$9:$P$108,)</f>
        <v>74579.651420536626</v>
      </c>
    </row>
    <row r="11" spans="1:14">
      <c r="B11" t="str">
        <f>IF(AND($B$5),"A","R")&amp;"RAC"</f>
        <v>ARAC</v>
      </c>
      <c r="C11" t="str">
        <f>SimData!$L$8</f>
        <v>NPV 1: 1</v>
      </c>
      <c r="D11" t="str">
        <f>SimData!$M$8</f>
        <v>NPV 1: 2</v>
      </c>
      <c r="E11" t="str">
        <f>SimData!$N$8</f>
        <v>NPV 1: 3</v>
      </c>
      <c r="F11" t="str">
        <f>SimData!$O$8</f>
        <v>NPV 1: 4</v>
      </c>
      <c r="G11" t="str">
        <f>SimData!$P$8</f>
        <v>NPV 1: 5</v>
      </c>
      <c r="I11" t="str">
        <f>$B$11</f>
        <v>ARAC</v>
      </c>
      <c r="J11" t="str">
        <f>$C$11</f>
        <v>NPV 1: 1</v>
      </c>
      <c r="K11" t="str">
        <f>$D$11</f>
        <v>NPV 1: 2</v>
      </c>
      <c r="L11" t="str">
        <f>$E$11</f>
        <v>NPV 1: 3</v>
      </c>
      <c r="M11" t="str">
        <f>$F$11</f>
        <v>NPV 1: 4</v>
      </c>
      <c r="N11" t="str">
        <f>$G$11</f>
        <v>NPV 1: 5</v>
      </c>
    </row>
    <row r="12" spans="1:14">
      <c r="A12">
        <v>1</v>
      </c>
      <c r="B12">
        <f>$B$3</f>
        <v>0</v>
      </c>
      <c r="C12" s="52">
        <f>_xll.CERTEQ(SimData!$L$9:$L$108,$B$12,$D$4,$B$6,$B$5, $B$7,$B$8,$B$9)</f>
        <v>459136.74833984656</v>
      </c>
      <c r="D12" s="52">
        <f>_xll.CERTEQ(SimData!$M$9:$M$108,$B$12,$D$4,$B$6,$B$5, $B$7,$B$8,$B$9)</f>
        <v>487606.92182560527</v>
      </c>
      <c r="E12" s="52">
        <f>_xll.CERTEQ(SimData!$N$9:$N$108,$B$12,$D$4,$B$6,$B$5, $B$7,$B$8,$B$9)</f>
        <v>464821.01762440003</v>
      </c>
      <c r="F12" s="52">
        <f>_xll.CERTEQ(SimData!$O$9:$O$108,$B$12,$D$4,$B$6,$B$5, $B$7,$B$8,$B$9)</f>
        <v>459169.29971517326</v>
      </c>
      <c r="G12" s="52">
        <f>_xll.CERTEQ(SimData!$P$9:$P$108,$B$12,$D$4,$B$6,$B$5, $B$7,$B$8,$B$9)</f>
        <v>430650.2991664242</v>
      </c>
      <c r="I12">
        <f>$B$12</f>
        <v>0</v>
      </c>
      <c r="J12" s="54">
        <f>$C$12-HLOOKUP($I$3,$C$11:$G$36,$A$12+1,FALSE)</f>
        <v>0</v>
      </c>
      <c r="K12" s="54">
        <f>$D$12-HLOOKUP($I$3,$C$11:$G$36,$A$12+1,FALSE)</f>
        <v>28470.173485758714</v>
      </c>
      <c r="L12" s="54">
        <f>$E$12-HLOOKUP($I$3,$C$11:$G$36,$A$12+1,FALSE)</f>
        <v>5684.2692845534766</v>
      </c>
      <c r="M12" s="54">
        <f>$F$12-HLOOKUP($I$3,$C$11:$G$36,$A$12+1,FALSE)</f>
        <v>32.551375326700509</v>
      </c>
      <c r="N12" s="54">
        <f>$G$12-HLOOKUP($I$3,$C$11:$G$36,$A$12+1,FALSE)</f>
        <v>-28486.449173422356</v>
      </c>
    </row>
    <row r="13" spans="1:14">
      <c r="A13">
        <v>2</v>
      </c>
      <c r="B13" s="53">
        <f>$B$12+($B$4-$B$3)/24</f>
        <v>3.7037037037037036E-7</v>
      </c>
      <c r="C13" s="52">
        <f>_xll.CERTEQ(SimData!$L$9:$L$108,$B$13,$D$4,$B$6,$B$5, $B$7,$B$8,$B$9)</f>
        <v>458341.45468490222</v>
      </c>
      <c r="D13" s="52">
        <f>_xll.CERTEQ(SimData!$M$9:$M$108,$B$13,$D$4,$B$6,$B$5, $B$7,$B$8,$B$9)</f>
        <v>486461.42893396836</v>
      </c>
      <c r="E13" s="52">
        <f>_xll.CERTEQ(SimData!$N$9:$N$108,$B$13,$D$4,$B$6,$B$5, $B$7,$B$8,$B$9)</f>
        <v>464147.94472707168</v>
      </c>
      <c r="F13" s="52">
        <f>_xll.CERTEQ(SimData!$O$9:$O$108,$B$13,$D$4,$B$6,$B$5, $B$7,$B$8,$B$9)</f>
        <v>457609.79043954541</v>
      </c>
      <c r="G13" s="52">
        <f>_xll.CERTEQ(SimData!$P$9:$P$108,$B$13,$D$4,$B$6,$B$5, $B$7,$B$8,$B$9)</f>
        <v>430364.12922031764</v>
      </c>
      <c r="I13" s="53">
        <f>$B$13</f>
        <v>3.7037037037037036E-7</v>
      </c>
      <c r="J13" s="54">
        <f>$C$13-HLOOKUP($I$3,$C$11:$G$36,$A$13+1,FALSE)</f>
        <v>0</v>
      </c>
      <c r="K13" s="54">
        <f>$D$13-HLOOKUP($I$3,$C$11:$G$36,$A$13+1,FALSE)</f>
        <v>28119.974249066145</v>
      </c>
      <c r="L13" s="54">
        <f>$E$13-HLOOKUP($I$3,$C$11:$G$36,$A$13+1,FALSE)</f>
        <v>5806.490042169462</v>
      </c>
      <c r="M13" s="54">
        <f>$F$13-HLOOKUP($I$3,$C$11:$G$36,$A$13+1,FALSE)</f>
        <v>-731.66424535680562</v>
      </c>
      <c r="N13" s="54">
        <f>$G$13-HLOOKUP($I$3,$C$11:$G$36,$A$13+1,FALSE)</f>
        <v>-27977.325464584574</v>
      </c>
    </row>
    <row r="14" spans="1:14">
      <c r="A14">
        <v>3</v>
      </c>
      <c r="B14" s="53">
        <f>$B$13+($B$4-$B$3)/24</f>
        <v>7.4074074074074073E-7</v>
      </c>
      <c r="C14" s="52">
        <f>_xll.CERTEQ(SimData!$L$9:$L$108,$B$14,$D$4,$B$6,$B$5, $B$7,$B$8,$B$9)</f>
        <v>457544.29972797132</v>
      </c>
      <c r="D14" s="52">
        <f>_xll.CERTEQ(SimData!$M$9:$M$108,$B$14,$D$4,$B$6,$B$5, $B$7,$B$8,$B$9)</f>
        <v>485312.73764287023</v>
      </c>
      <c r="E14" s="52">
        <f>_xll.CERTEQ(SimData!$N$9:$N$108,$B$14,$D$4,$B$6,$B$5, $B$7,$B$8,$B$9)</f>
        <v>463473.41921429266</v>
      </c>
      <c r="F14" s="52">
        <f>_xll.CERTEQ(SimData!$O$9:$O$108,$B$14,$D$4,$B$6,$B$5, $B$7,$B$8,$B$9)</f>
        <v>456045.23057314486</v>
      </c>
      <c r="G14" s="52">
        <f>_xll.CERTEQ(SimData!$P$9:$P$108,$B$14,$D$4,$B$6,$B$5, $B$7,$B$8,$B$9)</f>
        <v>430077.55272060627</v>
      </c>
      <c r="I14" s="53">
        <f>$B$14</f>
        <v>7.4074074074074073E-7</v>
      </c>
      <c r="J14" s="54">
        <f>$C$14-HLOOKUP($I$3,$C$11:$G$36,$A$14+1,FALSE)</f>
        <v>0</v>
      </c>
      <c r="K14" s="54">
        <f>$D$14-HLOOKUP($I$3,$C$11:$G$36,$A$14+1,FALSE)</f>
        <v>27768.43791489891</v>
      </c>
      <c r="L14" s="54">
        <f>$E$14-HLOOKUP($I$3,$C$11:$G$36,$A$14+1,FALSE)</f>
        <v>5929.1194863213459</v>
      </c>
      <c r="M14" s="54">
        <f>$F$14-HLOOKUP($I$3,$C$11:$G$36,$A$14+1,FALSE)</f>
        <v>-1499.0691548264585</v>
      </c>
      <c r="N14" s="54">
        <f>$G$14-HLOOKUP($I$3,$C$11:$G$36,$A$14+1,FALSE)</f>
        <v>-27466.747007365047</v>
      </c>
    </row>
    <row r="15" spans="1:14">
      <c r="A15">
        <v>4</v>
      </c>
      <c r="B15" s="53">
        <f>$B$14+($B$4-$B$3)/24</f>
        <v>1.111111111111111E-6</v>
      </c>
      <c r="C15" s="52">
        <f>_xll.CERTEQ(SimData!$L$9:$L$108,$B$15,$D$4,$B$6,$B$5, $B$7,$B$8,$B$9)</f>
        <v>456745.3351420422</v>
      </c>
      <c r="D15" s="52">
        <f>_xll.CERTEQ(SimData!$M$9:$M$108,$B$15,$D$4,$B$6,$B$5, $B$7,$B$8,$B$9)</f>
        <v>484160.95451175852</v>
      </c>
      <c r="E15" s="52">
        <f>_xll.CERTEQ(SimData!$N$9:$N$108,$B$15,$D$4,$B$6,$B$5, $B$7,$B$8,$B$9)</f>
        <v>462797.47818694467</v>
      </c>
      <c r="F15" s="52">
        <f>_xll.CERTEQ(SimData!$O$9:$O$108,$B$15,$D$4,$B$6,$B$5, $B$7,$B$8,$B$9)</f>
        <v>454475.81646284572</v>
      </c>
      <c r="G15" s="52">
        <f>_xll.CERTEQ(SimData!$P$9:$P$108,$B$15,$D$4,$B$6,$B$5, $B$7,$B$8,$B$9)</f>
        <v>429790.57644010935</v>
      </c>
      <c r="I15" s="53">
        <f>$B$15</f>
        <v>1.111111111111111E-6</v>
      </c>
      <c r="J15" s="54">
        <f>$C$15-HLOOKUP($I$3,$C$11:$G$36,$A$15+1,FALSE)</f>
        <v>0</v>
      </c>
      <c r="K15" s="54">
        <f>$D$15-HLOOKUP($I$3,$C$11:$G$36,$A$15+1,FALSE)</f>
        <v>27415.619369716325</v>
      </c>
      <c r="L15" s="54">
        <f>$E$15-HLOOKUP($I$3,$C$11:$G$36,$A$15+1,FALSE)</f>
        <v>6052.1430449024774</v>
      </c>
      <c r="M15" s="54">
        <f>$F$15-HLOOKUP($I$3,$C$11:$G$36,$A$15+1,FALSE)</f>
        <v>-2269.5186791964807</v>
      </c>
      <c r="N15" s="54">
        <f>$G$15-HLOOKUP($I$3,$C$11:$G$36,$A$15+1,FALSE)</f>
        <v>-26954.758701932849</v>
      </c>
    </row>
    <row r="16" spans="1:14">
      <c r="A16">
        <v>5</v>
      </c>
      <c r="B16" s="53">
        <f>$B$15+($B$4-$B$3)/24</f>
        <v>1.4814814814814815E-6</v>
      </c>
      <c r="C16" s="52">
        <f>_xll.CERTEQ(SimData!$L$9:$L$108,$B$16,$D$4,$B$6,$B$5, $B$7,$B$8,$B$9)</f>
        <v>455944.6116628102</v>
      </c>
      <c r="D16" s="52">
        <f>_xll.CERTEQ(SimData!$M$9:$M$108,$B$16,$D$4,$B$6,$B$5, $B$7,$B$8,$B$9)</f>
        <v>483006.18383439758</v>
      </c>
      <c r="E16" s="52">
        <f>_xll.CERTEQ(SimData!$N$9:$N$108,$B$16,$D$4,$B$6,$B$5, $B$7,$B$8,$B$9)</f>
        <v>462120.15812145354</v>
      </c>
      <c r="F16" s="52">
        <f>_xll.CERTEQ(SimData!$O$9:$O$108,$B$16,$D$4,$B$6,$B$5, $B$7,$B$8,$B$9)</f>
        <v>452901.73971269536</v>
      </c>
      <c r="G16" s="52">
        <f>_xll.CERTEQ(SimData!$P$9:$P$108,$B$16,$D$4,$B$6,$B$5, $B$7,$B$8,$B$9)</f>
        <v>429503.20707505697</v>
      </c>
      <c r="I16" s="53">
        <f>$B$16</f>
        <v>1.4814814814814815E-6</v>
      </c>
      <c r="J16" s="54">
        <f>$C$16-HLOOKUP($I$3,$C$11:$G$36,$A$16+1,FALSE)</f>
        <v>0</v>
      </c>
      <c r="K16" s="54">
        <f>$D$16-HLOOKUP($I$3,$C$11:$G$36,$A$16+1,FALSE)</f>
        <v>27061.572171587381</v>
      </c>
      <c r="L16" s="54">
        <f>$E$16-HLOOKUP($I$3,$C$11:$G$36,$A$16+1,FALSE)</f>
        <v>6175.5464586433372</v>
      </c>
      <c r="M16" s="54">
        <f>$F$16-HLOOKUP($I$3,$C$11:$G$36,$A$16+1,FALSE)</f>
        <v>-3042.8719501148444</v>
      </c>
      <c r="N16" s="54">
        <f>$G$16-HLOOKUP($I$3,$C$11:$G$36,$A$16+1,FALSE)</f>
        <v>-26441.404587753233</v>
      </c>
    </row>
    <row r="17" spans="1:14">
      <c r="A17">
        <v>6</v>
      </c>
      <c r="B17" s="53">
        <f>$B$16+($B$4-$B$3)/24</f>
        <v>1.8518518518518519E-6</v>
      </c>
      <c r="C17" s="52">
        <f>_xll.CERTEQ(SimData!$L$9:$L$108,$B$17,$D$4,$B$6,$B$5, $B$7,$B$8,$B$9)</f>
        <v>455142.17915688094</v>
      </c>
      <c r="D17" s="52">
        <f>_xll.CERTEQ(SimData!$M$9:$M$108,$B$17,$D$4,$B$6,$B$5, $B$7,$B$8,$B$9)</f>
        <v>481848.52785889874</v>
      </c>
      <c r="E17" s="52">
        <f>_xll.CERTEQ(SimData!$N$9:$N$108,$B$17,$D$4,$B$6,$B$5, $B$7,$B$8,$B$9)</f>
        <v>461441.49490980495</v>
      </c>
      <c r="F17" s="52">
        <f>_xll.CERTEQ(SimData!$O$9:$O$108,$B$17,$D$4,$B$6,$B$5, $B$7,$B$8,$B$9)</f>
        <v>451323.18777943571</v>
      </c>
      <c r="G17" s="52">
        <f>_xll.CERTEQ(SimData!$P$9:$P$108,$B$17,$D$4,$B$6,$B$5, $B$7,$B$8,$B$9)</f>
        <v>429215.45124774193</v>
      </c>
      <c r="I17" s="53">
        <f>$B$17</f>
        <v>1.8518518518518519E-6</v>
      </c>
      <c r="J17" s="54">
        <f>$C$17-HLOOKUP($I$3,$C$11:$G$36,$A$17+1,FALSE)</f>
        <v>0</v>
      </c>
      <c r="K17" s="54">
        <f>$D$17-HLOOKUP($I$3,$C$11:$G$36,$A$17+1,FALSE)</f>
        <v>26706.3487020178</v>
      </c>
      <c r="L17" s="54">
        <f>$E$17-HLOOKUP($I$3,$C$11:$G$36,$A$17+1,FALSE)</f>
        <v>6299.3157529240125</v>
      </c>
      <c r="M17" s="54">
        <f>$F$17-HLOOKUP($I$3,$C$11:$G$36,$A$17+1,FALSE)</f>
        <v>-3818.9913774452289</v>
      </c>
      <c r="N17" s="54">
        <f>$G$17-HLOOKUP($I$3,$C$11:$G$36,$A$17+1,FALSE)</f>
        <v>-25926.727909139008</v>
      </c>
    </row>
    <row r="18" spans="1:14">
      <c r="A18">
        <v>7</v>
      </c>
      <c r="B18" s="53">
        <f>$B$17+($B$4-$B$3)/24</f>
        <v>2.2222222222222221E-6</v>
      </c>
      <c r="C18" s="52">
        <f>_xll.CERTEQ(SimData!$L$9:$L$108,$B$18,$D$4,$B$6,$B$5, $B$7,$B$8,$B$9)</f>
        <v>454338.0867009245</v>
      </c>
      <c r="D18" s="52">
        <f>_xll.CERTEQ(SimData!$M$9:$M$108,$B$18,$D$4,$B$6,$B$5, $B$7,$B$8,$B$9)</f>
        <v>480688.08704630332</v>
      </c>
      <c r="E18" s="52">
        <f>_xll.CERTEQ(SimData!$N$9:$N$108,$B$18,$D$4,$B$6,$B$5, $B$7,$B$8,$B$9)</f>
        <v>460761.52390570578</v>
      </c>
      <c r="F18" s="52">
        <f>_xll.CERTEQ(SimData!$O$9:$O$108,$B$18,$D$4,$B$6,$B$5, $B$7,$B$8,$B$9)</f>
        <v>449740.34467903565</v>
      </c>
      <c r="G18" s="52">
        <f>_xll.CERTEQ(SimData!$P$9:$P$108,$B$18,$D$4,$B$6,$B$5, $B$7,$B$8,$B$9)</f>
        <v>428927.31550950091</v>
      </c>
      <c r="I18" s="53">
        <f>$B$18</f>
        <v>2.2222222222222221E-6</v>
      </c>
      <c r="J18" s="54">
        <f>$C$18-HLOOKUP($I$3,$C$11:$G$36,$A$18+1,FALSE)</f>
        <v>0</v>
      </c>
      <c r="K18" s="54">
        <f>$D$18-HLOOKUP($I$3,$C$11:$G$36,$A$18+1,FALSE)</f>
        <v>26350.000345378823</v>
      </c>
      <c r="L18" s="54">
        <f>$E$18-HLOOKUP($I$3,$C$11:$G$36,$A$18+1,FALSE)</f>
        <v>6423.4372047812794</v>
      </c>
      <c r="M18" s="54">
        <f>$F$18-HLOOKUP($I$3,$C$11:$G$36,$A$18+1,FALSE)</f>
        <v>-4597.7420218888437</v>
      </c>
      <c r="N18" s="54">
        <f>$G$18-HLOOKUP($I$3,$C$11:$G$36,$A$18+1,FALSE)</f>
        <v>-25410.771191423584</v>
      </c>
    </row>
    <row r="19" spans="1:14">
      <c r="A19">
        <v>8</v>
      </c>
      <c r="B19" s="53">
        <f>$B$18+($B$4-$B$3)/24</f>
        <v>2.5925925925925925E-6</v>
      </c>
      <c r="C19" s="52">
        <f>_xll.CERTEQ(SimData!$L$9:$L$108,$B$19,$D$4,$B$6,$B$5, $B$7,$B$8,$B$9)</f>
        <v>453532.38267146243</v>
      </c>
      <c r="D19" s="52">
        <f>_xll.CERTEQ(SimData!$M$9:$M$108,$B$19,$D$4,$B$6,$B$5, $B$7,$B$8,$B$9)</f>
        <v>479524.9603660584</v>
      </c>
      <c r="E19" s="52">
        <f>_xll.CERTEQ(SimData!$N$9:$N$108,$B$19,$D$4,$B$6,$B$5, $B$7,$B$8,$B$9)</f>
        <v>460080.27997673466</v>
      </c>
      <c r="F19" s="52">
        <f>_xll.CERTEQ(SimData!$O$9:$O$108,$B$19,$D$4,$B$6,$B$5, $B$7,$B$8,$B$9)</f>
        <v>448153.39179774473</v>
      </c>
      <c r="G19" s="52">
        <f>_xll.CERTEQ(SimData!$P$9:$P$108,$B$19,$D$4,$B$6,$B$5, $B$7,$B$8,$B$9)</f>
        <v>428638.80634399835</v>
      </c>
      <c r="I19" s="53">
        <f>$B$19</f>
        <v>2.5925925925925925E-6</v>
      </c>
      <c r="J19" s="54">
        <f>$C$19-HLOOKUP($I$3,$C$11:$G$36,$A$19+1,FALSE)</f>
        <v>0</v>
      </c>
      <c r="K19" s="54">
        <f>$D$19-HLOOKUP($I$3,$C$11:$G$36,$A$19+1,FALSE)</f>
        <v>25992.577694595966</v>
      </c>
      <c r="L19" s="54">
        <f>$E$19-HLOOKUP($I$3,$C$11:$G$36,$A$19+1,FALSE)</f>
        <v>6547.8973052722286</v>
      </c>
      <c r="M19" s="54">
        <f>$F$19-HLOOKUP($I$3,$C$11:$G$36,$A$19+1,FALSE)</f>
        <v>-5378.9908737177029</v>
      </c>
      <c r="N19" s="54">
        <f>$G$19-HLOOKUP($I$3,$C$11:$G$36,$A$19+1,FALSE)</f>
        <v>-24893.576327464078</v>
      </c>
    </row>
    <row r="20" spans="1:14">
      <c r="A20">
        <v>9</v>
      </c>
      <c r="B20" s="53">
        <f>$B$19+($B$4-$B$3)/24</f>
        <v>2.9629629629629629E-6</v>
      </c>
      <c r="C20" s="52">
        <f>_xll.CERTEQ(SimData!$L$9:$L$108,$B$20,$D$4,$B$6,$B$5, $B$7,$B$8,$B$9)</f>
        <v>452725.11484486249</v>
      </c>
      <c r="D20" s="52">
        <f>_xll.CERTEQ(SimData!$M$9:$M$108,$B$20,$D$4,$B$6,$B$5, $B$7,$B$8,$B$9)</f>
        <v>478359.24562633067</v>
      </c>
      <c r="E20" s="52">
        <f>_xll.CERTEQ(SimData!$N$9:$N$108,$B$20,$D$4,$B$6,$B$5, $B$7,$B$8,$B$9)</f>
        <v>459397.79756229697</v>
      </c>
      <c r="F20" s="52">
        <f>_xll.CERTEQ(SimData!$O$9:$O$108,$B$20,$D$4,$B$6,$B$5, $B$7,$B$8,$B$9)</f>
        <v>446562.50879961293</v>
      </c>
      <c r="G20" s="52">
        <f>_xll.CERTEQ(SimData!$P$9:$P$108,$B$20,$D$4,$B$6,$B$5, $B$7,$B$8,$B$9)</f>
        <v>428349.93017082068</v>
      </c>
      <c r="I20" s="53">
        <f>$B$20</f>
        <v>2.9629629629629629E-6</v>
      </c>
      <c r="J20" s="54">
        <f>$C$20-HLOOKUP($I$3,$C$11:$G$36,$A$20+1,FALSE)</f>
        <v>0</v>
      </c>
      <c r="K20" s="54">
        <f>$D$20-HLOOKUP($I$3,$C$11:$G$36,$A$20+1,FALSE)</f>
        <v>25634.130781468179</v>
      </c>
      <c r="L20" s="54">
        <f>$E$20-HLOOKUP($I$3,$C$11:$G$36,$A$20+1,FALSE)</f>
        <v>6672.6827174344799</v>
      </c>
      <c r="M20" s="54">
        <f>$F$20-HLOOKUP($I$3,$C$11:$G$36,$A$20+1,FALSE)</f>
        <v>-6162.6060452495585</v>
      </c>
      <c r="N20" s="54">
        <f>$G$20-HLOOKUP($I$3,$C$11:$G$36,$A$20+1,FALSE)</f>
        <v>-24375.184674041811</v>
      </c>
    </row>
    <row r="21" spans="1:14">
      <c r="A21">
        <v>10</v>
      </c>
      <c r="B21" s="53">
        <f>$B$20+($B$4-$B$3)/24</f>
        <v>3.3333333333333333E-6</v>
      </c>
      <c r="C21" s="52">
        <f>_xll.CERTEQ(SimData!$L$9:$L$108,$B$21,$D$4,$B$6,$B$5, $B$7,$B$8,$B$9)</f>
        <v>451916.33050707058</v>
      </c>
      <c r="D21" s="52">
        <f>_xll.CERTEQ(SimData!$M$9:$M$108,$B$21,$D$4,$B$6,$B$5, $B$7,$B$8,$B$9)</f>
        <v>477191.03983670328</v>
      </c>
      <c r="E21" s="52">
        <f>_xll.CERTEQ(SimData!$N$9:$N$108,$B$21,$D$4,$B$6,$B$5, $B$7,$B$8,$B$9)</f>
        <v>458714.11073714052</v>
      </c>
      <c r="F21" s="52">
        <f>_xll.CERTEQ(SimData!$O$9:$O$108,$B$21,$D$4,$B$6,$B$5, $B$7,$B$8,$B$9)</f>
        <v>444967.87462090462</v>
      </c>
      <c r="G21" s="52">
        <f>_xll.CERTEQ(SimData!$P$9:$P$108,$B$21,$D$4,$B$6,$B$5, $B$7,$B$8,$B$9)</f>
        <v>428060.69334937329</v>
      </c>
      <c r="I21" s="53">
        <f>$B$21</f>
        <v>3.3333333333333333E-6</v>
      </c>
      <c r="J21" s="54">
        <f>$C$21-HLOOKUP($I$3,$C$11:$G$36,$A$21+1,FALSE)</f>
        <v>0</v>
      </c>
      <c r="K21" s="54">
        <f>$D$21-HLOOKUP($I$3,$C$11:$G$36,$A$21+1,FALSE)</f>
        <v>25274.709329632693</v>
      </c>
      <c r="L21" s="54">
        <f>$E$21-HLOOKUP($I$3,$C$11:$G$36,$A$21+1,FALSE)</f>
        <v>6797.7802300699404</v>
      </c>
      <c r="M21" s="54">
        <f>$F$21-HLOOKUP($I$3,$C$11:$G$36,$A$21+1,FALSE)</f>
        <v>-6948.4558861659607</v>
      </c>
      <c r="N21" s="54">
        <f>$G$21-HLOOKUP($I$3,$C$11:$G$36,$A$21+1,FALSE)</f>
        <v>-23855.637157697289</v>
      </c>
    </row>
    <row r="22" spans="1:14">
      <c r="A22">
        <v>11</v>
      </c>
      <c r="B22" s="53">
        <f>$B$21+($B$4-$B$3)/24</f>
        <v>3.7037037037037037E-6</v>
      </c>
      <c r="C22" s="52">
        <f>_xll.CERTEQ(SimData!$L$9:$L$108,$B$22,$D$4,$B$6,$B$5, $B$7,$B$8,$B$9)</f>
        <v>451106.07657250797</v>
      </c>
      <c r="D22" s="52">
        <f>_xll.CERTEQ(SimData!$M$9:$M$108,$B$22,$D$4,$B$6,$B$5, $B$7,$B$8,$B$9)</f>
        <v>476020.43960044935</v>
      </c>
      <c r="E22" s="52">
        <f>_xll.CERTEQ(SimData!$N$9:$N$108,$B$22,$D$4,$B$6,$B$5, $B$7,$B$8,$B$9)</f>
        <v>458029.25328016916</v>
      </c>
      <c r="F22" s="52">
        <f>_xll.CERTEQ(SimData!$O$9:$O$108,$B$22,$D$4,$B$6,$B$5, $B$7,$B$8,$B$9)</f>
        <v>443369.66854040045</v>
      </c>
      <c r="G22" s="52">
        <f>_xll.CERTEQ(SimData!$P$9:$P$108,$B$22,$D$4,$B$6,$B$5, $B$7,$B$8,$B$9)</f>
        <v>427771.10218307126</v>
      </c>
      <c r="I22" s="53">
        <f>$B$22</f>
        <v>3.7037037037037037E-6</v>
      </c>
      <c r="J22" s="54">
        <f>$C$22-HLOOKUP($I$3,$C$11:$G$36,$A$22+1,FALSE)</f>
        <v>0</v>
      </c>
      <c r="K22" s="54">
        <f>$D$22-HLOOKUP($I$3,$C$11:$G$36,$A$22+1,FALSE)</f>
        <v>24914.363027941377</v>
      </c>
      <c r="L22" s="54">
        <f>$E$22-HLOOKUP($I$3,$C$11:$G$36,$A$22+1,FALSE)</f>
        <v>6923.1767076611868</v>
      </c>
      <c r="M22" s="54">
        <f>$F$22-HLOOKUP($I$3,$C$11:$G$36,$A$22+1,FALSE)</f>
        <v>-7736.4080321075162</v>
      </c>
      <c r="N22" s="54">
        <f>$G$22-HLOOKUP($I$3,$C$11:$G$36,$A$22+1,FALSE)</f>
        <v>-23334.974389436713</v>
      </c>
    </row>
    <row r="23" spans="1:14">
      <c r="A23">
        <v>12</v>
      </c>
      <c r="B23" s="53">
        <f>$B$22+($B$4-$B$3)/24</f>
        <v>4.0740740740740742E-6</v>
      </c>
      <c r="C23" s="52">
        <f>_xll.CERTEQ(SimData!$L$9:$L$108,$B$23,$D$4,$B$6,$B$5, $B$7,$B$8,$B$9)</f>
        <v>450294.39971150266</v>
      </c>
      <c r="D23" s="52">
        <f>_xll.CERTEQ(SimData!$M$9:$M$108,$B$23,$D$4,$B$6,$B$5, $B$7,$B$8,$B$9)</f>
        <v>474847.54153318983</v>
      </c>
      <c r="E23" s="52">
        <f>_xll.CERTEQ(SimData!$N$9:$N$108,$B$23,$D$4,$B$6,$B$5, $B$7,$B$8,$B$9)</f>
        <v>457343.25874824921</v>
      </c>
      <c r="F23" s="52">
        <f>_xll.CERTEQ(SimData!$O$9:$O$108,$B$23,$D$4,$B$6,$B$5, $B$7,$B$8,$B$9)</f>
        <v>441768.07131324132</v>
      </c>
      <c r="G23" s="52">
        <f>_xll.CERTEQ(SimData!$P$9:$P$108,$B$23,$D$4,$B$6,$B$5, $B$7,$B$8,$B$9)</f>
        <v>427481.16292381898</v>
      </c>
      <c r="I23" s="53">
        <f>$B$23</f>
        <v>4.0740740740740742E-6</v>
      </c>
      <c r="J23" s="54">
        <f>$C$23-HLOOKUP($I$3,$C$11:$G$36,$A$23+1,FALSE)</f>
        <v>0</v>
      </c>
      <c r="K23" s="54">
        <f>$D$23-HLOOKUP($I$3,$C$11:$G$36,$A$23+1,FALSE)</f>
        <v>24553.141821687168</v>
      </c>
      <c r="L23" s="54">
        <f>$E$23-HLOOKUP($I$3,$C$11:$G$36,$A$23+1,FALSE)</f>
        <v>7048.8590367465513</v>
      </c>
      <c r="M23" s="54">
        <f>$F$23-HLOOKUP($I$3,$C$11:$G$36,$A$23+1,FALSE)</f>
        <v>-8526.3283982613357</v>
      </c>
      <c r="N23" s="54">
        <f>$G$23-HLOOKUP($I$3,$C$11:$G$36,$A$23+1,FALSE)</f>
        <v>-22813.23678768368</v>
      </c>
    </row>
    <row r="24" spans="1:14">
      <c r="A24">
        <v>13</v>
      </c>
      <c r="B24" s="53">
        <f>$B$23+($B$4-$B$3)/24</f>
        <v>4.4444444444444441E-6</v>
      </c>
      <c r="C24" s="52">
        <f>_xll.CERTEQ(SimData!$L$9:$L$108,$B$24,$D$4,$B$6,$B$5, $B$7,$B$8,$B$9)</f>
        <v>449481.34648555005</v>
      </c>
      <c r="D24" s="52">
        <f>_xll.CERTEQ(SimData!$M$9:$M$108,$B$24,$D$4,$B$6,$B$5, $B$7,$B$8,$B$9)</f>
        <v>473672.44270442444</v>
      </c>
      <c r="E24" s="52">
        <f>_xll.CERTEQ(SimData!$N$9:$N$108,$B$24,$D$4,$B$6,$B$5, $B$7,$B$8,$B$9)</f>
        <v>456656.16055467265</v>
      </c>
      <c r="F24" s="52">
        <f>_xll.CERTEQ(SimData!$O$9:$O$108,$B$24,$D$4,$B$6,$B$5, $B$7,$B$8,$B$9)</f>
        <v>440163.26635475166</v>
      </c>
      <c r="G24" s="52">
        <f>_xll.CERTEQ(SimData!$P$9:$P$108,$B$24,$D$4,$B$6,$B$5, $B$7,$B$8,$B$9)</f>
        <v>427190.88177677331</v>
      </c>
      <c r="I24" s="53">
        <f>$B$24</f>
        <v>4.4444444444444441E-6</v>
      </c>
      <c r="J24" s="54">
        <f>$C$24-HLOOKUP($I$3,$C$11:$G$36,$A$24+1,FALSE)</f>
        <v>0</v>
      </c>
      <c r="K24" s="54">
        <f>$D$24-HLOOKUP($I$3,$C$11:$G$36,$A$24+1,FALSE)</f>
        <v>24191.096218874387</v>
      </c>
      <c r="L24" s="54">
        <f>$E$24-HLOOKUP($I$3,$C$11:$G$36,$A$24+1,FALSE)</f>
        <v>7174.8140691225999</v>
      </c>
      <c r="M24" s="54">
        <f>$F$24-HLOOKUP($I$3,$C$11:$G$36,$A$24+1,FALSE)</f>
        <v>-9318.0801307983929</v>
      </c>
      <c r="N24" s="54">
        <f>$G$24-HLOOKUP($I$3,$C$11:$G$36,$A$24+1,FALSE)</f>
        <v>-22290.464708776737</v>
      </c>
    </row>
    <row r="25" spans="1:14">
      <c r="A25">
        <v>14</v>
      </c>
      <c r="B25" s="53">
        <f>$B$24+($B$4-$B$3)/24</f>
        <v>4.8148148148148141E-6</v>
      </c>
      <c r="C25" s="52">
        <f>_xll.CERTEQ(SimData!$L$9:$L$108,$B$25,$D$4,$B$6,$B$5, $B$7,$B$8,$B$9)</f>
        <v>448666.96348962671</v>
      </c>
      <c r="D25" s="52">
        <f>_xll.CERTEQ(SimData!$M$9:$M$108,$B$25,$D$4,$B$6,$B$5, $B$7,$B$8,$B$9)</f>
        <v>472495.24109810032</v>
      </c>
      <c r="E25" s="52">
        <f>_xll.CERTEQ(SimData!$N$9:$N$108,$B$25,$D$4,$B$6,$B$5, $B$7,$B$8,$B$9)</f>
        <v>455967.99205190531</v>
      </c>
      <c r="F25" s="52">
        <f>_xll.CERTEQ(SimData!$O$9:$O$108,$B$25,$D$4,$B$6,$B$5, $B$7,$B$8,$B$9)</f>
        <v>438555.4409595941</v>
      </c>
      <c r="G25" s="52">
        <f>_xll.CERTEQ(SimData!$P$9:$P$108,$B$25,$D$4,$B$6,$B$5, $B$7,$B$8,$B$9)</f>
        <v>426900.2649053756</v>
      </c>
      <c r="I25" s="53">
        <f>$B$25</f>
        <v>4.8148148148148141E-6</v>
      </c>
      <c r="J25" s="54">
        <f>$C$25-HLOOKUP($I$3,$C$11:$G$36,$A$25+1,FALSE)</f>
        <v>0</v>
      </c>
      <c r="K25" s="54">
        <f>$D$25-HLOOKUP($I$3,$C$11:$G$36,$A$25+1,FALSE)</f>
        <v>23828.277608473611</v>
      </c>
      <c r="L25" s="54">
        <f>$E$25-HLOOKUP($I$3,$C$11:$G$36,$A$25+1,FALSE)</f>
        <v>7301.0285622786032</v>
      </c>
      <c r="M25" s="54">
        <f>$F$25-HLOOKUP($I$3,$C$11:$G$36,$A$25+1,FALSE)</f>
        <v>-10111.522530032613</v>
      </c>
      <c r="N25" s="54">
        <f>$G$25-HLOOKUP($I$3,$C$11:$G$36,$A$25+1,FALSE)</f>
        <v>-21766.698584251106</v>
      </c>
    </row>
    <row r="26" spans="1:14">
      <c r="A26">
        <v>15</v>
      </c>
      <c r="B26" s="53">
        <f>$B$25+($B$4-$B$3)/24</f>
        <v>5.1851851851851841E-6</v>
      </c>
      <c r="C26" s="52">
        <f>_xll.CERTEQ(SimData!$L$9:$L$108,$B$26,$D$4,$B$6,$B$5, $B$7,$B$8,$B$9)</f>
        <v>447851.29750072287</v>
      </c>
      <c r="D26" s="52">
        <f>_xll.CERTEQ(SimData!$M$9:$M$108,$B$26,$D$4,$B$6,$B$5, $B$7,$B$8,$B$9)</f>
        <v>471316.03608810087</v>
      </c>
      <c r="E26" s="52">
        <f>_xll.CERTEQ(SimData!$N$9:$N$108,$B$26,$D$4,$B$6,$B$5, $B$7,$B$8,$B$9)</f>
        <v>455278.78661821591</v>
      </c>
      <c r="F26" s="52">
        <f>_xll.CERTEQ(SimData!$O$9:$O$108,$B$26,$D$4,$B$6,$B$5, $B$7,$B$8,$B$9)</f>
        <v>436944.78754069086</v>
      </c>
      <c r="G26" s="52">
        <f>_xll.CERTEQ(SimData!$P$9:$P$108,$B$26,$D$4,$B$6,$B$5, $B$7,$B$8,$B$9)</f>
        <v>426609.31843665097</v>
      </c>
      <c r="I26" s="53">
        <f>$B$26</f>
        <v>5.1851851851851841E-6</v>
      </c>
      <c r="J26" s="54">
        <f>$C$26-HLOOKUP($I$3,$C$11:$G$36,$A$26+1,FALSE)</f>
        <v>0</v>
      </c>
      <c r="K26" s="54">
        <f>$D$26-HLOOKUP($I$3,$C$11:$G$36,$A$26+1,FALSE)</f>
        <v>23464.738587378</v>
      </c>
      <c r="L26" s="54">
        <f>$E$26-HLOOKUP($I$3,$C$11:$G$36,$A$26+1,FALSE)</f>
        <v>7427.4891174930381</v>
      </c>
      <c r="M26" s="54">
        <f>$F$26-HLOOKUP($I$3,$C$11:$G$36,$A$26+1,FALSE)</f>
        <v>-10906.50996003201</v>
      </c>
      <c r="N26" s="54">
        <f>$G$26-HLOOKUP($I$3,$C$11:$G$36,$A$26+1,FALSE)</f>
        <v>-21241.9790640719</v>
      </c>
    </row>
    <row r="27" spans="1:14">
      <c r="A27">
        <v>16</v>
      </c>
      <c r="B27" s="53">
        <f>$B$26+($B$4-$B$3)/24</f>
        <v>5.5555555555555541E-6</v>
      </c>
      <c r="C27" s="52">
        <f>_xll.CERTEQ(SimData!$L$9:$L$108,$B$27,$D$4,$B$6,$B$5, $B$7,$B$8,$B$9)</f>
        <v>447034.3956316933</v>
      </c>
      <c r="D27" s="52">
        <f>_xll.CERTEQ(SimData!$M$9:$M$108,$B$27,$D$4,$B$6,$B$5, $B$7,$B$8,$B$9)</f>
        <v>470134.92892427981</v>
      </c>
      <c r="E27" s="52">
        <f>_xll.CERTEQ(SimData!$N$9:$N$108,$B$27,$D$4,$B$6,$B$5, $B$7,$B$8,$B$9)</f>
        <v>454588.57774775737</v>
      </c>
      <c r="F27" s="52">
        <f>_xll.CERTEQ(SimData!$O$9:$O$108,$B$27,$D$4,$B$6,$B$5, $B$7,$B$8,$B$9)</f>
        <v>435331.5048716141</v>
      </c>
      <c r="G27" s="52">
        <f>_xll.CERTEQ(SimData!$P$9:$P$108,$B$27,$D$4,$B$6,$B$5, $B$7,$B$8,$B$9)</f>
        <v>426318.04846675886</v>
      </c>
      <c r="I27" s="53">
        <f>$B$27</f>
        <v>5.5555555555555541E-6</v>
      </c>
      <c r="J27" s="54">
        <f>$C$27-HLOOKUP($I$3,$C$11:$G$36,$A$27+1,FALSE)</f>
        <v>0</v>
      </c>
      <c r="K27" s="54">
        <f>$D$27-HLOOKUP($I$3,$C$11:$G$36,$A$27+1,FALSE)</f>
        <v>23100.533292586508</v>
      </c>
      <c r="L27" s="54">
        <f>$E$27-HLOOKUP($I$3,$C$11:$G$36,$A$27+1,FALSE)</f>
        <v>7554.1821160640684</v>
      </c>
      <c r="M27" s="54">
        <f>$F$27-HLOOKUP($I$3,$C$11:$G$36,$A$27+1,FALSE)</f>
        <v>-11702.890760079201</v>
      </c>
      <c r="N27" s="54">
        <f>$G$27-HLOOKUP($I$3,$C$11:$G$36,$A$27+1,FALSE)</f>
        <v>-20716.347164934443</v>
      </c>
    </row>
    <row r="28" spans="1:14">
      <c r="A28">
        <v>17</v>
      </c>
      <c r="B28" s="53">
        <f>$B$27+($B$4-$B$3)/24</f>
        <v>5.9259259259259241E-6</v>
      </c>
      <c r="C28" s="52">
        <f>_xll.CERTEQ(SimData!$L$9:$L$108,$B$28,$D$4,$B$6,$B$5, $B$7,$B$8,$B$9)</f>
        <v>446216.30548947392</v>
      </c>
      <c r="D28" s="52">
        <f>_xll.CERTEQ(SimData!$M$9:$M$108,$B$28,$D$4,$B$6,$B$5, $B$7,$B$8,$B$9)</f>
        <v>468952.02322445571</v>
      </c>
      <c r="E28" s="52">
        <f>_xll.CERTEQ(SimData!$N$9:$N$108,$B$28,$D$4,$B$6,$B$5, $B$7,$B$8,$B$9)</f>
        <v>453897.39914363646</v>
      </c>
      <c r="F28" s="52">
        <f>_xll.CERTEQ(SimData!$O$9:$O$108,$B$28,$D$4,$B$6,$B$5, $B$7,$B$8,$B$9)</f>
        <v>433715.79931560275</v>
      </c>
      <c r="G28" s="52">
        <f>_xll.CERTEQ(SimData!$P$9:$P$108,$B$28,$D$4,$B$6,$B$5, $B$7,$B$8,$B$9)</f>
        <v>426026.46106678713</v>
      </c>
      <c r="I28" s="53">
        <f>$B$28</f>
        <v>5.9259259259259241E-6</v>
      </c>
      <c r="J28" s="54">
        <f>$C$28-HLOOKUP($I$3,$C$11:$G$36,$A$28+1,FALSE)</f>
        <v>0</v>
      </c>
      <c r="K28" s="54">
        <f>$D$28-HLOOKUP($I$3,$C$11:$G$36,$A$28+1,FALSE)</f>
        <v>22735.717734981794</v>
      </c>
      <c r="L28" s="54">
        <f>$E$28-HLOOKUP($I$3,$C$11:$G$36,$A$28+1,FALSE)</f>
        <v>7681.0936541625415</v>
      </c>
      <c r="M28" s="54">
        <f>$F$28-HLOOKUP($I$3,$C$11:$G$36,$A$28+1,FALSE)</f>
        <v>-12500.506173871167</v>
      </c>
      <c r="N28" s="54">
        <f>$G$28-HLOOKUP($I$3,$C$11:$G$36,$A$28+1,FALSE)</f>
        <v>-20189.844422686787</v>
      </c>
    </row>
    <row r="29" spans="1:14">
      <c r="A29">
        <v>18</v>
      </c>
      <c r="B29" s="53">
        <f>$B$28+($B$4-$B$3)/24</f>
        <v>6.2962962962962941E-6</v>
      </c>
      <c r="C29" s="52">
        <f>_xll.CERTEQ(SimData!$L$9:$L$108,$B$29,$D$4,$B$6,$B$5, $B$7,$B$8,$B$9)</f>
        <v>445397.07533666183</v>
      </c>
      <c r="D29" s="52">
        <f>_xll.CERTEQ(SimData!$M$9:$M$108,$B$29,$D$4,$B$6,$B$5, $B$7,$B$8,$B$9)</f>
        <v>467767.42546759546</v>
      </c>
      <c r="E29" s="52">
        <f>_xll.CERTEQ(SimData!$N$9:$N$108,$B$29,$D$4,$B$6,$B$5, $B$7,$B$8,$B$9)</f>
        <v>453205.28481348505</v>
      </c>
      <c r="F29" s="52">
        <f>_xll.CERTEQ(SimData!$O$9:$O$108,$B$29,$D$4,$B$6,$B$5, $B$7,$B$8,$B$9)</f>
        <v>432097.88602404407</v>
      </c>
      <c r="G29" s="52">
        <f>_xll.CERTEQ(SimData!$P$9:$P$108,$B$29,$D$4,$B$6,$B$5, $B$7,$B$8,$B$9)</f>
        <v>425734.56228877796</v>
      </c>
      <c r="I29" s="53">
        <f>$B$29</f>
        <v>6.2962962962962941E-6</v>
      </c>
      <c r="J29" s="54">
        <f>$C$29-HLOOKUP($I$3,$C$11:$G$36,$A$29+1,FALSE)</f>
        <v>0</v>
      </c>
      <c r="K29" s="54">
        <f>$D$29-HLOOKUP($I$3,$C$11:$G$36,$A$29+1,FALSE)</f>
        <v>22370.350130933628</v>
      </c>
      <c r="L29" s="54">
        <f>$E$29-HLOOKUP($I$3,$C$11:$G$36,$A$29+1,FALSE)</f>
        <v>7808.20947682322</v>
      </c>
      <c r="M29" s="54">
        <f>$F$29-HLOOKUP($I$3,$C$11:$G$36,$A$29+1,FALSE)</f>
        <v>-13299.18931261776</v>
      </c>
      <c r="N29" s="54">
        <f>$G$29-HLOOKUP($I$3,$C$11:$G$36,$A$29+1,FALSE)</f>
        <v>-19662.513047883869</v>
      </c>
    </row>
    <row r="30" spans="1:14">
      <c r="A30">
        <v>19</v>
      </c>
      <c r="B30" s="53">
        <f>$B$29+($B$4-$B$3)/24</f>
        <v>6.6666666666666641E-6</v>
      </c>
      <c r="C30" s="52">
        <f>_xll.CERTEQ(SimData!$L$9:$L$108,$B$30,$D$4,$B$6,$B$5, $B$7,$B$8,$B$9)</f>
        <v>444576.75425540865</v>
      </c>
      <c r="D30" s="52">
        <f>_xll.CERTEQ(SimData!$M$9:$M$108,$B$30,$D$4,$B$6,$B$5, $B$7,$B$8,$B$9)</f>
        <v>466581.24548328645</v>
      </c>
      <c r="E30" s="52">
        <f>_xll.CERTEQ(SimData!$N$9:$N$108,$B$30,$D$4,$B$6,$B$5, $B$7,$B$8,$B$9)</f>
        <v>452512.26916702231</v>
      </c>
      <c r="F30" s="52">
        <f>_xll.CERTEQ(SimData!$O$9:$O$108,$B$30,$D$4,$B$6,$B$5, $B$7,$B$8,$B$9)</f>
        <v>430477.99008717103</v>
      </c>
      <c r="G30" s="52">
        <f>_xll.CERTEQ(SimData!$P$9:$P$108,$B$30,$D$4,$B$6,$B$5, $B$7,$B$8,$B$9)</f>
        <v>425442.35817197338</v>
      </c>
      <c r="I30" s="53">
        <f>$B$30</f>
        <v>6.6666666666666641E-6</v>
      </c>
      <c r="J30" s="54">
        <f>$C$30-HLOOKUP($I$3,$C$11:$G$36,$A$30+1,FALSE)</f>
        <v>0</v>
      </c>
      <c r="K30" s="54">
        <f>$D$30-HLOOKUP($I$3,$C$11:$G$36,$A$30+1,FALSE)</f>
        <v>22004.491227877792</v>
      </c>
      <c r="L30" s="54">
        <f>$E$30-HLOOKUP($I$3,$C$11:$G$36,$A$30+1,FALSE)</f>
        <v>7935.5149116136599</v>
      </c>
      <c r="M30" s="54">
        <f>$F$30-HLOOKUP($I$3,$C$11:$G$36,$A$30+1,FALSE)</f>
        <v>-14098.764168237627</v>
      </c>
      <c r="N30" s="54">
        <f>$G$30-HLOOKUP($I$3,$C$11:$G$36,$A$30+1,FALSE)</f>
        <v>-19134.396083435277</v>
      </c>
    </row>
    <row r="31" spans="1:14">
      <c r="A31">
        <v>20</v>
      </c>
      <c r="B31" s="53">
        <f>$B$30+($B$4-$B$3)/24</f>
        <v>7.0370370370370341E-6</v>
      </c>
      <c r="C31" s="52">
        <f>_xll.CERTEQ(SimData!$L$9:$L$108,$B$31,$D$4,$B$6,$B$5, $B$7,$B$8,$B$9)</f>
        <v>443755.39231254294</v>
      </c>
      <c r="D31" s="52">
        <f>_xll.CERTEQ(SimData!$M$9:$M$108,$B$31,$D$4,$B$6,$B$5, $B$7,$B$8,$B$9)</f>
        <v>465393.59693250793</v>
      </c>
      <c r="E31" s="52">
        <f>_xll.CERTEQ(SimData!$N$9:$N$108,$B$31,$D$4,$B$6,$B$5, $B$7,$B$8,$B$9)</f>
        <v>451818.38711507584</v>
      </c>
      <c r="F31" s="52">
        <f>_xll.CERTEQ(SimData!$O$9:$O$108,$B$31,$D$4,$B$6,$B$5, $B$7,$B$8,$B$9)</f>
        <v>428856.34761987766</v>
      </c>
      <c r="G31" s="52">
        <f>_xll.CERTEQ(SimData!$P$9:$P$108,$B$31,$D$4,$B$6,$B$5, $B$7,$B$8,$B$9)</f>
        <v>425149.85474926652</v>
      </c>
      <c r="I31" s="53">
        <f>$B$31</f>
        <v>7.0370370370370341E-6</v>
      </c>
      <c r="J31" s="54">
        <f>$C$31-HLOOKUP($I$3,$C$11:$G$36,$A$31+1,FALSE)</f>
        <v>0</v>
      </c>
      <c r="K31" s="54">
        <f>$D$31-HLOOKUP($I$3,$C$11:$G$36,$A$31+1,FALSE)</f>
        <v>21638.204619964992</v>
      </c>
      <c r="L31" s="54">
        <f>$E$31-HLOOKUP($I$3,$C$11:$G$36,$A$31+1,FALSE)</f>
        <v>8062.9948025328922</v>
      </c>
      <c r="M31" s="54">
        <f>$F$31-HLOOKUP($I$3,$C$11:$G$36,$A$31+1,FALSE)</f>
        <v>-14899.04469266528</v>
      </c>
      <c r="N31" s="54">
        <f>$G$31-HLOOKUP($I$3,$C$11:$G$36,$A$31+1,FALSE)</f>
        <v>-18605.537563276419</v>
      </c>
    </row>
    <row r="32" spans="1:14">
      <c r="A32">
        <v>21</v>
      </c>
      <c r="B32" s="53">
        <f>$B$31+($B$4-$B$3)/24</f>
        <v>7.4074074074074041E-6</v>
      </c>
      <c r="C32" s="52">
        <f>_xll.CERTEQ(SimData!$L$9:$L$108,$B$32,$D$4,$B$6,$B$5, $B$7,$B$8,$B$9)</f>
        <v>442933.04072479979</v>
      </c>
      <c r="D32" s="52">
        <f>_xll.CERTEQ(SimData!$M$9:$M$108,$B$32,$D$4,$B$6,$B$5, $B$7,$B$8,$B$9)</f>
        <v>464204.59777466732</v>
      </c>
      <c r="E32" s="52">
        <f>_xll.CERTEQ(SimData!$N$9:$N$108,$B$32,$D$4,$B$6,$B$5, $B$7,$B$8,$B$9)</f>
        <v>451123.67416950699</v>
      </c>
      <c r="F32" s="52">
        <f>_xll.CERTEQ(SimData!$O$9:$O$108,$B$32,$D$4,$B$6,$B$5, $B$7,$B$8,$B$9)</f>
        <v>427233.20676595828</v>
      </c>
      <c r="G32" s="52">
        <f>_xll.CERTEQ(SimData!$P$9:$P$108,$B$32,$D$4,$B$6,$B$5, $B$7,$B$8,$B$9)</f>
        <v>424857.05805384647</v>
      </c>
      <c r="I32" s="53">
        <f>$B$32</f>
        <v>7.4074074074074041E-6</v>
      </c>
      <c r="J32" s="54">
        <f>$C$32-HLOOKUP($I$3,$C$11:$G$36,$A$32+1,FALSE)</f>
        <v>0</v>
      </c>
      <c r="K32" s="54">
        <f>$D$32-HLOOKUP($I$3,$C$11:$G$36,$A$32+1,FALSE)</f>
        <v>21271.557049867522</v>
      </c>
      <c r="L32" s="54">
        <f>$E$32-HLOOKUP($I$3,$C$11:$G$36,$A$32+1,FALSE)</f>
        <v>8190.6334447072004</v>
      </c>
      <c r="M32" s="54">
        <f>$F$32-HLOOKUP($I$3,$C$11:$G$36,$A$32+1,FALSE)</f>
        <v>-15699.833958841511</v>
      </c>
      <c r="N32" s="54">
        <f>$G$32-HLOOKUP($I$3,$C$11:$G$36,$A$32+1,FALSE)</f>
        <v>-18075.982670953323</v>
      </c>
    </row>
    <row r="33" spans="1:14">
      <c r="A33">
        <v>22</v>
      </c>
      <c r="B33" s="53">
        <f>$B$32+($B$4-$B$3)/24</f>
        <v>7.7777777777777741E-6</v>
      </c>
      <c r="C33" s="52">
        <f>_xll.CERTEQ(SimData!$L$9:$L$108,$B$33,$D$4,$B$6,$B$5, $B$7,$B$8,$B$9)</f>
        <v>442109.75202301843</v>
      </c>
      <c r="D33" s="52">
        <f>_xll.CERTEQ(SimData!$M$9:$M$108,$B$33,$D$4,$B$6,$B$5, $B$7,$B$8,$B$9)</f>
        <v>463014.37071588897</v>
      </c>
      <c r="E33" s="52">
        <f>_xll.CERTEQ(SimData!$N$9:$N$108,$B$33,$D$4,$B$6,$B$5, $B$7,$B$8,$B$9)</f>
        <v>450428.16654347605</v>
      </c>
      <c r="F33" s="52">
        <f>_xll.CERTEQ(SimData!$O$9:$O$108,$B$33,$D$4,$B$6,$B$5, $B$7,$B$8,$B$9)</f>
        <v>425608.82860474457</v>
      </c>
      <c r="G33" s="52">
        <f>_xll.CERTEQ(SimData!$P$9:$P$108,$B$33,$D$4,$B$6,$B$5, $B$7,$B$8,$B$9)</f>
        <v>424563.97412602353</v>
      </c>
      <c r="I33" s="53">
        <f>$B$33</f>
        <v>7.7777777777777741E-6</v>
      </c>
      <c r="J33" s="54">
        <f>$C$33-HLOOKUP($I$3,$C$11:$G$36,$A$33+1,FALSE)</f>
        <v>0</v>
      </c>
      <c r="K33" s="54">
        <f>$D$33-HLOOKUP($I$3,$C$11:$G$36,$A$33+1,FALSE)</f>
        <v>20904.618692870543</v>
      </c>
      <c r="L33" s="54">
        <f>$E$33-HLOOKUP($I$3,$C$11:$G$36,$A$33+1,FALSE)</f>
        <v>8318.4145204576198</v>
      </c>
      <c r="M33" s="54">
        <f>$F$33-HLOOKUP($I$3,$C$11:$G$36,$A$33+1,FALSE)</f>
        <v>-16500.923418273858</v>
      </c>
      <c r="N33" s="54">
        <f>$G$33-HLOOKUP($I$3,$C$11:$G$36,$A$33+1,FALSE)</f>
        <v>-17545.777896994899</v>
      </c>
    </row>
    <row r="34" spans="1:14">
      <c r="A34">
        <v>23</v>
      </c>
      <c r="B34" s="53">
        <f>$B$33+($B$4-$B$3)/24</f>
        <v>8.1481481481481449E-6</v>
      </c>
      <c r="C34" s="52">
        <f>_xll.CERTEQ(SimData!$L$9:$L$108,$B$34,$D$4,$B$6,$B$5, $B$7,$B$8,$B$9)</f>
        <v>441285.58021414466</v>
      </c>
      <c r="D34" s="52">
        <f>_xll.CERTEQ(SimData!$M$9:$M$108,$B$34,$D$4,$B$6,$B$5, $B$7,$B$8,$B$9)</f>
        <v>461823.04363359511</v>
      </c>
      <c r="E34" s="52">
        <f>_xll.CERTEQ(SimData!$N$9:$N$108,$B$34,$D$4,$B$6,$B$5, $B$7,$B$8,$B$9)</f>
        <v>449731.9012514631</v>
      </c>
      <c r="F34" s="52">
        <f>_xll.CERTEQ(SimData!$O$9:$O$108,$B$34,$D$4,$B$6,$B$5, $B$7,$B$8,$B$9)</f>
        <v>423983.48794503172</v>
      </c>
      <c r="G34" s="52">
        <f>_xll.CERTEQ(SimData!$P$9:$P$108,$B$34,$D$4,$B$6,$B$5, $B$7,$B$8,$B$9)</f>
        <v>424270.60902021668</v>
      </c>
      <c r="I34" s="53">
        <f>$B$34</f>
        <v>8.1481481481481449E-6</v>
      </c>
      <c r="J34" s="54">
        <f>$C$34-HLOOKUP($I$3,$C$11:$G$36,$A$34+1,FALSE)</f>
        <v>0</v>
      </c>
      <c r="K34" s="54">
        <f>$D$34-HLOOKUP($I$3,$C$11:$G$36,$A$34+1,FALSE)</f>
        <v>20537.463419450447</v>
      </c>
      <c r="L34" s="54">
        <f>$E$34-HLOOKUP($I$3,$C$11:$G$36,$A$34+1,FALSE)</f>
        <v>8446.3210373184411</v>
      </c>
      <c r="M34" s="54">
        <f>$F$34-HLOOKUP($I$3,$C$11:$G$36,$A$34+1,FALSE)</f>
        <v>-17302.092269112938</v>
      </c>
      <c r="N34" s="54">
        <f>$G$34-HLOOKUP($I$3,$C$11:$G$36,$A$34+1,FALSE)</f>
        <v>-17014.97119392798</v>
      </c>
    </row>
    <row r="35" spans="1:14">
      <c r="A35">
        <v>24</v>
      </c>
      <c r="B35" s="53">
        <f>$B$34+($B$4-$B$3)/24</f>
        <v>8.5185185185185158E-6</v>
      </c>
      <c r="C35" s="52">
        <f>_xll.CERTEQ(SimData!$L$9:$L$108,$B$35,$D$4,$B$6,$B$5, $B$7,$B$8,$B$9)</f>
        <v>440460.58093986916</v>
      </c>
      <c r="D35" s="52">
        <f>_xll.CERTEQ(SimData!$M$9:$M$108,$B$35,$D$4,$B$6,$B$5, $B$7,$B$8,$B$9)</f>
        <v>460630.74997255142</v>
      </c>
      <c r="E35" s="52">
        <f>_xll.CERTEQ(SimData!$N$9:$N$108,$B$35,$D$4,$B$6,$B$5, $B$7,$B$8,$B$9)</f>
        <v>449034.91620845464</v>
      </c>
      <c r="F35" s="52">
        <f>_xll.CERTEQ(SimData!$O$9:$O$108,$B$35,$D$4,$B$6,$B$5, $B$7,$B$8,$B$9)</f>
        <v>422357.47399236122</v>
      </c>
      <c r="G35" s="52">
        <f>_xll.CERTEQ(SimData!$P$9:$P$108,$B$35,$D$4,$B$6,$B$5, $B$7,$B$8,$B$9)</f>
        <v>423976.96881209215</v>
      </c>
      <c r="I35" s="53">
        <f>$B$35</f>
        <v>8.5185185185185158E-6</v>
      </c>
      <c r="J35" s="54">
        <f>$C$35-HLOOKUP($I$3,$C$11:$G$36,$A$35+1,FALSE)</f>
        <v>0</v>
      </c>
      <c r="K35" s="54">
        <f>$D$35-HLOOKUP($I$3,$C$11:$G$36,$A$35+1,FALSE)</f>
        <v>20170.169032682257</v>
      </c>
      <c r="L35" s="54">
        <f>$E$35-HLOOKUP($I$3,$C$11:$G$36,$A$35+1,FALSE)</f>
        <v>8574.335268585477</v>
      </c>
      <c r="M35" s="54">
        <f>$F$35-HLOOKUP($I$3,$C$11:$G$36,$A$35+1,FALSE)</f>
        <v>-18103.106947507942</v>
      </c>
      <c r="N35" s="54">
        <f>$G$35-HLOOKUP($I$3,$C$11:$G$36,$A$35+1,FALSE)</f>
        <v>-16483.612127777014</v>
      </c>
    </row>
    <row r="36" spans="1:14">
      <c r="A36">
        <v>25</v>
      </c>
      <c r="B36" s="53">
        <f>$B$35+($B$4-$B$3)/24</f>
        <v>8.8888888888888866E-6</v>
      </c>
      <c r="C36" s="52">
        <f>_xll.CERTEQ(SimData!$L$9:$L$108,$B$36,$D$4,$B$6,$B$5, $B$7,$B$8,$B$9)</f>
        <v>439634.81163073156</v>
      </c>
      <c r="D36" s="52">
        <f>_xll.CERTEQ(SimData!$M$9:$M$108,$B$36,$D$4,$B$6,$B$5, $B$7,$B$8,$B$9)</f>
        <v>459437.62910771201</v>
      </c>
      <c r="E36" s="52">
        <f>_xll.CERTEQ(SimData!$N$9:$N$108,$B$36,$D$4,$B$6,$B$5, $B$7,$B$8,$B$9)</f>
        <v>448337.25032769761</v>
      </c>
      <c r="F36" s="52">
        <f>_xll.CERTEQ(SimData!$O$9:$O$108,$B$36,$D$4,$B$6,$B$5, $B$7,$B$8,$B$9)</f>
        <v>420731.09087715024</v>
      </c>
      <c r="G36" s="52">
        <f>_xll.CERTEQ(SimData!$P$9:$P$108,$B$36,$D$4,$B$6,$B$5, $B$7,$B$8,$B$9)</f>
        <v>423683.05960583396</v>
      </c>
      <c r="I36" s="53">
        <f>$B$36</f>
        <v>8.8888888888888866E-6</v>
      </c>
      <c r="J36" s="54">
        <f>$C$36-HLOOKUP($I$3,$C$11:$G$36,$A$36+1,FALSE)</f>
        <v>0</v>
      </c>
      <c r="K36" s="54">
        <f>$D$36-HLOOKUP($I$3,$C$11:$G$36,$A$36+1,FALSE)</f>
        <v>19802.817476980446</v>
      </c>
      <c r="L36" s="54">
        <f>$E$36-HLOOKUP($I$3,$C$11:$G$36,$A$36+1,FALSE)</f>
        <v>8702.4386969660409</v>
      </c>
      <c r="M36" s="54">
        <f>$F$36-HLOOKUP($I$3,$C$11:$G$36,$A$36+1,FALSE)</f>
        <v>-18903.720753581321</v>
      </c>
      <c r="N36" s="54">
        <f>$G$36-HLOOKUP($I$3,$C$11:$G$36,$A$36+1,FALSE)</f>
        <v>-15951.752024897607</v>
      </c>
    </row>
  </sheetData>
  <phoneticPr fontId="0" type="noConversion"/>
  <conditionalFormatting sqref="A7">
    <cfRule type="expression" dxfId="1" priority="1" stopIfTrue="1">
      <formula>IF(OR($D$4=3,$D$4=4,$D$4=6,$D$4=7),TRUE,FALSE)</formula>
    </cfRule>
  </conditionalFormatting>
  <conditionalFormatting sqref="A8">
    <cfRule type="expression" dxfId="0" priority="2" stopIfTrue="1">
      <formula>IF($D$4=7,TRUE,FALSE)</formula>
    </cfRule>
  </conditionalFormatting>
  <dataValidations count="2">
    <dataValidation type="whole" allowBlank="1" showInputMessage="1" showErrorMessage="1" sqref="D4">
      <formula1>1</formula1>
      <formula2>7</formula2>
    </dataValidation>
    <dataValidation type="list" allowBlank="1" showInputMessage="1" showErrorMessage="1" sqref="I3">
      <formula1>$C$11:$G$11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SimData</vt:lpstr>
      <vt:lpstr>SERFTbl1</vt:lpstr>
      <vt:lpstr>Chart1</vt:lpstr>
      <vt:lpstr>Sheet1!Print_Area</vt:lpstr>
    </vt:vector>
  </TitlesOfParts>
  <Company>Texas A&amp;M/Ag Economics/AFPC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2002-11-23T03:37:03Z</cp:lastPrinted>
  <dcterms:created xsi:type="dcterms:W3CDTF">1998-07-30T13:29:32Z</dcterms:created>
  <dcterms:modified xsi:type="dcterms:W3CDTF">2011-02-07T04:39:08Z</dcterms:modified>
</cp:coreProperties>
</file>