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7545" windowHeight="4590"/>
  </bookViews>
  <sheets>
    <sheet name="Model" sheetId="1" r:id="rId1"/>
    <sheet name="SimData2" sheetId="5" r:id="rId2"/>
    <sheet name="SimData1" sheetId="4" r:id="rId3"/>
  </sheets>
  <definedNames>
    <definedName name="_xlnm.Print_Area" localSheetId="0">Model!$A$1:$O$173</definedName>
  </definedNames>
  <calcPr calcId="125725"/>
</workbook>
</file>

<file path=xl/calcChain.xml><?xml version="1.0" encoding="utf-8"?>
<calcChain xmlns="http://schemas.openxmlformats.org/spreadsheetml/2006/main">
  <c r="K200" i="1"/>
  <c r="K20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196"/>
  <c r="K191"/>
  <c r="A199"/>
  <c r="A191"/>
  <c r="A192"/>
  <c r="A193"/>
  <c r="A194"/>
  <c r="A195"/>
  <c r="A196"/>
  <c r="A197"/>
  <c r="A198"/>
  <c r="A190"/>
  <c r="I191" s="1"/>
  <c r="A39"/>
  <c r="C3" i="4"/>
  <c r="I47" i="1" s="1"/>
  <c r="D3" i="4"/>
  <c r="J47" i="1"/>
  <c r="E3" i="4"/>
  <c r="F3"/>
  <c r="L47" i="1"/>
  <c r="G3" i="4"/>
  <c r="C4"/>
  <c r="I48" i="1"/>
  <c r="D4" i="4"/>
  <c r="E4"/>
  <c r="K48" i="1"/>
  <c r="F4" i="4"/>
  <c r="G4"/>
  <c r="M48" i="1"/>
  <c r="C5" i="4"/>
  <c r="I49" i="1" s="1"/>
  <c r="C6" i="4"/>
  <c r="I50" i="1"/>
  <c r="D6" i="4"/>
  <c r="J50" i="1" s="1"/>
  <c r="E6" i="4"/>
  <c r="K50" i="1"/>
  <c r="F6" i="4"/>
  <c r="L50" i="1" s="1"/>
  <c r="G6" i="4"/>
  <c r="M50" i="1"/>
  <c r="C7" i="4"/>
  <c r="I51" i="1" s="1"/>
  <c r="D7" i="4"/>
  <c r="J51" i="1"/>
  <c r="E7" i="4"/>
  <c r="K51" i="1" s="1"/>
  <c r="F7" i="4"/>
  <c r="L51" i="1" s="1"/>
  <c r="G7" i="4"/>
  <c r="M51" i="1" s="1"/>
  <c r="B4" i="4"/>
  <c r="B3"/>
  <c r="B6"/>
  <c r="H50" i="1" s="1"/>
  <c r="B7" i="4"/>
  <c r="H51" i="1"/>
  <c r="H47"/>
  <c r="G519" i="4"/>
  <c r="G517"/>
  <c r="G515"/>
  <c r="G513"/>
  <c r="G511"/>
  <c r="G8"/>
  <c r="F519"/>
  <c r="F517"/>
  <c r="F515"/>
  <c r="F513"/>
  <c r="F511"/>
  <c r="F8"/>
  <c r="E519"/>
  <c r="E517"/>
  <c r="E515"/>
  <c r="E513"/>
  <c r="E511"/>
  <c r="E8"/>
  <c r="D519"/>
  <c r="D517"/>
  <c r="D515"/>
  <c r="D513"/>
  <c r="D511"/>
  <c r="D8"/>
  <c r="C519"/>
  <c r="C517"/>
  <c r="C515"/>
  <c r="C513"/>
  <c r="C511"/>
  <c r="C8"/>
  <c r="B519"/>
  <c r="B517"/>
  <c r="B515"/>
  <c r="B513"/>
  <c r="B511"/>
  <c r="B8"/>
  <c r="T10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2" s="1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5" s="1"/>
  <c r="T186" s="1"/>
  <c r="T187" s="1"/>
  <c r="T188" s="1"/>
  <c r="T189" s="1"/>
  <c r="T190" s="1"/>
  <c r="T191" s="1"/>
  <c r="T192" s="1"/>
  <c r="T193" s="1"/>
  <c r="T194" s="1"/>
  <c r="T195" s="1"/>
  <c r="T196" s="1"/>
  <c r="T197" s="1"/>
  <c r="T198" s="1"/>
  <c r="T199" s="1"/>
  <c r="T200" s="1"/>
  <c r="T201" s="1"/>
  <c r="T202" s="1"/>
  <c r="T203" s="1"/>
  <c r="T204" s="1"/>
  <c r="T205" s="1"/>
  <c r="T206" s="1"/>
  <c r="T207" s="1"/>
  <c r="T208" s="1"/>
  <c r="T209" s="1"/>
  <c r="T210" s="1"/>
  <c r="T211" s="1"/>
  <c r="T212" s="1"/>
  <c r="T213" s="1"/>
  <c r="T214" s="1"/>
  <c r="T215" s="1"/>
  <c r="T216" s="1"/>
  <c r="T217" s="1"/>
  <c r="T218" s="1"/>
  <c r="T219" s="1"/>
  <c r="T220" s="1"/>
  <c r="T221" s="1"/>
  <c r="T222" s="1"/>
  <c r="T223" s="1"/>
  <c r="T224" s="1"/>
  <c r="T225" s="1"/>
  <c r="T226" s="1"/>
  <c r="T227" s="1"/>
  <c r="T228" s="1"/>
  <c r="T229" s="1"/>
  <c r="T230" s="1"/>
  <c r="T231" s="1"/>
  <c r="T232" s="1"/>
  <c r="T233" s="1"/>
  <c r="T234" s="1"/>
  <c r="T235" s="1"/>
  <c r="T236" s="1"/>
  <c r="T237" s="1"/>
  <c r="T238" s="1"/>
  <c r="T239" s="1"/>
  <c r="T240" s="1"/>
  <c r="T241" s="1"/>
  <c r="T242" s="1"/>
  <c r="T243" s="1"/>
  <c r="T244" s="1"/>
  <c r="T245" s="1"/>
  <c r="T246" s="1"/>
  <c r="T247" s="1"/>
  <c r="T248" s="1"/>
  <c r="T249" s="1"/>
  <c r="T250" s="1"/>
  <c r="T251" s="1"/>
  <c r="T252" s="1"/>
  <c r="T253" s="1"/>
  <c r="T254" s="1"/>
  <c r="T255" s="1"/>
  <c r="T256" s="1"/>
  <c r="T257" s="1"/>
  <c r="T258" s="1"/>
  <c r="T259" s="1"/>
  <c r="T260" s="1"/>
  <c r="T261" s="1"/>
  <c r="T262" s="1"/>
  <c r="T263" s="1"/>
  <c r="T264" s="1"/>
  <c r="T265" s="1"/>
  <c r="T266" s="1"/>
  <c r="T267" s="1"/>
  <c r="T268" s="1"/>
  <c r="T269" s="1"/>
  <c r="T270" s="1"/>
  <c r="T271" s="1"/>
  <c r="T272" s="1"/>
  <c r="T273" s="1"/>
  <c r="T274" s="1"/>
  <c r="T275" s="1"/>
  <c r="T276" s="1"/>
  <c r="T277" s="1"/>
  <c r="T278" s="1"/>
  <c r="T279" s="1"/>
  <c r="T280" s="1"/>
  <c r="T281" s="1"/>
  <c r="T282" s="1"/>
  <c r="T283" s="1"/>
  <c r="T284" s="1"/>
  <c r="T285" s="1"/>
  <c r="T286" s="1"/>
  <c r="T287" s="1"/>
  <c r="T288" s="1"/>
  <c r="T289" s="1"/>
  <c r="T290" s="1"/>
  <c r="T291" s="1"/>
  <c r="T292" s="1"/>
  <c r="T293" s="1"/>
  <c r="T294" s="1"/>
  <c r="T295" s="1"/>
  <c r="T296" s="1"/>
  <c r="T297" s="1"/>
  <c r="T298" s="1"/>
  <c r="T299" s="1"/>
  <c r="T300" s="1"/>
  <c r="T301" s="1"/>
  <c r="T302" s="1"/>
  <c r="T303" s="1"/>
  <c r="T304" s="1"/>
  <c r="T305" s="1"/>
  <c r="T306" s="1"/>
  <c r="T307" s="1"/>
  <c r="T308" s="1"/>
  <c r="T309" s="1"/>
  <c r="T310" s="1"/>
  <c r="T311" s="1"/>
  <c r="T312" s="1"/>
  <c r="T313" s="1"/>
  <c r="T314" s="1"/>
  <c r="T315" s="1"/>
  <c r="T316" s="1"/>
  <c r="T317" s="1"/>
  <c r="T318" s="1"/>
  <c r="T319" s="1"/>
  <c r="T320" s="1"/>
  <c r="T321" s="1"/>
  <c r="T322" s="1"/>
  <c r="T323" s="1"/>
  <c r="T324" s="1"/>
  <c r="T325" s="1"/>
  <c r="T326" s="1"/>
  <c r="T327" s="1"/>
  <c r="T328" s="1"/>
  <c r="T329" s="1"/>
  <c r="T330" s="1"/>
  <c r="T331" s="1"/>
  <c r="T332" s="1"/>
  <c r="T333" s="1"/>
  <c r="T334" s="1"/>
  <c r="T335" s="1"/>
  <c r="T336" s="1"/>
  <c r="T337" s="1"/>
  <c r="T338" s="1"/>
  <c r="T339" s="1"/>
  <c r="T340" s="1"/>
  <c r="T341" s="1"/>
  <c r="T342" s="1"/>
  <c r="T343" s="1"/>
  <c r="T344" s="1"/>
  <c r="T345" s="1"/>
  <c r="T346" s="1"/>
  <c r="T347" s="1"/>
  <c r="T348" s="1"/>
  <c r="T349" s="1"/>
  <c r="T350" s="1"/>
  <c r="T351" s="1"/>
  <c r="T352" s="1"/>
  <c r="T353" s="1"/>
  <c r="T354" s="1"/>
  <c r="T355" s="1"/>
  <c r="T356" s="1"/>
  <c r="T357" s="1"/>
  <c r="T358" s="1"/>
  <c r="T359" s="1"/>
  <c r="T360" s="1"/>
  <c r="T361" s="1"/>
  <c r="T362" s="1"/>
  <c r="T363" s="1"/>
  <c r="T364" s="1"/>
  <c r="T365" s="1"/>
  <c r="T366" s="1"/>
  <c r="T367" s="1"/>
  <c r="T368" s="1"/>
  <c r="T369" s="1"/>
  <c r="T370" s="1"/>
  <c r="T371" s="1"/>
  <c r="T372" s="1"/>
  <c r="T373" s="1"/>
  <c r="T374" s="1"/>
  <c r="T375" s="1"/>
  <c r="T376" s="1"/>
  <c r="T377" s="1"/>
  <c r="T378" s="1"/>
  <c r="T379" s="1"/>
  <c r="T380" s="1"/>
  <c r="T381" s="1"/>
  <c r="T382" s="1"/>
  <c r="T383" s="1"/>
  <c r="T384" s="1"/>
  <c r="T385" s="1"/>
  <c r="T386" s="1"/>
  <c r="T387" s="1"/>
  <c r="T388" s="1"/>
  <c r="T389" s="1"/>
  <c r="T390" s="1"/>
  <c r="T391" s="1"/>
  <c r="T392" s="1"/>
  <c r="T393" s="1"/>
  <c r="T394" s="1"/>
  <c r="T395" s="1"/>
  <c r="T396" s="1"/>
  <c r="T397" s="1"/>
  <c r="T398" s="1"/>
  <c r="T399" s="1"/>
  <c r="T400" s="1"/>
  <c r="T401" s="1"/>
  <c r="T402" s="1"/>
  <c r="T403" s="1"/>
  <c r="T404" s="1"/>
  <c r="T405" s="1"/>
  <c r="T406" s="1"/>
  <c r="T407" s="1"/>
  <c r="T408" s="1"/>
  <c r="T409" s="1"/>
  <c r="T410" s="1"/>
  <c r="T411" s="1"/>
  <c r="T412" s="1"/>
  <c r="T413" s="1"/>
  <c r="T414" s="1"/>
  <c r="T415" s="1"/>
  <c r="T416" s="1"/>
  <c r="T417" s="1"/>
  <c r="T418" s="1"/>
  <c r="T419" s="1"/>
  <c r="T420" s="1"/>
  <c r="T421" s="1"/>
  <c r="T422" s="1"/>
  <c r="T423" s="1"/>
  <c r="T424" s="1"/>
  <c r="T425" s="1"/>
  <c r="T426" s="1"/>
  <c r="T427" s="1"/>
  <c r="T428" s="1"/>
  <c r="T429" s="1"/>
  <c r="T430" s="1"/>
  <c r="T431" s="1"/>
  <c r="T432" s="1"/>
  <c r="T433" s="1"/>
  <c r="T434" s="1"/>
  <c r="T435" s="1"/>
  <c r="T436" s="1"/>
  <c r="T437" s="1"/>
  <c r="T438" s="1"/>
  <c r="T439" s="1"/>
  <c r="T440" s="1"/>
  <c r="T441" s="1"/>
  <c r="T442" s="1"/>
  <c r="T443" s="1"/>
  <c r="T444" s="1"/>
  <c r="T445" s="1"/>
  <c r="T446" s="1"/>
  <c r="T447" s="1"/>
  <c r="T448" s="1"/>
  <c r="T449" s="1"/>
  <c r="T450" s="1"/>
  <c r="T451" s="1"/>
  <c r="T452" s="1"/>
  <c r="T453" s="1"/>
  <c r="T454" s="1"/>
  <c r="T455" s="1"/>
  <c r="T456" s="1"/>
  <c r="T457" s="1"/>
  <c r="T458" s="1"/>
  <c r="T459" s="1"/>
  <c r="T460" s="1"/>
  <c r="T461" s="1"/>
  <c r="T462" s="1"/>
  <c r="T463" s="1"/>
  <c r="T464" s="1"/>
  <c r="T465" s="1"/>
  <c r="T466" s="1"/>
  <c r="T467" s="1"/>
  <c r="T468" s="1"/>
  <c r="T469" s="1"/>
  <c r="T470" s="1"/>
  <c r="T471" s="1"/>
  <c r="T472" s="1"/>
  <c r="T473" s="1"/>
  <c r="T474" s="1"/>
  <c r="T475" s="1"/>
  <c r="T476" s="1"/>
  <c r="T477" s="1"/>
  <c r="T478" s="1"/>
  <c r="T479" s="1"/>
  <c r="T480" s="1"/>
  <c r="T481" s="1"/>
  <c r="T482" s="1"/>
  <c r="T483" s="1"/>
  <c r="T484" s="1"/>
  <c r="T485" s="1"/>
  <c r="T486" s="1"/>
  <c r="T487" s="1"/>
  <c r="T488" s="1"/>
  <c r="T489" s="1"/>
  <c r="T490" s="1"/>
  <c r="T491" s="1"/>
  <c r="T492" s="1"/>
  <c r="T493" s="1"/>
  <c r="T494" s="1"/>
  <c r="T495" s="1"/>
  <c r="T496" s="1"/>
  <c r="T497" s="1"/>
  <c r="T498" s="1"/>
  <c r="T499" s="1"/>
  <c r="T500" s="1"/>
  <c r="T501" s="1"/>
  <c r="T502" s="1"/>
  <c r="T503" s="1"/>
  <c r="T504" s="1"/>
  <c r="T505" s="1"/>
  <c r="T506" s="1"/>
  <c r="T507" s="1"/>
  <c r="T508" s="1"/>
  <c r="S508"/>
  <c r="R10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7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R285" s="1"/>
  <c r="R286" s="1"/>
  <c r="R287" s="1"/>
  <c r="R288" s="1"/>
  <c r="R289" s="1"/>
  <c r="R290" s="1"/>
  <c r="R291" s="1"/>
  <c r="R292" s="1"/>
  <c r="R293" s="1"/>
  <c r="R294" s="1"/>
  <c r="R295" s="1"/>
  <c r="R296" s="1"/>
  <c r="R297" s="1"/>
  <c r="R298" s="1"/>
  <c r="R299" s="1"/>
  <c r="R300" s="1"/>
  <c r="R301" s="1"/>
  <c r="R302" s="1"/>
  <c r="R303" s="1"/>
  <c r="R304" s="1"/>
  <c r="R305" s="1"/>
  <c r="R306" s="1"/>
  <c r="R307" s="1"/>
  <c r="R308" s="1"/>
  <c r="R309" s="1"/>
  <c r="R310" s="1"/>
  <c r="R311" s="1"/>
  <c r="R312" s="1"/>
  <c r="R313" s="1"/>
  <c r="R314" s="1"/>
  <c r="R315" s="1"/>
  <c r="R316" s="1"/>
  <c r="R317" s="1"/>
  <c r="R318" s="1"/>
  <c r="R319" s="1"/>
  <c r="R320" s="1"/>
  <c r="R321" s="1"/>
  <c r="R322" s="1"/>
  <c r="R323" s="1"/>
  <c r="R324" s="1"/>
  <c r="R325" s="1"/>
  <c r="R326" s="1"/>
  <c r="R327" s="1"/>
  <c r="R328" s="1"/>
  <c r="R329" s="1"/>
  <c r="R330" s="1"/>
  <c r="R331" s="1"/>
  <c r="R332" s="1"/>
  <c r="R333" s="1"/>
  <c r="R334" s="1"/>
  <c r="R335" s="1"/>
  <c r="R336" s="1"/>
  <c r="R337" s="1"/>
  <c r="R338" s="1"/>
  <c r="R339" s="1"/>
  <c r="R340" s="1"/>
  <c r="R341" s="1"/>
  <c r="R342" s="1"/>
  <c r="R343" s="1"/>
  <c r="R344" s="1"/>
  <c r="R345" s="1"/>
  <c r="R346" s="1"/>
  <c r="R347" s="1"/>
  <c r="R348" s="1"/>
  <c r="R349" s="1"/>
  <c r="R350" s="1"/>
  <c r="R351" s="1"/>
  <c r="R352" s="1"/>
  <c r="R353" s="1"/>
  <c r="R354" s="1"/>
  <c r="R355" s="1"/>
  <c r="R356" s="1"/>
  <c r="R357" s="1"/>
  <c r="R358" s="1"/>
  <c r="R359" s="1"/>
  <c r="R360" s="1"/>
  <c r="R361" s="1"/>
  <c r="R362" s="1"/>
  <c r="R363" s="1"/>
  <c r="R364" s="1"/>
  <c r="R365" s="1"/>
  <c r="R366" s="1"/>
  <c r="R367" s="1"/>
  <c r="R368" s="1"/>
  <c r="R369" s="1"/>
  <c r="R370" s="1"/>
  <c r="R371" s="1"/>
  <c r="R372" s="1"/>
  <c r="R373" s="1"/>
  <c r="R374" s="1"/>
  <c r="R375" s="1"/>
  <c r="R376" s="1"/>
  <c r="R377" s="1"/>
  <c r="R378" s="1"/>
  <c r="R379" s="1"/>
  <c r="R380" s="1"/>
  <c r="R381" s="1"/>
  <c r="R382" s="1"/>
  <c r="R383" s="1"/>
  <c r="R384" s="1"/>
  <c r="R385" s="1"/>
  <c r="R386" s="1"/>
  <c r="R387" s="1"/>
  <c r="R388" s="1"/>
  <c r="R389" s="1"/>
  <c r="R390" s="1"/>
  <c r="R391" s="1"/>
  <c r="R392" s="1"/>
  <c r="R393" s="1"/>
  <c r="R394" s="1"/>
  <c r="R395" s="1"/>
  <c r="R396" s="1"/>
  <c r="R397" s="1"/>
  <c r="R398" s="1"/>
  <c r="R399" s="1"/>
  <c r="R400" s="1"/>
  <c r="R401" s="1"/>
  <c r="R402" s="1"/>
  <c r="R403" s="1"/>
  <c r="R404" s="1"/>
  <c r="R405" s="1"/>
  <c r="R406" s="1"/>
  <c r="R407" s="1"/>
  <c r="R408" s="1"/>
  <c r="R409" s="1"/>
  <c r="R410" s="1"/>
  <c r="R411" s="1"/>
  <c r="R412" s="1"/>
  <c r="R413" s="1"/>
  <c r="R414" s="1"/>
  <c r="R415" s="1"/>
  <c r="R416" s="1"/>
  <c r="R417" s="1"/>
  <c r="R418" s="1"/>
  <c r="R419" s="1"/>
  <c r="R420" s="1"/>
  <c r="R421" s="1"/>
  <c r="R422" s="1"/>
  <c r="R423" s="1"/>
  <c r="R424" s="1"/>
  <c r="R425" s="1"/>
  <c r="R426" s="1"/>
  <c r="R427" s="1"/>
  <c r="R428" s="1"/>
  <c r="R429" s="1"/>
  <c r="R430" s="1"/>
  <c r="R431" s="1"/>
  <c r="R432" s="1"/>
  <c r="R433" s="1"/>
  <c r="R434" s="1"/>
  <c r="R435" s="1"/>
  <c r="R436" s="1"/>
  <c r="R437" s="1"/>
  <c r="R438" s="1"/>
  <c r="R439" s="1"/>
  <c r="R440" s="1"/>
  <c r="R441" s="1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R463" s="1"/>
  <c r="R464" s="1"/>
  <c r="R465" s="1"/>
  <c r="R466" s="1"/>
  <c r="R467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R484" s="1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R502" s="1"/>
  <c r="R503" s="1"/>
  <c r="R504" s="1"/>
  <c r="R505" s="1"/>
  <c r="R506" s="1"/>
  <c r="R507" s="1"/>
  <c r="R508" s="1"/>
  <c r="Q508"/>
  <c r="P10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P194" s="1"/>
  <c r="P195" s="1"/>
  <c r="P196" s="1"/>
  <c r="P197" s="1"/>
  <c r="P198" s="1"/>
  <c r="P199" s="1"/>
  <c r="P200" s="1"/>
  <c r="P201" s="1"/>
  <c r="P202" s="1"/>
  <c r="P203" s="1"/>
  <c r="P204" s="1"/>
  <c r="P205" s="1"/>
  <c r="P206" s="1"/>
  <c r="P207" s="1"/>
  <c r="P208" s="1"/>
  <c r="P209" s="1"/>
  <c r="P210" s="1"/>
  <c r="P211" s="1"/>
  <c r="P212" s="1"/>
  <c r="P213" s="1"/>
  <c r="P214" s="1"/>
  <c r="P215" s="1"/>
  <c r="P216" s="1"/>
  <c r="P217" s="1"/>
  <c r="P218" s="1"/>
  <c r="P219" s="1"/>
  <c r="P220" s="1"/>
  <c r="P221" s="1"/>
  <c r="P222" s="1"/>
  <c r="P223" s="1"/>
  <c r="P224" s="1"/>
  <c r="P225" s="1"/>
  <c r="P226" s="1"/>
  <c r="P227" s="1"/>
  <c r="P228" s="1"/>
  <c r="P229" s="1"/>
  <c r="P230" s="1"/>
  <c r="P231" s="1"/>
  <c r="P232" s="1"/>
  <c r="P233" s="1"/>
  <c r="P234" s="1"/>
  <c r="P235" s="1"/>
  <c r="P236" s="1"/>
  <c r="P237" s="1"/>
  <c r="P238" s="1"/>
  <c r="P239" s="1"/>
  <c r="P240" s="1"/>
  <c r="P241" s="1"/>
  <c r="P242" s="1"/>
  <c r="P243" s="1"/>
  <c r="P244" s="1"/>
  <c r="P245" s="1"/>
  <c r="P246" s="1"/>
  <c r="P247" s="1"/>
  <c r="P248" s="1"/>
  <c r="P249" s="1"/>
  <c r="P250" s="1"/>
  <c r="P251" s="1"/>
  <c r="P252" s="1"/>
  <c r="P253" s="1"/>
  <c r="P254" s="1"/>
  <c r="P255" s="1"/>
  <c r="P256" s="1"/>
  <c r="P257" s="1"/>
  <c r="P258" s="1"/>
  <c r="P259" s="1"/>
  <c r="P260" s="1"/>
  <c r="P261" s="1"/>
  <c r="P262" s="1"/>
  <c r="P263" s="1"/>
  <c r="P264" s="1"/>
  <c r="P265" s="1"/>
  <c r="P266" s="1"/>
  <c r="P267" s="1"/>
  <c r="P268" s="1"/>
  <c r="P269" s="1"/>
  <c r="P270" s="1"/>
  <c r="P271" s="1"/>
  <c r="P272" s="1"/>
  <c r="P273" s="1"/>
  <c r="P274" s="1"/>
  <c r="P275" s="1"/>
  <c r="P276" s="1"/>
  <c r="P277" s="1"/>
  <c r="P278" s="1"/>
  <c r="P279" s="1"/>
  <c r="P280" s="1"/>
  <c r="P281" s="1"/>
  <c r="P282" s="1"/>
  <c r="P283" s="1"/>
  <c r="P284" s="1"/>
  <c r="P285" s="1"/>
  <c r="P286" s="1"/>
  <c r="P287" s="1"/>
  <c r="P288" s="1"/>
  <c r="P289" s="1"/>
  <c r="P290" s="1"/>
  <c r="P291" s="1"/>
  <c r="P292" s="1"/>
  <c r="P293" s="1"/>
  <c r="P294" s="1"/>
  <c r="P295" s="1"/>
  <c r="P296" s="1"/>
  <c r="P297" s="1"/>
  <c r="P298" s="1"/>
  <c r="P299" s="1"/>
  <c r="P300" s="1"/>
  <c r="P301" s="1"/>
  <c r="P302" s="1"/>
  <c r="P303" s="1"/>
  <c r="P304" s="1"/>
  <c r="P305" s="1"/>
  <c r="P306" s="1"/>
  <c r="P307" s="1"/>
  <c r="P308" s="1"/>
  <c r="P309" s="1"/>
  <c r="P310" s="1"/>
  <c r="P311" s="1"/>
  <c r="P312" s="1"/>
  <c r="P313" s="1"/>
  <c r="P314" s="1"/>
  <c r="P315" s="1"/>
  <c r="P316" s="1"/>
  <c r="P317" s="1"/>
  <c r="P318" s="1"/>
  <c r="P319" s="1"/>
  <c r="P320" s="1"/>
  <c r="P321" s="1"/>
  <c r="P322" s="1"/>
  <c r="P323" s="1"/>
  <c r="P324" s="1"/>
  <c r="P325" s="1"/>
  <c r="P326" s="1"/>
  <c r="P327" s="1"/>
  <c r="P328" s="1"/>
  <c r="P329" s="1"/>
  <c r="P330" s="1"/>
  <c r="P331" s="1"/>
  <c r="P332" s="1"/>
  <c r="P333" s="1"/>
  <c r="P334" s="1"/>
  <c r="P335" s="1"/>
  <c r="P336" s="1"/>
  <c r="P337" s="1"/>
  <c r="P338" s="1"/>
  <c r="P339" s="1"/>
  <c r="P340" s="1"/>
  <c r="P341" s="1"/>
  <c r="P342" s="1"/>
  <c r="P343" s="1"/>
  <c r="P344" s="1"/>
  <c r="P345" s="1"/>
  <c r="P346" s="1"/>
  <c r="P347" s="1"/>
  <c r="P348" s="1"/>
  <c r="P349" s="1"/>
  <c r="P350" s="1"/>
  <c r="P351" s="1"/>
  <c r="P352" s="1"/>
  <c r="P353" s="1"/>
  <c r="P354" s="1"/>
  <c r="P355" s="1"/>
  <c r="P356" s="1"/>
  <c r="P357" s="1"/>
  <c r="P358" s="1"/>
  <c r="P359" s="1"/>
  <c r="P360" s="1"/>
  <c r="P361" s="1"/>
  <c r="P362" s="1"/>
  <c r="P363" s="1"/>
  <c r="P364" s="1"/>
  <c r="P365" s="1"/>
  <c r="P366" s="1"/>
  <c r="P367" s="1"/>
  <c r="P368" s="1"/>
  <c r="P369" s="1"/>
  <c r="P370" s="1"/>
  <c r="P371" s="1"/>
  <c r="P372" s="1"/>
  <c r="P373" s="1"/>
  <c r="P374" s="1"/>
  <c r="P375" s="1"/>
  <c r="P376" s="1"/>
  <c r="P377" s="1"/>
  <c r="P378" s="1"/>
  <c r="P379" s="1"/>
  <c r="P380" s="1"/>
  <c r="P381" s="1"/>
  <c r="P382" s="1"/>
  <c r="P383" s="1"/>
  <c r="P384" s="1"/>
  <c r="P385" s="1"/>
  <c r="P386" s="1"/>
  <c r="P387" s="1"/>
  <c r="P388" s="1"/>
  <c r="P389" s="1"/>
  <c r="P390" s="1"/>
  <c r="P391" s="1"/>
  <c r="P392" s="1"/>
  <c r="P393" s="1"/>
  <c r="P394" s="1"/>
  <c r="P395" s="1"/>
  <c r="P396" s="1"/>
  <c r="P397" s="1"/>
  <c r="P398" s="1"/>
  <c r="P399" s="1"/>
  <c r="P400" s="1"/>
  <c r="P401" s="1"/>
  <c r="P402" s="1"/>
  <c r="P403" s="1"/>
  <c r="P404" s="1"/>
  <c r="P405" s="1"/>
  <c r="P406" s="1"/>
  <c r="P407" s="1"/>
  <c r="P408" s="1"/>
  <c r="P409" s="1"/>
  <c r="P410" s="1"/>
  <c r="P411" s="1"/>
  <c r="P412" s="1"/>
  <c r="P413" s="1"/>
  <c r="P414" s="1"/>
  <c r="P415" s="1"/>
  <c r="P416" s="1"/>
  <c r="P417" s="1"/>
  <c r="P418" s="1"/>
  <c r="P419" s="1"/>
  <c r="P420" s="1"/>
  <c r="P421" s="1"/>
  <c r="P422" s="1"/>
  <c r="P423" s="1"/>
  <c r="P424" s="1"/>
  <c r="P425" s="1"/>
  <c r="P426" s="1"/>
  <c r="P427" s="1"/>
  <c r="P428" s="1"/>
  <c r="P429" s="1"/>
  <c r="P430" s="1"/>
  <c r="P431" s="1"/>
  <c r="P432" s="1"/>
  <c r="P433" s="1"/>
  <c r="P434" s="1"/>
  <c r="P435" s="1"/>
  <c r="P436" s="1"/>
  <c r="P437" s="1"/>
  <c r="P438" s="1"/>
  <c r="P439" s="1"/>
  <c r="P440" s="1"/>
  <c r="P441" s="1"/>
  <c r="P442" s="1"/>
  <c r="P443" s="1"/>
  <c r="P444" s="1"/>
  <c r="P445" s="1"/>
  <c r="P446" s="1"/>
  <c r="P447" s="1"/>
  <c r="P448" s="1"/>
  <c r="P449" s="1"/>
  <c r="P450" s="1"/>
  <c r="P451" s="1"/>
  <c r="P452" s="1"/>
  <c r="P453" s="1"/>
  <c r="P454" s="1"/>
  <c r="P455" s="1"/>
  <c r="P456" s="1"/>
  <c r="P457" s="1"/>
  <c r="P458" s="1"/>
  <c r="P459" s="1"/>
  <c r="P460" s="1"/>
  <c r="P461" s="1"/>
  <c r="P462" s="1"/>
  <c r="P463" s="1"/>
  <c r="P464" s="1"/>
  <c r="P465" s="1"/>
  <c r="P466" s="1"/>
  <c r="P467" s="1"/>
  <c r="P468" s="1"/>
  <c r="P469" s="1"/>
  <c r="P470" s="1"/>
  <c r="P471" s="1"/>
  <c r="P472" s="1"/>
  <c r="P473" s="1"/>
  <c r="P474" s="1"/>
  <c r="P475" s="1"/>
  <c r="P476" s="1"/>
  <c r="P477" s="1"/>
  <c r="P478" s="1"/>
  <c r="P479" s="1"/>
  <c r="P480" s="1"/>
  <c r="P481" s="1"/>
  <c r="P482" s="1"/>
  <c r="P483" s="1"/>
  <c r="P484" s="1"/>
  <c r="P485" s="1"/>
  <c r="P486" s="1"/>
  <c r="P487" s="1"/>
  <c r="P488" s="1"/>
  <c r="P489" s="1"/>
  <c r="P490" s="1"/>
  <c r="P491" s="1"/>
  <c r="P492" s="1"/>
  <c r="P493" s="1"/>
  <c r="P494" s="1"/>
  <c r="P495" s="1"/>
  <c r="P496" s="1"/>
  <c r="P497" s="1"/>
  <c r="P498" s="1"/>
  <c r="P499" s="1"/>
  <c r="P500" s="1"/>
  <c r="P501" s="1"/>
  <c r="P502" s="1"/>
  <c r="P503" s="1"/>
  <c r="P504" s="1"/>
  <c r="P505" s="1"/>
  <c r="P506" s="1"/>
  <c r="P507" s="1"/>
  <c r="P508" s="1"/>
  <c r="O508"/>
  <c r="N10"/>
  <c r="N11"/>
  <c r="N12" s="1"/>
  <c r="N13" s="1"/>
  <c r="N14" s="1"/>
  <c r="N15" s="1"/>
  <c r="N16" s="1"/>
  <c r="N17" s="1"/>
  <c r="N18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N293" s="1"/>
  <c r="N294" s="1"/>
  <c r="N295" s="1"/>
  <c r="N296" s="1"/>
  <c r="N297" s="1"/>
  <c r="N298" s="1"/>
  <c r="N299" s="1"/>
  <c r="N300" s="1"/>
  <c r="N301" s="1"/>
  <c r="N302" s="1"/>
  <c r="N303" s="1"/>
  <c r="N304" s="1"/>
  <c r="N305" s="1"/>
  <c r="N306" s="1"/>
  <c r="N307" s="1"/>
  <c r="N308" s="1"/>
  <c r="N309" s="1"/>
  <c r="N310" s="1"/>
  <c r="N311" s="1"/>
  <c r="N312" s="1"/>
  <c r="N313" s="1"/>
  <c r="N314" s="1"/>
  <c r="N315" s="1"/>
  <c r="N316" s="1"/>
  <c r="N317" s="1"/>
  <c r="N318" s="1"/>
  <c r="N319" s="1"/>
  <c r="N320" s="1"/>
  <c r="N321" s="1"/>
  <c r="N322" s="1"/>
  <c r="N323" s="1"/>
  <c r="N324" s="1"/>
  <c r="N325" s="1"/>
  <c r="N326" s="1"/>
  <c r="N327" s="1"/>
  <c r="N328" s="1"/>
  <c r="N329" s="1"/>
  <c r="N330" s="1"/>
  <c r="N331" s="1"/>
  <c r="N332" s="1"/>
  <c r="N333" s="1"/>
  <c r="N334" s="1"/>
  <c r="N335" s="1"/>
  <c r="N336" s="1"/>
  <c r="N337" s="1"/>
  <c r="N338" s="1"/>
  <c r="N339" s="1"/>
  <c r="N340" s="1"/>
  <c r="N341" s="1"/>
  <c r="N342" s="1"/>
  <c r="N343" s="1"/>
  <c r="N344" s="1"/>
  <c r="N345" s="1"/>
  <c r="N346" s="1"/>
  <c r="N347" s="1"/>
  <c r="N348" s="1"/>
  <c r="N349" s="1"/>
  <c r="N350" s="1"/>
  <c r="N351" s="1"/>
  <c r="N352" s="1"/>
  <c r="N353" s="1"/>
  <c r="N354" s="1"/>
  <c r="N355" s="1"/>
  <c r="N356" s="1"/>
  <c r="N357" s="1"/>
  <c r="N358" s="1"/>
  <c r="N359" s="1"/>
  <c r="N360" s="1"/>
  <c r="N361" s="1"/>
  <c r="N362" s="1"/>
  <c r="N363" s="1"/>
  <c r="N364" s="1"/>
  <c r="N365" s="1"/>
  <c r="N366" s="1"/>
  <c r="N367" s="1"/>
  <c r="N368" s="1"/>
  <c r="N369" s="1"/>
  <c r="N370" s="1"/>
  <c r="N371" s="1"/>
  <c r="N372" s="1"/>
  <c r="N373" s="1"/>
  <c r="N374" s="1"/>
  <c r="N375" s="1"/>
  <c r="N376" s="1"/>
  <c r="N377" s="1"/>
  <c r="N378" s="1"/>
  <c r="N379" s="1"/>
  <c r="N380" s="1"/>
  <c r="N381" s="1"/>
  <c r="N382" s="1"/>
  <c r="N383" s="1"/>
  <c r="N384" s="1"/>
  <c r="N385" s="1"/>
  <c r="N386" s="1"/>
  <c r="N387" s="1"/>
  <c r="N388" s="1"/>
  <c r="N389" s="1"/>
  <c r="N390" s="1"/>
  <c r="N391" s="1"/>
  <c r="N392" s="1"/>
  <c r="N393" s="1"/>
  <c r="N394" s="1"/>
  <c r="N395" s="1"/>
  <c r="N396" s="1"/>
  <c r="N397" s="1"/>
  <c r="N398" s="1"/>
  <c r="N399" s="1"/>
  <c r="N400" s="1"/>
  <c r="N401" s="1"/>
  <c r="N402" s="1"/>
  <c r="N403" s="1"/>
  <c r="N404" s="1"/>
  <c r="N405" s="1"/>
  <c r="N406" s="1"/>
  <c r="N407" s="1"/>
  <c r="N408" s="1"/>
  <c r="N409" s="1"/>
  <c r="N410" s="1"/>
  <c r="N411" s="1"/>
  <c r="N412" s="1"/>
  <c r="N413" s="1"/>
  <c r="N414" s="1"/>
  <c r="N415" s="1"/>
  <c r="N416" s="1"/>
  <c r="N417" s="1"/>
  <c r="N418" s="1"/>
  <c r="N419" s="1"/>
  <c r="N420" s="1"/>
  <c r="N421" s="1"/>
  <c r="N422" s="1"/>
  <c r="N423" s="1"/>
  <c r="N424" s="1"/>
  <c r="N425" s="1"/>
  <c r="N426" s="1"/>
  <c r="N427" s="1"/>
  <c r="N428" s="1"/>
  <c r="N429" s="1"/>
  <c r="N430" s="1"/>
  <c r="N431" s="1"/>
  <c r="N432" s="1"/>
  <c r="N433" s="1"/>
  <c r="N434" s="1"/>
  <c r="N435" s="1"/>
  <c r="N436" s="1"/>
  <c r="N437" s="1"/>
  <c r="N438" s="1"/>
  <c r="N439" s="1"/>
  <c r="N440" s="1"/>
  <c r="N441" s="1"/>
  <c r="N442" s="1"/>
  <c r="N443" s="1"/>
  <c r="N444" s="1"/>
  <c r="N445" s="1"/>
  <c r="N446" s="1"/>
  <c r="N447" s="1"/>
  <c r="N448" s="1"/>
  <c r="N449" s="1"/>
  <c r="N450" s="1"/>
  <c r="N451" s="1"/>
  <c r="N452" s="1"/>
  <c r="N453" s="1"/>
  <c r="N454" s="1"/>
  <c r="N455" s="1"/>
  <c r="N456" s="1"/>
  <c r="N457" s="1"/>
  <c r="N458" s="1"/>
  <c r="N459" s="1"/>
  <c r="N460" s="1"/>
  <c r="N461" s="1"/>
  <c r="N462" s="1"/>
  <c r="N463" s="1"/>
  <c r="N464" s="1"/>
  <c r="N465" s="1"/>
  <c r="N466" s="1"/>
  <c r="N467" s="1"/>
  <c r="N468" s="1"/>
  <c r="N469" s="1"/>
  <c r="N470" s="1"/>
  <c r="N471" s="1"/>
  <c r="N472" s="1"/>
  <c r="N473" s="1"/>
  <c r="N474" s="1"/>
  <c r="N475" s="1"/>
  <c r="N476" s="1"/>
  <c r="N477" s="1"/>
  <c r="N478" s="1"/>
  <c r="N479" s="1"/>
  <c r="N480" s="1"/>
  <c r="N481" s="1"/>
  <c r="N482" s="1"/>
  <c r="N483" s="1"/>
  <c r="N484" s="1"/>
  <c r="N485" s="1"/>
  <c r="N486" s="1"/>
  <c r="N487" s="1"/>
  <c r="N488" s="1"/>
  <c r="N489" s="1"/>
  <c r="N490" s="1"/>
  <c r="N491" s="1"/>
  <c r="N492" s="1"/>
  <c r="N493" s="1"/>
  <c r="N494" s="1"/>
  <c r="N495" s="1"/>
  <c r="N496" s="1"/>
  <c r="N497" s="1"/>
  <c r="N498" s="1"/>
  <c r="N499" s="1"/>
  <c r="N500" s="1"/>
  <c r="N501" s="1"/>
  <c r="N502" s="1"/>
  <c r="N503" s="1"/>
  <c r="N504" s="1"/>
  <c r="N505" s="1"/>
  <c r="N506" s="1"/>
  <c r="N507" s="1"/>
  <c r="N508" s="1"/>
  <c r="M508"/>
  <c r="L10"/>
  <c r="L11" s="1"/>
  <c r="L12" s="1"/>
  <c r="L13" s="1"/>
  <c r="L14" s="1"/>
  <c r="L15" s="1"/>
  <c r="L16" s="1"/>
  <c r="L17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L316" s="1"/>
  <c r="L317" s="1"/>
  <c r="L318" s="1"/>
  <c r="L319" s="1"/>
  <c r="L320" s="1"/>
  <c r="L321" s="1"/>
  <c r="L322" s="1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L337" s="1"/>
  <c r="L338" s="1"/>
  <c r="L339" s="1"/>
  <c r="L340" s="1"/>
  <c r="L341" s="1"/>
  <c r="L342" s="1"/>
  <c r="L343" s="1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L358" s="1"/>
  <c r="L359" s="1"/>
  <c r="L360" s="1"/>
  <c r="L361" s="1"/>
  <c r="L362" s="1"/>
  <c r="L363" s="1"/>
  <c r="L364" s="1"/>
  <c r="L365" s="1"/>
  <c r="L366" s="1"/>
  <c r="L367" s="1"/>
  <c r="L368" s="1"/>
  <c r="L369" s="1"/>
  <c r="L370" s="1"/>
  <c r="L371" s="1"/>
  <c r="L372" s="1"/>
  <c r="L373" s="1"/>
  <c r="L374" s="1"/>
  <c r="L375" s="1"/>
  <c r="L376" s="1"/>
  <c r="L377" s="1"/>
  <c r="L378" s="1"/>
  <c r="L379" s="1"/>
  <c r="L380" s="1"/>
  <c r="L381" s="1"/>
  <c r="L382" s="1"/>
  <c r="L383" s="1"/>
  <c r="L384" s="1"/>
  <c r="L385" s="1"/>
  <c r="L386" s="1"/>
  <c r="L387" s="1"/>
  <c r="L388" s="1"/>
  <c r="L389" s="1"/>
  <c r="L390" s="1"/>
  <c r="L391" s="1"/>
  <c r="L392" s="1"/>
  <c r="L393" s="1"/>
  <c r="L394" s="1"/>
  <c r="L395" s="1"/>
  <c r="L396" s="1"/>
  <c r="L397" s="1"/>
  <c r="L398" s="1"/>
  <c r="L399" s="1"/>
  <c r="L400" s="1"/>
  <c r="L401" s="1"/>
  <c r="L402" s="1"/>
  <c r="L403" s="1"/>
  <c r="L404" s="1"/>
  <c r="L405" s="1"/>
  <c r="L406" s="1"/>
  <c r="L407" s="1"/>
  <c r="L408" s="1"/>
  <c r="L409" s="1"/>
  <c r="L410" s="1"/>
  <c r="L411" s="1"/>
  <c r="L412" s="1"/>
  <c r="L413" s="1"/>
  <c r="L414" s="1"/>
  <c r="L415" s="1"/>
  <c r="L416" s="1"/>
  <c r="L417" s="1"/>
  <c r="L418" s="1"/>
  <c r="L419" s="1"/>
  <c r="L420" s="1"/>
  <c r="L421" s="1"/>
  <c r="L422" s="1"/>
  <c r="L423" s="1"/>
  <c r="L424" s="1"/>
  <c r="L425" s="1"/>
  <c r="L426" s="1"/>
  <c r="L427" s="1"/>
  <c r="L428" s="1"/>
  <c r="L429" s="1"/>
  <c r="L430" s="1"/>
  <c r="L431" s="1"/>
  <c r="L432" s="1"/>
  <c r="L433" s="1"/>
  <c r="L434" s="1"/>
  <c r="L435" s="1"/>
  <c r="L436" s="1"/>
  <c r="L437" s="1"/>
  <c r="L438" s="1"/>
  <c r="L439" s="1"/>
  <c r="L440" s="1"/>
  <c r="L441" s="1"/>
  <c r="L442" s="1"/>
  <c r="L443" s="1"/>
  <c r="L444" s="1"/>
  <c r="L445" s="1"/>
  <c r="L446" s="1"/>
  <c r="L447" s="1"/>
  <c r="L448" s="1"/>
  <c r="L449" s="1"/>
  <c r="L450" s="1"/>
  <c r="L451" s="1"/>
  <c r="L452" s="1"/>
  <c r="L453" s="1"/>
  <c r="L454" s="1"/>
  <c r="L455" s="1"/>
  <c r="L456" s="1"/>
  <c r="L457" s="1"/>
  <c r="L458" s="1"/>
  <c r="L459" s="1"/>
  <c r="L460" s="1"/>
  <c r="L461" s="1"/>
  <c r="L462" s="1"/>
  <c r="L463" s="1"/>
  <c r="L464" s="1"/>
  <c r="L465" s="1"/>
  <c r="L466" s="1"/>
  <c r="L467" s="1"/>
  <c r="L468" s="1"/>
  <c r="L469" s="1"/>
  <c r="L470" s="1"/>
  <c r="L471" s="1"/>
  <c r="L472" s="1"/>
  <c r="L473" s="1"/>
  <c r="L474" s="1"/>
  <c r="L475" s="1"/>
  <c r="L476" s="1"/>
  <c r="L477" s="1"/>
  <c r="L478" s="1"/>
  <c r="L479" s="1"/>
  <c r="L480" s="1"/>
  <c r="L481" s="1"/>
  <c r="L482" s="1"/>
  <c r="L483" s="1"/>
  <c r="L484" s="1"/>
  <c r="L485" s="1"/>
  <c r="L486" s="1"/>
  <c r="L487" s="1"/>
  <c r="L488" s="1"/>
  <c r="L489" s="1"/>
  <c r="L490" s="1"/>
  <c r="L491" s="1"/>
  <c r="L492" s="1"/>
  <c r="L493" s="1"/>
  <c r="L494" s="1"/>
  <c r="L495" s="1"/>
  <c r="L496" s="1"/>
  <c r="L497" s="1"/>
  <c r="L498" s="1"/>
  <c r="L499" s="1"/>
  <c r="L500" s="1"/>
  <c r="L501" s="1"/>
  <c r="L502" s="1"/>
  <c r="L503" s="1"/>
  <c r="L504" s="1"/>
  <c r="L505" s="1"/>
  <c r="L506" s="1"/>
  <c r="L507" s="1"/>
  <c r="L508" s="1"/>
  <c r="K508"/>
  <c r="J10"/>
  <c r="J11" s="1"/>
  <c r="J12" s="1"/>
  <c r="J13" s="1"/>
  <c r="J14"/>
  <c r="J15" s="1"/>
  <c r="J16" s="1"/>
  <c r="J17" s="1"/>
  <c r="J18" s="1"/>
  <c r="J19" s="1"/>
  <c r="J20" s="1"/>
  <c r="J2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I508"/>
  <c r="S507"/>
  <c r="Q507"/>
  <c r="O507"/>
  <c r="M507"/>
  <c r="K507"/>
  <c r="I507"/>
  <c r="S506"/>
  <c r="Q506"/>
  <c r="O506"/>
  <c r="M506"/>
  <c r="K506"/>
  <c r="I506"/>
  <c r="S505"/>
  <c r="Q505"/>
  <c r="O505"/>
  <c r="M505"/>
  <c r="K505"/>
  <c r="I505"/>
  <c r="S504"/>
  <c r="Q504"/>
  <c r="O504"/>
  <c r="M504"/>
  <c r="K504"/>
  <c r="I504"/>
  <c r="S503"/>
  <c r="Q503"/>
  <c r="O503"/>
  <c r="M503"/>
  <c r="K503"/>
  <c r="I503"/>
  <c r="S502"/>
  <c r="Q502"/>
  <c r="O502"/>
  <c r="M502"/>
  <c r="K502"/>
  <c r="I502"/>
  <c r="S501"/>
  <c r="Q501"/>
  <c r="O501"/>
  <c r="M501"/>
  <c r="K501"/>
  <c r="I501"/>
  <c r="S500"/>
  <c r="Q500"/>
  <c r="O500"/>
  <c r="M500"/>
  <c r="K500"/>
  <c r="I500"/>
  <c r="S499"/>
  <c r="Q499"/>
  <c r="O499"/>
  <c r="M499"/>
  <c r="K499"/>
  <c r="I499"/>
  <c r="S498"/>
  <c r="Q498"/>
  <c r="O498"/>
  <c r="M498"/>
  <c r="K498"/>
  <c r="I498"/>
  <c r="S497"/>
  <c r="Q497"/>
  <c r="O497"/>
  <c r="M497"/>
  <c r="K497"/>
  <c r="I497"/>
  <c r="S496"/>
  <c r="Q496"/>
  <c r="O496"/>
  <c r="M496"/>
  <c r="K496"/>
  <c r="I496"/>
  <c r="S495"/>
  <c r="Q495"/>
  <c r="O495"/>
  <c r="M495"/>
  <c r="K495"/>
  <c r="I495"/>
  <c r="S494"/>
  <c r="Q494"/>
  <c r="O494"/>
  <c r="M494"/>
  <c r="K494"/>
  <c r="I494"/>
  <c r="S493"/>
  <c r="Q493"/>
  <c r="O493"/>
  <c r="M493"/>
  <c r="K493"/>
  <c r="I493"/>
  <c r="S492"/>
  <c r="Q492"/>
  <c r="O492"/>
  <c r="M492"/>
  <c r="K492"/>
  <c r="I492"/>
  <c r="S491"/>
  <c r="Q491"/>
  <c r="O491"/>
  <c r="M491"/>
  <c r="K491"/>
  <c r="I491"/>
  <c r="S490"/>
  <c r="Q490"/>
  <c r="O490"/>
  <c r="M490"/>
  <c r="K490"/>
  <c r="I490"/>
  <c r="S489"/>
  <c r="Q489"/>
  <c r="O489"/>
  <c r="M489"/>
  <c r="K489"/>
  <c r="I489"/>
  <c r="S488"/>
  <c r="Q488"/>
  <c r="O488"/>
  <c r="M488"/>
  <c r="K488"/>
  <c r="I488"/>
  <c r="S487"/>
  <c r="Q487"/>
  <c r="O487"/>
  <c r="M487"/>
  <c r="K487"/>
  <c r="I487"/>
  <c r="S486"/>
  <c r="Q486"/>
  <c r="O486"/>
  <c r="M486"/>
  <c r="K486"/>
  <c r="I486"/>
  <c r="S485"/>
  <c r="Q485"/>
  <c r="O485"/>
  <c r="M485"/>
  <c r="K485"/>
  <c r="I485"/>
  <c r="S484"/>
  <c r="Q484"/>
  <c r="O484"/>
  <c r="M484"/>
  <c r="K484"/>
  <c r="I484"/>
  <c r="S483"/>
  <c r="Q483"/>
  <c r="O483"/>
  <c r="M483"/>
  <c r="K483"/>
  <c r="I483"/>
  <c r="S482"/>
  <c r="Q482"/>
  <c r="O482"/>
  <c r="M482"/>
  <c r="K482"/>
  <c r="I482"/>
  <c r="S481"/>
  <c r="Q481"/>
  <c r="O481"/>
  <c r="M481"/>
  <c r="K481"/>
  <c r="I481"/>
  <c r="S480"/>
  <c r="Q480"/>
  <c r="O480"/>
  <c r="M480"/>
  <c r="K480"/>
  <c r="I480"/>
  <c r="S479"/>
  <c r="Q479"/>
  <c r="O479"/>
  <c r="M479"/>
  <c r="K479"/>
  <c r="I479"/>
  <c r="S478"/>
  <c r="Q478"/>
  <c r="O478"/>
  <c r="M478"/>
  <c r="K478"/>
  <c r="I478"/>
  <c r="S477"/>
  <c r="Q477"/>
  <c r="O477"/>
  <c r="M477"/>
  <c r="K477"/>
  <c r="I477"/>
  <c r="S476"/>
  <c r="Q476"/>
  <c r="O476"/>
  <c r="M476"/>
  <c r="K476"/>
  <c r="I476"/>
  <c r="S475"/>
  <c r="Q475"/>
  <c r="O475"/>
  <c r="M475"/>
  <c r="K475"/>
  <c r="I475"/>
  <c r="S474"/>
  <c r="Q474"/>
  <c r="O474"/>
  <c r="M474"/>
  <c r="K474"/>
  <c r="I474"/>
  <c r="S473"/>
  <c r="Q473"/>
  <c r="O473"/>
  <c r="M473"/>
  <c r="K473"/>
  <c r="I473"/>
  <c r="S472"/>
  <c r="Q472"/>
  <c r="O472"/>
  <c r="M472"/>
  <c r="K472"/>
  <c r="I472"/>
  <c r="S471"/>
  <c r="Q471"/>
  <c r="O471"/>
  <c r="M471"/>
  <c r="K471"/>
  <c r="I471"/>
  <c r="S470"/>
  <c r="Q470"/>
  <c r="O470"/>
  <c r="M470"/>
  <c r="K470"/>
  <c r="I470"/>
  <c r="S469"/>
  <c r="Q469"/>
  <c r="O469"/>
  <c r="M469"/>
  <c r="K469"/>
  <c r="I469"/>
  <c r="S468"/>
  <c r="Q468"/>
  <c r="O468"/>
  <c r="M468"/>
  <c r="K468"/>
  <c r="I468"/>
  <c r="S467"/>
  <c r="Q467"/>
  <c r="O467"/>
  <c r="M467"/>
  <c r="K467"/>
  <c r="I467"/>
  <c r="S466"/>
  <c r="Q466"/>
  <c r="O466"/>
  <c r="M466"/>
  <c r="K466"/>
  <c r="I466"/>
  <c r="S465"/>
  <c r="Q465"/>
  <c r="O465"/>
  <c r="M465"/>
  <c r="K465"/>
  <c r="I465"/>
  <c r="S464"/>
  <c r="Q464"/>
  <c r="O464"/>
  <c r="M464"/>
  <c r="K464"/>
  <c r="I464"/>
  <c r="S463"/>
  <c r="Q463"/>
  <c r="O463"/>
  <c r="M463"/>
  <c r="K463"/>
  <c r="I463"/>
  <c r="S462"/>
  <c r="Q462"/>
  <c r="O462"/>
  <c r="M462"/>
  <c r="K462"/>
  <c r="I462"/>
  <c r="S461"/>
  <c r="Q461"/>
  <c r="O461"/>
  <c r="M461"/>
  <c r="K461"/>
  <c r="I461"/>
  <c r="S460"/>
  <c r="Q460"/>
  <c r="O460"/>
  <c r="M460"/>
  <c r="K460"/>
  <c r="I460"/>
  <c r="S459"/>
  <c r="Q459"/>
  <c r="O459"/>
  <c r="M459"/>
  <c r="K459"/>
  <c r="I459"/>
  <c r="S458"/>
  <c r="Q458"/>
  <c r="O458"/>
  <c r="M458"/>
  <c r="K458"/>
  <c r="I458"/>
  <c r="S457"/>
  <c r="Q457"/>
  <c r="O457"/>
  <c r="M457"/>
  <c r="K457"/>
  <c r="I457"/>
  <c r="S456"/>
  <c r="Q456"/>
  <c r="O456"/>
  <c r="M456"/>
  <c r="K456"/>
  <c r="I456"/>
  <c r="S455"/>
  <c r="Q455"/>
  <c r="O455"/>
  <c r="M455"/>
  <c r="K455"/>
  <c r="I455"/>
  <c r="S454"/>
  <c r="Q454"/>
  <c r="O454"/>
  <c r="M454"/>
  <c r="K454"/>
  <c r="I454"/>
  <c r="S453"/>
  <c r="Q453"/>
  <c r="O453"/>
  <c r="M453"/>
  <c r="K453"/>
  <c r="I453"/>
  <c r="S452"/>
  <c r="Q452"/>
  <c r="O452"/>
  <c r="M452"/>
  <c r="K452"/>
  <c r="I452"/>
  <c r="S451"/>
  <c r="Q451"/>
  <c r="O451"/>
  <c r="M451"/>
  <c r="K451"/>
  <c r="I451"/>
  <c r="S450"/>
  <c r="Q450"/>
  <c r="O450"/>
  <c r="M450"/>
  <c r="K450"/>
  <c r="I450"/>
  <c r="S449"/>
  <c r="Q449"/>
  <c r="O449"/>
  <c r="M449"/>
  <c r="K449"/>
  <c r="I449"/>
  <c r="S448"/>
  <c r="Q448"/>
  <c r="O448"/>
  <c r="M448"/>
  <c r="K448"/>
  <c r="I448"/>
  <c r="S447"/>
  <c r="Q447"/>
  <c r="O447"/>
  <c r="M447"/>
  <c r="K447"/>
  <c r="I447"/>
  <c r="S446"/>
  <c r="Q446"/>
  <c r="O446"/>
  <c r="M446"/>
  <c r="K446"/>
  <c r="I446"/>
  <c r="S445"/>
  <c r="Q445"/>
  <c r="O445"/>
  <c r="M445"/>
  <c r="K445"/>
  <c r="I445"/>
  <c r="S444"/>
  <c r="Q444"/>
  <c r="O444"/>
  <c r="M444"/>
  <c r="K444"/>
  <c r="I444"/>
  <c r="S443"/>
  <c r="Q443"/>
  <c r="O443"/>
  <c r="M443"/>
  <c r="K443"/>
  <c r="I443"/>
  <c r="S442"/>
  <c r="Q442"/>
  <c r="O442"/>
  <c r="M442"/>
  <c r="K442"/>
  <c r="I442"/>
  <c r="S441"/>
  <c r="Q441"/>
  <c r="O441"/>
  <c r="M441"/>
  <c r="K441"/>
  <c r="I441"/>
  <c r="S440"/>
  <c r="Q440"/>
  <c r="O440"/>
  <c r="M440"/>
  <c r="K440"/>
  <c r="I440"/>
  <c r="S439"/>
  <c r="Q439"/>
  <c r="O439"/>
  <c r="M439"/>
  <c r="K439"/>
  <c r="I439"/>
  <c r="S438"/>
  <c r="Q438"/>
  <c r="O438"/>
  <c r="M438"/>
  <c r="K438"/>
  <c r="I438"/>
  <c r="S437"/>
  <c r="Q437"/>
  <c r="O437"/>
  <c r="M437"/>
  <c r="K437"/>
  <c r="I437"/>
  <c r="S436"/>
  <c r="Q436"/>
  <c r="O436"/>
  <c r="M436"/>
  <c r="K436"/>
  <c r="I436"/>
  <c r="S435"/>
  <c r="Q435"/>
  <c r="O435"/>
  <c r="M435"/>
  <c r="K435"/>
  <c r="I435"/>
  <c r="S434"/>
  <c r="Q434"/>
  <c r="O434"/>
  <c r="M434"/>
  <c r="K434"/>
  <c r="I434"/>
  <c r="S433"/>
  <c r="Q433"/>
  <c r="O433"/>
  <c r="M433"/>
  <c r="K433"/>
  <c r="I433"/>
  <c r="S432"/>
  <c r="Q432"/>
  <c r="O432"/>
  <c r="M432"/>
  <c r="K432"/>
  <c r="I432"/>
  <c r="S431"/>
  <c r="Q431"/>
  <c r="O431"/>
  <c r="M431"/>
  <c r="K431"/>
  <c r="I431"/>
  <c r="S430"/>
  <c r="Q430"/>
  <c r="O430"/>
  <c r="M430"/>
  <c r="K430"/>
  <c r="I430"/>
  <c r="S429"/>
  <c r="Q429"/>
  <c r="O429"/>
  <c r="M429"/>
  <c r="K429"/>
  <c r="I429"/>
  <c r="S428"/>
  <c r="Q428"/>
  <c r="O428"/>
  <c r="M428"/>
  <c r="K428"/>
  <c r="I428"/>
  <c r="S427"/>
  <c r="Q427"/>
  <c r="O427"/>
  <c r="M427"/>
  <c r="K427"/>
  <c r="I427"/>
  <c r="S426"/>
  <c r="Q426"/>
  <c r="O426"/>
  <c r="M426"/>
  <c r="K426"/>
  <c r="I426"/>
  <c r="S425"/>
  <c r="Q425"/>
  <c r="O425"/>
  <c r="M425"/>
  <c r="K425"/>
  <c r="I425"/>
  <c r="S424"/>
  <c r="Q424"/>
  <c r="O424"/>
  <c r="M424"/>
  <c r="K424"/>
  <c r="I424"/>
  <c r="S423"/>
  <c r="Q423"/>
  <c r="O423"/>
  <c r="M423"/>
  <c r="K423"/>
  <c r="I423"/>
  <c r="S422"/>
  <c r="Q422"/>
  <c r="O422"/>
  <c r="M422"/>
  <c r="K422"/>
  <c r="I422"/>
  <c r="S421"/>
  <c r="Q421"/>
  <c r="O421"/>
  <c r="M421"/>
  <c r="K421"/>
  <c r="I421"/>
  <c r="S420"/>
  <c r="Q420"/>
  <c r="O420"/>
  <c r="M420"/>
  <c r="K420"/>
  <c r="I420"/>
  <c r="S419"/>
  <c r="Q419"/>
  <c r="O419"/>
  <c r="M419"/>
  <c r="K419"/>
  <c r="I419"/>
  <c r="S418"/>
  <c r="Q418"/>
  <c r="O418"/>
  <c r="M418"/>
  <c r="K418"/>
  <c r="I418"/>
  <c r="S417"/>
  <c r="Q417"/>
  <c r="O417"/>
  <c r="M417"/>
  <c r="K417"/>
  <c r="I417"/>
  <c r="S416"/>
  <c r="Q416"/>
  <c r="O416"/>
  <c r="M416"/>
  <c r="K416"/>
  <c r="I416"/>
  <c r="S415"/>
  <c r="Q415"/>
  <c r="O415"/>
  <c r="M415"/>
  <c r="K415"/>
  <c r="I415"/>
  <c r="S414"/>
  <c r="Q414"/>
  <c r="O414"/>
  <c r="M414"/>
  <c r="K414"/>
  <c r="I414"/>
  <c r="S413"/>
  <c r="Q413"/>
  <c r="O413"/>
  <c r="M413"/>
  <c r="K413"/>
  <c r="I413"/>
  <c r="S412"/>
  <c r="Q412"/>
  <c r="O412"/>
  <c r="M412"/>
  <c r="K412"/>
  <c r="I412"/>
  <c r="S411"/>
  <c r="Q411"/>
  <c r="O411"/>
  <c r="M411"/>
  <c r="K411"/>
  <c r="I411"/>
  <c r="S410"/>
  <c r="Q410"/>
  <c r="O410"/>
  <c r="M410"/>
  <c r="K410"/>
  <c r="I410"/>
  <c r="S409"/>
  <c r="Q409"/>
  <c r="O409"/>
  <c r="M409"/>
  <c r="K409"/>
  <c r="I409"/>
  <c r="S408"/>
  <c r="Q408"/>
  <c r="O408"/>
  <c r="M408"/>
  <c r="K408"/>
  <c r="I408"/>
  <c r="S407"/>
  <c r="Q407"/>
  <c r="O407"/>
  <c r="M407"/>
  <c r="K407"/>
  <c r="I407"/>
  <c r="S406"/>
  <c r="Q406"/>
  <c r="O406"/>
  <c r="M406"/>
  <c r="K406"/>
  <c r="I406"/>
  <c r="S405"/>
  <c r="Q405"/>
  <c r="O405"/>
  <c r="M405"/>
  <c r="K405"/>
  <c r="I405"/>
  <c r="S404"/>
  <c r="Q404"/>
  <c r="O404"/>
  <c r="M404"/>
  <c r="K404"/>
  <c r="I404"/>
  <c r="S403"/>
  <c r="Q403"/>
  <c r="O403"/>
  <c r="M403"/>
  <c r="K403"/>
  <c r="I403"/>
  <c r="S402"/>
  <c r="Q402"/>
  <c r="O402"/>
  <c r="M402"/>
  <c r="K402"/>
  <c r="I402"/>
  <c r="S401"/>
  <c r="Q401"/>
  <c r="O401"/>
  <c r="M401"/>
  <c r="K401"/>
  <c r="I401"/>
  <c r="S400"/>
  <c r="Q400"/>
  <c r="O400"/>
  <c r="M400"/>
  <c r="K400"/>
  <c r="I400"/>
  <c r="S399"/>
  <c r="Q399"/>
  <c r="O399"/>
  <c r="M399"/>
  <c r="K399"/>
  <c r="I399"/>
  <c r="S398"/>
  <c r="Q398"/>
  <c r="O398"/>
  <c r="M398"/>
  <c r="K398"/>
  <c r="I398"/>
  <c r="S397"/>
  <c r="Q397"/>
  <c r="O397"/>
  <c r="M397"/>
  <c r="K397"/>
  <c r="I397"/>
  <c r="S396"/>
  <c r="Q396"/>
  <c r="O396"/>
  <c r="M396"/>
  <c r="K396"/>
  <c r="I396"/>
  <c r="S395"/>
  <c r="Q395"/>
  <c r="O395"/>
  <c r="M395"/>
  <c r="K395"/>
  <c r="I395"/>
  <c r="S394"/>
  <c r="Q394"/>
  <c r="O394"/>
  <c r="M394"/>
  <c r="K394"/>
  <c r="I394"/>
  <c r="S393"/>
  <c r="Q393"/>
  <c r="O393"/>
  <c r="M393"/>
  <c r="K393"/>
  <c r="I393"/>
  <c r="S392"/>
  <c r="Q392"/>
  <c r="O392"/>
  <c r="M392"/>
  <c r="K392"/>
  <c r="I392"/>
  <c r="S391"/>
  <c r="Q391"/>
  <c r="O391"/>
  <c r="M391"/>
  <c r="K391"/>
  <c r="I391"/>
  <c r="S390"/>
  <c r="Q390"/>
  <c r="O390"/>
  <c r="M390"/>
  <c r="K390"/>
  <c r="I390"/>
  <c r="S389"/>
  <c r="Q389"/>
  <c r="O389"/>
  <c r="M389"/>
  <c r="K389"/>
  <c r="I389"/>
  <c r="S388"/>
  <c r="Q388"/>
  <c r="O388"/>
  <c r="M388"/>
  <c r="K388"/>
  <c r="I388"/>
  <c r="S387"/>
  <c r="Q387"/>
  <c r="O387"/>
  <c r="M387"/>
  <c r="K387"/>
  <c r="I387"/>
  <c r="S386"/>
  <c r="Q386"/>
  <c r="O386"/>
  <c r="M386"/>
  <c r="K386"/>
  <c r="I386"/>
  <c r="S385"/>
  <c r="Q385"/>
  <c r="O385"/>
  <c r="M385"/>
  <c r="K385"/>
  <c r="I385"/>
  <c r="S384"/>
  <c r="Q384"/>
  <c r="O384"/>
  <c r="M384"/>
  <c r="K384"/>
  <c r="I384"/>
  <c r="S383"/>
  <c r="Q383"/>
  <c r="O383"/>
  <c r="M383"/>
  <c r="K383"/>
  <c r="I383"/>
  <c r="S382"/>
  <c r="Q382"/>
  <c r="O382"/>
  <c r="M382"/>
  <c r="K382"/>
  <c r="I382"/>
  <c r="S381"/>
  <c r="Q381"/>
  <c r="O381"/>
  <c r="M381"/>
  <c r="K381"/>
  <c r="I381"/>
  <c r="S380"/>
  <c r="Q380"/>
  <c r="O380"/>
  <c r="M380"/>
  <c r="K380"/>
  <c r="I380"/>
  <c r="S379"/>
  <c r="Q379"/>
  <c r="O379"/>
  <c r="M379"/>
  <c r="K379"/>
  <c r="I379"/>
  <c r="S378"/>
  <c r="Q378"/>
  <c r="O378"/>
  <c r="M378"/>
  <c r="K378"/>
  <c r="I378"/>
  <c r="S377"/>
  <c r="Q377"/>
  <c r="O377"/>
  <c r="M377"/>
  <c r="K377"/>
  <c r="I377"/>
  <c r="S376"/>
  <c r="Q376"/>
  <c r="O376"/>
  <c r="M376"/>
  <c r="K376"/>
  <c r="I376"/>
  <c r="S375"/>
  <c r="Q375"/>
  <c r="O375"/>
  <c r="M375"/>
  <c r="K375"/>
  <c r="I375"/>
  <c r="S374"/>
  <c r="Q374"/>
  <c r="O374"/>
  <c r="M374"/>
  <c r="K374"/>
  <c r="I374"/>
  <c r="S373"/>
  <c r="Q373"/>
  <c r="O373"/>
  <c r="M373"/>
  <c r="K373"/>
  <c r="I373"/>
  <c r="S372"/>
  <c r="Q372"/>
  <c r="O372"/>
  <c r="M372"/>
  <c r="K372"/>
  <c r="I372"/>
  <c r="S371"/>
  <c r="Q371"/>
  <c r="O371"/>
  <c r="M371"/>
  <c r="K371"/>
  <c r="I371"/>
  <c r="S370"/>
  <c r="Q370"/>
  <c r="O370"/>
  <c r="M370"/>
  <c r="K370"/>
  <c r="I370"/>
  <c r="S369"/>
  <c r="Q369"/>
  <c r="O369"/>
  <c r="M369"/>
  <c r="K369"/>
  <c r="I369"/>
  <c r="S368"/>
  <c r="Q368"/>
  <c r="O368"/>
  <c r="M368"/>
  <c r="K368"/>
  <c r="I368"/>
  <c r="S367"/>
  <c r="Q367"/>
  <c r="O367"/>
  <c r="M367"/>
  <c r="K367"/>
  <c r="I367"/>
  <c r="S366"/>
  <c r="Q366"/>
  <c r="O366"/>
  <c r="M366"/>
  <c r="K366"/>
  <c r="I366"/>
  <c r="S365"/>
  <c r="Q365"/>
  <c r="O365"/>
  <c r="M365"/>
  <c r="K365"/>
  <c r="I365"/>
  <c r="S364"/>
  <c r="Q364"/>
  <c r="O364"/>
  <c r="M364"/>
  <c r="K364"/>
  <c r="I364"/>
  <c r="S363"/>
  <c r="Q363"/>
  <c r="O363"/>
  <c r="M363"/>
  <c r="K363"/>
  <c r="I363"/>
  <c r="S362"/>
  <c r="Q362"/>
  <c r="O362"/>
  <c r="M362"/>
  <c r="K362"/>
  <c r="I362"/>
  <c r="S361"/>
  <c r="Q361"/>
  <c r="O361"/>
  <c r="M361"/>
  <c r="K361"/>
  <c r="I361"/>
  <c r="S360"/>
  <c r="Q360"/>
  <c r="O360"/>
  <c r="M360"/>
  <c r="K360"/>
  <c r="I360"/>
  <c r="S359"/>
  <c r="Q359"/>
  <c r="O359"/>
  <c r="M359"/>
  <c r="K359"/>
  <c r="I359"/>
  <c r="S358"/>
  <c r="Q358"/>
  <c r="O358"/>
  <c r="M358"/>
  <c r="K358"/>
  <c r="I358"/>
  <c r="S357"/>
  <c r="Q357"/>
  <c r="O357"/>
  <c r="M357"/>
  <c r="K357"/>
  <c r="I357"/>
  <c r="S356"/>
  <c r="Q356"/>
  <c r="O356"/>
  <c r="M356"/>
  <c r="K356"/>
  <c r="I356"/>
  <c r="S355"/>
  <c r="Q355"/>
  <c r="O355"/>
  <c r="M355"/>
  <c r="K355"/>
  <c r="I355"/>
  <c r="S354"/>
  <c r="Q354"/>
  <c r="O354"/>
  <c r="M354"/>
  <c r="K354"/>
  <c r="I354"/>
  <c r="S353"/>
  <c r="Q353"/>
  <c r="O353"/>
  <c r="M353"/>
  <c r="K353"/>
  <c r="I353"/>
  <c r="S352"/>
  <c r="Q352"/>
  <c r="O352"/>
  <c r="M352"/>
  <c r="K352"/>
  <c r="I352"/>
  <c r="S351"/>
  <c r="Q351"/>
  <c r="O351"/>
  <c r="M351"/>
  <c r="K351"/>
  <c r="I351"/>
  <c r="S350"/>
  <c r="Q350"/>
  <c r="O350"/>
  <c r="M350"/>
  <c r="K350"/>
  <c r="I350"/>
  <c r="S349"/>
  <c r="Q349"/>
  <c r="O349"/>
  <c r="M349"/>
  <c r="K349"/>
  <c r="I349"/>
  <c r="S348"/>
  <c r="Q348"/>
  <c r="O348"/>
  <c r="M348"/>
  <c r="K348"/>
  <c r="I348"/>
  <c r="S347"/>
  <c r="Q347"/>
  <c r="O347"/>
  <c r="M347"/>
  <c r="K347"/>
  <c r="I347"/>
  <c r="S346"/>
  <c r="Q346"/>
  <c r="O346"/>
  <c r="M346"/>
  <c r="K346"/>
  <c r="I346"/>
  <c r="S345"/>
  <c r="Q345"/>
  <c r="O345"/>
  <c r="M345"/>
  <c r="K345"/>
  <c r="I345"/>
  <c r="S344"/>
  <c r="Q344"/>
  <c r="O344"/>
  <c r="M344"/>
  <c r="K344"/>
  <c r="I344"/>
  <c r="S343"/>
  <c r="Q343"/>
  <c r="O343"/>
  <c r="M343"/>
  <c r="K343"/>
  <c r="I343"/>
  <c r="S342"/>
  <c r="Q342"/>
  <c r="O342"/>
  <c r="M342"/>
  <c r="K342"/>
  <c r="I342"/>
  <c r="S341"/>
  <c r="Q341"/>
  <c r="O341"/>
  <c r="M341"/>
  <c r="K341"/>
  <c r="I341"/>
  <c r="S340"/>
  <c r="Q340"/>
  <c r="O340"/>
  <c r="M340"/>
  <c r="K340"/>
  <c r="I340"/>
  <c r="S339"/>
  <c r="Q339"/>
  <c r="O339"/>
  <c r="M339"/>
  <c r="K339"/>
  <c r="I339"/>
  <c r="S338"/>
  <c r="Q338"/>
  <c r="O338"/>
  <c r="M338"/>
  <c r="K338"/>
  <c r="I338"/>
  <c r="S337"/>
  <c r="Q337"/>
  <c r="O337"/>
  <c r="M337"/>
  <c r="K337"/>
  <c r="I337"/>
  <c r="S336"/>
  <c r="Q336"/>
  <c r="O336"/>
  <c r="M336"/>
  <c r="K336"/>
  <c r="I336"/>
  <c r="S335"/>
  <c r="Q335"/>
  <c r="O335"/>
  <c r="M335"/>
  <c r="K335"/>
  <c r="I335"/>
  <c r="S334"/>
  <c r="Q334"/>
  <c r="O334"/>
  <c r="M334"/>
  <c r="K334"/>
  <c r="I334"/>
  <c r="S333"/>
  <c r="Q333"/>
  <c r="O333"/>
  <c r="M333"/>
  <c r="K333"/>
  <c r="I333"/>
  <c r="S332"/>
  <c r="Q332"/>
  <c r="O332"/>
  <c r="M332"/>
  <c r="K332"/>
  <c r="I332"/>
  <c r="S331"/>
  <c r="Q331"/>
  <c r="O331"/>
  <c r="M331"/>
  <c r="K331"/>
  <c r="I331"/>
  <c r="S330"/>
  <c r="Q330"/>
  <c r="O330"/>
  <c r="M330"/>
  <c r="K330"/>
  <c r="I330"/>
  <c r="S329"/>
  <c r="Q329"/>
  <c r="O329"/>
  <c r="M329"/>
  <c r="K329"/>
  <c r="I329"/>
  <c r="S328"/>
  <c r="Q328"/>
  <c r="O328"/>
  <c r="M328"/>
  <c r="K328"/>
  <c r="I328"/>
  <c r="S327"/>
  <c r="Q327"/>
  <c r="O327"/>
  <c r="M327"/>
  <c r="K327"/>
  <c r="I327"/>
  <c r="S326"/>
  <c r="Q326"/>
  <c r="O326"/>
  <c r="M326"/>
  <c r="K326"/>
  <c r="I326"/>
  <c r="S325"/>
  <c r="Q325"/>
  <c r="O325"/>
  <c r="M325"/>
  <c r="K325"/>
  <c r="I325"/>
  <c r="S324"/>
  <c r="Q324"/>
  <c r="O324"/>
  <c r="M324"/>
  <c r="K324"/>
  <c r="I324"/>
  <c r="S323"/>
  <c r="Q323"/>
  <c r="O323"/>
  <c r="M323"/>
  <c r="K323"/>
  <c r="I323"/>
  <c r="S322"/>
  <c r="Q322"/>
  <c r="O322"/>
  <c r="M322"/>
  <c r="K322"/>
  <c r="I322"/>
  <c r="S321"/>
  <c r="Q321"/>
  <c r="O321"/>
  <c r="M321"/>
  <c r="K321"/>
  <c r="I321"/>
  <c r="S320"/>
  <c r="Q320"/>
  <c r="O320"/>
  <c r="M320"/>
  <c r="K320"/>
  <c r="I320"/>
  <c r="S319"/>
  <c r="Q319"/>
  <c r="O319"/>
  <c r="M319"/>
  <c r="K319"/>
  <c r="I319"/>
  <c r="S318"/>
  <c r="Q318"/>
  <c r="O318"/>
  <c r="M318"/>
  <c r="K318"/>
  <c r="I318"/>
  <c r="S317"/>
  <c r="Q317"/>
  <c r="O317"/>
  <c r="M317"/>
  <c r="K317"/>
  <c r="I317"/>
  <c r="S316"/>
  <c r="Q316"/>
  <c r="O316"/>
  <c r="M316"/>
  <c r="K316"/>
  <c r="I316"/>
  <c r="S315"/>
  <c r="Q315"/>
  <c r="O315"/>
  <c r="M315"/>
  <c r="K315"/>
  <c r="I315"/>
  <c r="S314"/>
  <c r="Q314"/>
  <c r="O314"/>
  <c r="M314"/>
  <c r="K314"/>
  <c r="I314"/>
  <c r="S313"/>
  <c r="Q313"/>
  <c r="O313"/>
  <c r="M313"/>
  <c r="K313"/>
  <c r="I313"/>
  <c r="S312"/>
  <c r="Q312"/>
  <c r="O312"/>
  <c r="M312"/>
  <c r="K312"/>
  <c r="I312"/>
  <c r="S311"/>
  <c r="Q311"/>
  <c r="O311"/>
  <c r="M311"/>
  <c r="K311"/>
  <c r="I311"/>
  <c r="S310"/>
  <c r="Q310"/>
  <c r="O310"/>
  <c r="M310"/>
  <c r="K310"/>
  <c r="I310"/>
  <c r="S309"/>
  <c r="Q309"/>
  <c r="O309"/>
  <c r="M309"/>
  <c r="K309"/>
  <c r="I309"/>
  <c r="S308"/>
  <c r="Q308"/>
  <c r="O308"/>
  <c r="M308"/>
  <c r="K308"/>
  <c r="I308"/>
  <c r="S307"/>
  <c r="Q307"/>
  <c r="O307"/>
  <c r="M307"/>
  <c r="K307"/>
  <c r="I307"/>
  <c r="S306"/>
  <c r="Q306"/>
  <c r="O306"/>
  <c r="M306"/>
  <c r="K306"/>
  <c r="I306"/>
  <c r="S305"/>
  <c r="Q305"/>
  <c r="O305"/>
  <c r="M305"/>
  <c r="K305"/>
  <c r="I305"/>
  <c r="S304"/>
  <c r="Q304"/>
  <c r="O304"/>
  <c r="M304"/>
  <c r="K304"/>
  <c r="I304"/>
  <c r="S303"/>
  <c r="Q303"/>
  <c r="O303"/>
  <c r="M303"/>
  <c r="K303"/>
  <c r="I303"/>
  <c r="S302"/>
  <c r="Q302"/>
  <c r="O302"/>
  <c r="M302"/>
  <c r="K302"/>
  <c r="I302"/>
  <c r="S301"/>
  <c r="Q301"/>
  <c r="O301"/>
  <c r="M301"/>
  <c r="K301"/>
  <c r="I301"/>
  <c r="S300"/>
  <c r="Q300"/>
  <c r="O300"/>
  <c r="M300"/>
  <c r="K300"/>
  <c r="I300"/>
  <c r="S299"/>
  <c r="Q299"/>
  <c r="O299"/>
  <c r="M299"/>
  <c r="K299"/>
  <c r="I299"/>
  <c r="S298"/>
  <c r="Q298"/>
  <c r="O298"/>
  <c r="M298"/>
  <c r="K298"/>
  <c r="I298"/>
  <c r="S297"/>
  <c r="Q297"/>
  <c r="O297"/>
  <c r="M297"/>
  <c r="K297"/>
  <c r="I297"/>
  <c r="S296"/>
  <c r="Q296"/>
  <c r="O296"/>
  <c r="M296"/>
  <c r="K296"/>
  <c r="I296"/>
  <c r="S295"/>
  <c r="Q295"/>
  <c r="O295"/>
  <c r="M295"/>
  <c r="K295"/>
  <c r="I295"/>
  <c r="S294"/>
  <c r="Q294"/>
  <c r="O294"/>
  <c r="M294"/>
  <c r="K294"/>
  <c r="I294"/>
  <c r="S293"/>
  <c r="Q293"/>
  <c r="O293"/>
  <c r="M293"/>
  <c r="K293"/>
  <c r="I293"/>
  <c r="S292"/>
  <c r="Q292"/>
  <c r="O292"/>
  <c r="M292"/>
  <c r="K292"/>
  <c r="I292"/>
  <c r="S291"/>
  <c r="Q291"/>
  <c r="O291"/>
  <c r="M291"/>
  <c r="K291"/>
  <c r="I291"/>
  <c r="S290"/>
  <c r="Q290"/>
  <c r="O290"/>
  <c r="M290"/>
  <c r="K290"/>
  <c r="I290"/>
  <c r="S289"/>
  <c r="Q289"/>
  <c r="O289"/>
  <c r="M289"/>
  <c r="K289"/>
  <c r="I289"/>
  <c r="S288"/>
  <c r="Q288"/>
  <c r="O288"/>
  <c r="M288"/>
  <c r="K288"/>
  <c r="I288"/>
  <c r="S287"/>
  <c r="Q287"/>
  <c r="O287"/>
  <c r="M287"/>
  <c r="K287"/>
  <c r="I287"/>
  <c r="S286"/>
  <c r="Q286"/>
  <c r="O286"/>
  <c r="M286"/>
  <c r="K286"/>
  <c r="I286"/>
  <c r="S285"/>
  <c r="Q285"/>
  <c r="O285"/>
  <c r="M285"/>
  <c r="K285"/>
  <c r="I285"/>
  <c r="S284"/>
  <c r="Q284"/>
  <c r="O284"/>
  <c r="M284"/>
  <c r="K284"/>
  <c r="I284"/>
  <c r="S283"/>
  <c r="Q283"/>
  <c r="O283"/>
  <c r="M283"/>
  <c r="K283"/>
  <c r="I283"/>
  <c r="S282"/>
  <c r="Q282"/>
  <c r="O282"/>
  <c r="M282"/>
  <c r="K282"/>
  <c r="I282"/>
  <c r="S281"/>
  <c r="Q281"/>
  <c r="O281"/>
  <c r="M281"/>
  <c r="K281"/>
  <c r="I281"/>
  <c r="S280"/>
  <c r="Q280"/>
  <c r="O280"/>
  <c r="M280"/>
  <c r="K280"/>
  <c r="I280"/>
  <c r="S279"/>
  <c r="Q279"/>
  <c r="O279"/>
  <c r="M279"/>
  <c r="K279"/>
  <c r="I279"/>
  <c r="S278"/>
  <c r="Q278"/>
  <c r="O278"/>
  <c r="M278"/>
  <c r="K278"/>
  <c r="I278"/>
  <c r="S277"/>
  <c r="Q277"/>
  <c r="O277"/>
  <c r="M277"/>
  <c r="K277"/>
  <c r="I277"/>
  <c r="S276"/>
  <c r="Q276"/>
  <c r="O276"/>
  <c r="M276"/>
  <c r="K276"/>
  <c r="I276"/>
  <c r="S275"/>
  <c r="Q275"/>
  <c r="O275"/>
  <c r="M275"/>
  <c r="K275"/>
  <c r="I275"/>
  <c r="S274"/>
  <c r="Q274"/>
  <c r="O274"/>
  <c r="M274"/>
  <c r="K274"/>
  <c r="I274"/>
  <c r="S273"/>
  <c r="Q273"/>
  <c r="O273"/>
  <c r="M273"/>
  <c r="K273"/>
  <c r="I273"/>
  <c r="S272"/>
  <c r="Q272"/>
  <c r="O272"/>
  <c r="M272"/>
  <c r="K272"/>
  <c r="I272"/>
  <c r="S271"/>
  <c r="Q271"/>
  <c r="O271"/>
  <c r="M271"/>
  <c r="K271"/>
  <c r="I271"/>
  <c r="S270"/>
  <c r="Q270"/>
  <c r="O270"/>
  <c r="M270"/>
  <c r="K270"/>
  <c r="I270"/>
  <c r="S269"/>
  <c r="Q269"/>
  <c r="O269"/>
  <c r="M269"/>
  <c r="K269"/>
  <c r="I269"/>
  <c r="S268"/>
  <c r="Q268"/>
  <c r="O268"/>
  <c r="M268"/>
  <c r="K268"/>
  <c r="I268"/>
  <c r="S267"/>
  <c r="Q267"/>
  <c r="O267"/>
  <c r="M267"/>
  <c r="K267"/>
  <c r="I267"/>
  <c r="S266"/>
  <c r="Q266"/>
  <c r="O266"/>
  <c r="M266"/>
  <c r="K266"/>
  <c r="I266"/>
  <c r="S265"/>
  <c r="Q265"/>
  <c r="O265"/>
  <c r="M265"/>
  <c r="K265"/>
  <c r="I265"/>
  <c r="S264"/>
  <c r="Q264"/>
  <c r="O264"/>
  <c r="M264"/>
  <c r="K264"/>
  <c r="I264"/>
  <c r="S263"/>
  <c r="Q263"/>
  <c r="O263"/>
  <c r="M263"/>
  <c r="K263"/>
  <c r="I263"/>
  <c r="S262"/>
  <c r="Q262"/>
  <c r="O262"/>
  <c r="M262"/>
  <c r="K262"/>
  <c r="I262"/>
  <c r="S261"/>
  <c r="Q261"/>
  <c r="O261"/>
  <c r="M261"/>
  <c r="K261"/>
  <c r="I261"/>
  <c r="S260"/>
  <c r="Q260"/>
  <c r="O260"/>
  <c r="M260"/>
  <c r="K260"/>
  <c r="I260"/>
  <c r="S259"/>
  <c r="Q259"/>
  <c r="O259"/>
  <c r="M259"/>
  <c r="K259"/>
  <c r="I259"/>
  <c r="S258"/>
  <c r="Q258"/>
  <c r="O258"/>
  <c r="M258"/>
  <c r="K258"/>
  <c r="I258"/>
  <c r="S257"/>
  <c r="Q257"/>
  <c r="O257"/>
  <c r="M257"/>
  <c r="K257"/>
  <c r="I257"/>
  <c r="S256"/>
  <c r="Q256"/>
  <c r="O256"/>
  <c r="M256"/>
  <c r="K256"/>
  <c r="I256"/>
  <c r="S255"/>
  <c r="Q255"/>
  <c r="O255"/>
  <c r="M255"/>
  <c r="K255"/>
  <c r="I255"/>
  <c r="S254"/>
  <c r="Q254"/>
  <c r="O254"/>
  <c r="M254"/>
  <c r="K254"/>
  <c r="I254"/>
  <c r="S253"/>
  <c r="Q253"/>
  <c r="O253"/>
  <c r="M253"/>
  <c r="K253"/>
  <c r="I253"/>
  <c r="S252"/>
  <c r="Q252"/>
  <c r="O252"/>
  <c r="M252"/>
  <c r="K252"/>
  <c r="I252"/>
  <c r="S251"/>
  <c r="Q251"/>
  <c r="O251"/>
  <c r="M251"/>
  <c r="K251"/>
  <c r="I251"/>
  <c r="S250"/>
  <c r="Q250"/>
  <c r="O250"/>
  <c r="M250"/>
  <c r="K250"/>
  <c r="I250"/>
  <c r="S249"/>
  <c r="Q249"/>
  <c r="O249"/>
  <c r="M249"/>
  <c r="K249"/>
  <c r="I249"/>
  <c r="S248"/>
  <c r="Q248"/>
  <c r="O248"/>
  <c r="M248"/>
  <c r="K248"/>
  <c r="I248"/>
  <c r="S247"/>
  <c r="Q247"/>
  <c r="O247"/>
  <c r="M247"/>
  <c r="K247"/>
  <c r="I247"/>
  <c r="S246"/>
  <c r="Q246"/>
  <c r="O246"/>
  <c r="M246"/>
  <c r="K246"/>
  <c r="I246"/>
  <c r="S245"/>
  <c r="Q245"/>
  <c r="O245"/>
  <c r="M245"/>
  <c r="K245"/>
  <c r="I245"/>
  <c r="S244"/>
  <c r="Q244"/>
  <c r="O244"/>
  <c r="M244"/>
  <c r="K244"/>
  <c r="I244"/>
  <c r="S243"/>
  <c r="Q243"/>
  <c r="O243"/>
  <c r="M243"/>
  <c r="K243"/>
  <c r="I243"/>
  <c r="S242"/>
  <c r="Q242"/>
  <c r="O242"/>
  <c r="M242"/>
  <c r="K242"/>
  <c r="I242"/>
  <c r="S241"/>
  <c r="Q241"/>
  <c r="O241"/>
  <c r="M241"/>
  <c r="K241"/>
  <c r="I241"/>
  <c r="S240"/>
  <c r="Q240"/>
  <c r="O240"/>
  <c r="M240"/>
  <c r="K240"/>
  <c r="I240"/>
  <c r="S239"/>
  <c r="Q239"/>
  <c r="O239"/>
  <c r="M239"/>
  <c r="K239"/>
  <c r="I239"/>
  <c r="S238"/>
  <c r="Q238"/>
  <c r="O238"/>
  <c r="M238"/>
  <c r="K238"/>
  <c r="I238"/>
  <c r="S237"/>
  <c r="Q237"/>
  <c r="O237"/>
  <c r="M237"/>
  <c r="K237"/>
  <c r="I237"/>
  <c r="S236"/>
  <c r="Q236"/>
  <c r="O236"/>
  <c r="M236"/>
  <c r="K236"/>
  <c r="I236"/>
  <c r="S235"/>
  <c r="Q235"/>
  <c r="O235"/>
  <c r="M235"/>
  <c r="K235"/>
  <c r="I235"/>
  <c r="S234"/>
  <c r="Q234"/>
  <c r="O234"/>
  <c r="M234"/>
  <c r="K234"/>
  <c r="I234"/>
  <c r="S233"/>
  <c r="Q233"/>
  <c r="O233"/>
  <c r="M233"/>
  <c r="K233"/>
  <c r="I233"/>
  <c r="S232"/>
  <c r="Q232"/>
  <c r="O232"/>
  <c r="M232"/>
  <c r="K232"/>
  <c r="I232"/>
  <c r="S231"/>
  <c r="Q231"/>
  <c r="O231"/>
  <c r="M231"/>
  <c r="K231"/>
  <c r="I231"/>
  <c r="S230"/>
  <c r="Q230"/>
  <c r="O230"/>
  <c r="M230"/>
  <c r="K230"/>
  <c r="I230"/>
  <c r="S229"/>
  <c r="Q229"/>
  <c r="O229"/>
  <c r="M229"/>
  <c r="K229"/>
  <c r="I229"/>
  <c r="S228"/>
  <c r="Q228"/>
  <c r="O228"/>
  <c r="M228"/>
  <c r="K228"/>
  <c r="I228"/>
  <c r="S227"/>
  <c r="Q227"/>
  <c r="O227"/>
  <c r="M227"/>
  <c r="K227"/>
  <c r="I227"/>
  <c r="S226"/>
  <c r="Q226"/>
  <c r="O226"/>
  <c r="M226"/>
  <c r="K226"/>
  <c r="I226"/>
  <c r="S225"/>
  <c r="Q225"/>
  <c r="O225"/>
  <c r="M225"/>
  <c r="K225"/>
  <c r="I225"/>
  <c r="S224"/>
  <c r="Q224"/>
  <c r="O224"/>
  <c r="M224"/>
  <c r="K224"/>
  <c r="I224"/>
  <c r="S223"/>
  <c r="Q223"/>
  <c r="O223"/>
  <c r="M223"/>
  <c r="K223"/>
  <c r="I223"/>
  <c r="S222"/>
  <c r="Q222"/>
  <c r="O222"/>
  <c r="M222"/>
  <c r="K222"/>
  <c r="I222"/>
  <c r="S221"/>
  <c r="Q221"/>
  <c r="O221"/>
  <c r="M221"/>
  <c r="K221"/>
  <c r="I221"/>
  <c r="S220"/>
  <c r="Q220"/>
  <c r="O220"/>
  <c r="M220"/>
  <c r="K220"/>
  <c r="I220"/>
  <c r="S219"/>
  <c r="Q219"/>
  <c r="O219"/>
  <c r="M219"/>
  <c r="K219"/>
  <c r="I219"/>
  <c r="S218"/>
  <c r="Q218"/>
  <c r="O218"/>
  <c r="M218"/>
  <c r="K218"/>
  <c r="I218"/>
  <c r="S217"/>
  <c r="Q217"/>
  <c r="O217"/>
  <c r="M217"/>
  <c r="K217"/>
  <c r="I217"/>
  <c r="S216"/>
  <c r="Q216"/>
  <c r="O216"/>
  <c r="M216"/>
  <c r="K216"/>
  <c r="I216"/>
  <c r="S215"/>
  <c r="Q215"/>
  <c r="O215"/>
  <c r="M215"/>
  <c r="K215"/>
  <c r="I215"/>
  <c r="S214"/>
  <c r="Q214"/>
  <c r="O214"/>
  <c r="M214"/>
  <c r="K214"/>
  <c r="I214"/>
  <c r="S213"/>
  <c r="Q213"/>
  <c r="O213"/>
  <c r="M213"/>
  <c r="K213"/>
  <c r="I213"/>
  <c r="S212"/>
  <c r="Q212"/>
  <c r="O212"/>
  <c r="M212"/>
  <c r="K212"/>
  <c r="I212"/>
  <c r="S211"/>
  <c r="Q211"/>
  <c r="O211"/>
  <c r="M211"/>
  <c r="K211"/>
  <c r="I211"/>
  <c r="S210"/>
  <c r="Q210"/>
  <c r="O210"/>
  <c r="M210"/>
  <c r="K210"/>
  <c r="I210"/>
  <c r="S209"/>
  <c r="Q209"/>
  <c r="O209"/>
  <c r="M209"/>
  <c r="K209"/>
  <c r="I209"/>
  <c r="S208"/>
  <c r="Q208"/>
  <c r="O208"/>
  <c r="M208"/>
  <c r="K208"/>
  <c r="I208"/>
  <c r="S207"/>
  <c r="Q207"/>
  <c r="O207"/>
  <c r="M207"/>
  <c r="K207"/>
  <c r="I207"/>
  <c r="S206"/>
  <c r="Q206"/>
  <c r="O206"/>
  <c r="M206"/>
  <c r="K206"/>
  <c r="I206"/>
  <c r="S205"/>
  <c r="Q205"/>
  <c r="O205"/>
  <c r="M205"/>
  <c r="K205"/>
  <c r="I205"/>
  <c r="S204"/>
  <c r="Q204"/>
  <c r="O204"/>
  <c r="M204"/>
  <c r="K204"/>
  <c r="I204"/>
  <c r="S203"/>
  <c r="Q203"/>
  <c r="O203"/>
  <c r="M203"/>
  <c r="K203"/>
  <c r="I203"/>
  <c r="S202"/>
  <c r="Q202"/>
  <c r="O202"/>
  <c r="M202"/>
  <c r="K202"/>
  <c r="I202"/>
  <c r="S201"/>
  <c r="Q201"/>
  <c r="O201"/>
  <c r="M201"/>
  <c r="K201"/>
  <c r="I201"/>
  <c r="S200"/>
  <c r="Q200"/>
  <c r="O200"/>
  <c r="M200"/>
  <c r="K200"/>
  <c r="I200"/>
  <c r="S199"/>
  <c r="Q199"/>
  <c r="O199"/>
  <c r="M199"/>
  <c r="K199"/>
  <c r="I199"/>
  <c r="S198"/>
  <c r="Q198"/>
  <c r="O198"/>
  <c r="M198"/>
  <c r="K198"/>
  <c r="I198"/>
  <c r="S197"/>
  <c r="Q197"/>
  <c r="O197"/>
  <c r="M197"/>
  <c r="K197"/>
  <c r="I197"/>
  <c r="S196"/>
  <c r="Q196"/>
  <c r="O196"/>
  <c r="M196"/>
  <c r="K196"/>
  <c r="I196"/>
  <c r="S195"/>
  <c r="Q195"/>
  <c r="O195"/>
  <c r="M195"/>
  <c r="K195"/>
  <c r="I195"/>
  <c r="S194"/>
  <c r="Q194"/>
  <c r="O194"/>
  <c r="M194"/>
  <c r="K194"/>
  <c r="I194"/>
  <c r="S193"/>
  <c r="Q193"/>
  <c r="O193"/>
  <c r="M193"/>
  <c r="K193"/>
  <c r="I193"/>
  <c r="S192"/>
  <c r="Q192"/>
  <c r="O192"/>
  <c r="M192"/>
  <c r="K192"/>
  <c r="I192"/>
  <c r="S191"/>
  <c r="Q191"/>
  <c r="O191"/>
  <c r="M191"/>
  <c r="K191"/>
  <c r="I191"/>
  <c r="S190"/>
  <c r="Q190"/>
  <c r="O190"/>
  <c r="M190"/>
  <c r="K190"/>
  <c r="I190"/>
  <c r="S189"/>
  <c r="Q189"/>
  <c r="O189"/>
  <c r="M189"/>
  <c r="K189"/>
  <c r="I189"/>
  <c r="S188"/>
  <c r="Q188"/>
  <c r="O188"/>
  <c r="M188"/>
  <c r="K188"/>
  <c r="I188"/>
  <c r="S187"/>
  <c r="Q187"/>
  <c r="O187"/>
  <c r="M187"/>
  <c r="K187"/>
  <c r="I187"/>
  <c r="S186"/>
  <c r="Q186"/>
  <c r="O186"/>
  <c r="M186"/>
  <c r="K186"/>
  <c r="I186"/>
  <c r="S185"/>
  <c r="Q185"/>
  <c r="O185"/>
  <c r="M185"/>
  <c r="K185"/>
  <c r="I185"/>
  <c r="S184"/>
  <c r="Q184"/>
  <c r="O184"/>
  <c r="M184"/>
  <c r="K184"/>
  <c r="I184"/>
  <c r="S183"/>
  <c r="Q183"/>
  <c r="O183"/>
  <c r="M183"/>
  <c r="K183"/>
  <c r="I183"/>
  <c r="S182"/>
  <c r="Q182"/>
  <c r="O182"/>
  <c r="M182"/>
  <c r="K182"/>
  <c r="I182"/>
  <c r="S181"/>
  <c r="Q181"/>
  <c r="O181"/>
  <c r="M181"/>
  <c r="K181"/>
  <c r="I181"/>
  <c r="S180"/>
  <c r="Q180"/>
  <c r="O180"/>
  <c r="M180"/>
  <c r="K180"/>
  <c r="I180"/>
  <c r="S179"/>
  <c r="Q179"/>
  <c r="O179"/>
  <c r="M179"/>
  <c r="K179"/>
  <c r="I179"/>
  <c r="S178"/>
  <c r="Q178"/>
  <c r="O178"/>
  <c r="M178"/>
  <c r="K178"/>
  <c r="I178"/>
  <c r="S177"/>
  <c r="Q177"/>
  <c r="O177"/>
  <c r="M177"/>
  <c r="K177"/>
  <c r="I177"/>
  <c r="S176"/>
  <c r="Q176"/>
  <c r="O176"/>
  <c r="M176"/>
  <c r="K176"/>
  <c r="I176"/>
  <c r="S175"/>
  <c r="Q175"/>
  <c r="O175"/>
  <c r="M175"/>
  <c r="K175"/>
  <c r="I175"/>
  <c r="S174"/>
  <c r="Q174"/>
  <c r="O174"/>
  <c r="M174"/>
  <c r="K174"/>
  <c r="I174"/>
  <c r="S173"/>
  <c r="Q173"/>
  <c r="O173"/>
  <c r="M173"/>
  <c r="K173"/>
  <c r="I173"/>
  <c r="S172"/>
  <c r="Q172"/>
  <c r="O172"/>
  <c r="M172"/>
  <c r="K172"/>
  <c r="I172"/>
  <c r="S171"/>
  <c r="Q171"/>
  <c r="O171"/>
  <c r="M171"/>
  <c r="K171"/>
  <c r="I171"/>
  <c r="S170"/>
  <c r="Q170"/>
  <c r="O170"/>
  <c r="M170"/>
  <c r="K170"/>
  <c r="I170"/>
  <c r="S169"/>
  <c r="Q169"/>
  <c r="O169"/>
  <c r="M169"/>
  <c r="K169"/>
  <c r="I169"/>
  <c r="S168"/>
  <c r="Q168"/>
  <c r="O168"/>
  <c r="M168"/>
  <c r="K168"/>
  <c r="I168"/>
  <c r="S167"/>
  <c r="Q167"/>
  <c r="O167"/>
  <c r="M167"/>
  <c r="K167"/>
  <c r="I167"/>
  <c r="S166"/>
  <c r="Q166"/>
  <c r="O166"/>
  <c r="M166"/>
  <c r="K166"/>
  <c r="I166"/>
  <c r="S165"/>
  <c r="Q165"/>
  <c r="O165"/>
  <c r="M165"/>
  <c r="K165"/>
  <c r="I165"/>
  <c r="S164"/>
  <c r="Q164"/>
  <c r="O164"/>
  <c r="M164"/>
  <c r="K164"/>
  <c r="I164"/>
  <c r="S163"/>
  <c r="Q163"/>
  <c r="O163"/>
  <c r="M163"/>
  <c r="K163"/>
  <c r="I163"/>
  <c r="S162"/>
  <c r="Q162"/>
  <c r="O162"/>
  <c r="M162"/>
  <c r="K162"/>
  <c r="I162"/>
  <c r="S161"/>
  <c r="Q161"/>
  <c r="O161"/>
  <c r="M161"/>
  <c r="K161"/>
  <c r="I161"/>
  <c r="S160"/>
  <c r="Q160"/>
  <c r="O160"/>
  <c r="M160"/>
  <c r="K160"/>
  <c r="I160"/>
  <c r="S159"/>
  <c r="Q159"/>
  <c r="O159"/>
  <c r="M159"/>
  <c r="K159"/>
  <c r="I159"/>
  <c r="S158"/>
  <c r="Q158"/>
  <c r="O158"/>
  <c r="M158"/>
  <c r="K158"/>
  <c r="I158"/>
  <c r="S157"/>
  <c r="Q157"/>
  <c r="O157"/>
  <c r="M157"/>
  <c r="K157"/>
  <c r="I157"/>
  <c r="S156"/>
  <c r="Q156"/>
  <c r="O156"/>
  <c r="M156"/>
  <c r="K156"/>
  <c r="I156"/>
  <c r="S155"/>
  <c r="Q155"/>
  <c r="O155"/>
  <c r="M155"/>
  <c r="K155"/>
  <c r="I155"/>
  <c r="S154"/>
  <c r="Q154"/>
  <c r="O154"/>
  <c r="M154"/>
  <c r="K154"/>
  <c r="I154"/>
  <c r="S153"/>
  <c r="Q153"/>
  <c r="O153"/>
  <c r="M153"/>
  <c r="K153"/>
  <c r="I153"/>
  <c r="S152"/>
  <c r="Q152"/>
  <c r="O152"/>
  <c r="M152"/>
  <c r="K152"/>
  <c r="I152"/>
  <c r="S151"/>
  <c r="Q151"/>
  <c r="O151"/>
  <c r="M151"/>
  <c r="K151"/>
  <c r="I151"/>
  <c r="S150"/>
  <c r="Q150"/>
  <c r="O150"/>
  <c r="M150"/>
  <c r="K150"/>
  <c r="I150"/>
  <c r="S149"/>
  <c r="Q149"/>
  <c r="O149"/>
  <c r="M149"/>
  <c r="K149"/>
  <c r="I149"/>
  <c r="S148"/>
  <c r="Q148"/>
  <c r="O148"/>
  <c r="M148"/>
  <c r="K148"/>
  <c r="I148"/>
  <c r="S147"/>
  <c r="Q147"/>
  <c r="O147"/>
  <c r="M147"/>
  <c r="K147"/>
  <c r="I147"/>
  <c r="S146"/>
  <c r="Q146"/>
  <c r="O146"/>
  <c r="M146"/>
  <c r="K146"/>
  <c r="I146"/>
  <c r="S145"/>
  <c r="Q145"/>
  <c r="O145"/>
  <c r="M145"/>
  <c r="K145"/>
  <c r="I145"/>
  <c r="S144"/>
  <c r="Q144"/>
  <c r="O144"/>
  <c r="M144"/>
  <c r="K144"/>
  <c r="I144"/>
  <c r="S143"/>
  <c r="Q143"/>
  <c r="O143"/>
  <c r="M143"/>
  <c r="K143"/>
  <c r="I143"/>
  <c r="S142"/>
  <c r="Q142"/>
  <c r="O142"/>
  <c r="M142"/>
  <c r="K142"/>
  <c r="I142"/>
  <c r="S141"/>
  <c r="Q141"/>
  <c r="O141"/>
  <c r="M141"/>
  <c r="K141"/>
  <c r="I141"/>
  <c r="S140"/>
  <c r="Q140"/>
  <c r="O140"/>
  <c r="M140"/>
  <c r="K140"/>
  <c r="I140"/>
  <c r="S139"/>
  <c r="Q139"/>
  <c r="O139"/>
  <c r="M139"/>
  <c r="K139"/>
  <c r="I139"/>
  <c r="S138"/>
  <c r="Q138"/>
  <c r="O138"/>
  <c r="M138"/>
  <c r="K138"/>
  <c r="I138"/>
  <c r="S137"/>
  <c r="Q137"/>
  <c r="O137"/>
  <c r="M137"/>
  <c r="K137"/>
  <c r="I137"/>
  <c r="S136"/>
  <c r="Q136"/>
  <c r="O136"/>
  <c r="M136"/>
  <c r="K136"/>
  <c r="I136"/>
  <c r="S135"/>
  <c r="Q135"/>
  <c r="O135"/>
  <c r="M135"/>
  <c r="K135"/>
  <c r="I135"/>
  <c r="S134"/>
  <c r="Q134"/>
  <c r="O134"/>
  <c r="M134"/>
  <c r="K134"/>
  <c r="I134"/>
  <c r="S133"/>
  <c r="Q133"/>
  <c r="O133"/>
  <c r="M133"/>
  <c r="K133"/>
  <c r="I133"/>
  <c r="S132"/>
  <c r="Q132"/>
  <c r="O132"/>
  <c r="M132"/>
  <c r="K132"/>
  <c r="I132"/>
  <c r="S131"/>
  <c r="Q131"/>
  <c r="O131"/>
  <c r="M131"/>
  <c r="K131"/>
  <c r="I131"/>
  <c r="S130"/>
  <c r="Q130"/>
  <c r="O130"/>
  <c r="M130"/>
  <c r="K130"/>
  <c r="I130"/>
  <c r="S129"/>
  <c r="Q129"/>
  <c r="O129"/>
  <c r="M129"/>
  <c r="K129"/>
  <c r="I129"/>
  <c r="S128"/>
  <c r="Q128"/>
  <c r="O128"/>
  <c r="M128"/>
  <c r="K128"/>
  <c r="I128"/>
  <c r="S127"/>
  <c r="Q127"/>
  <c r="O127"/>
  <c r="M127"/>
  <c r="K127"/>
  <c r="I127"/>
  <c r="S126"/>
  <c r="Q126"/>
  <c r="O126"/>
  <c r="M126"/>
  <c r="K126"/>
  <c r="I126"/>
  <c r="S125"/>
  <c r="Q125"/>
  <c r="O125"/>
  <c r="M125"/>
  <c r="K125"/>
  <c r="I125"/>
  <c r="S124"/>
  <c r="Q124"/>
  <c r="O124"/>
  <c r="M124"/>
  <c r="K124"/>
  <c r="I124"/>
  <c r="S123"/>
  <c r="Q123"/>
  <c r="O123"/>
  <c r="M123"/>
  <c r="K123"/>
  <c r="I123"/>
  <c r="S122"/>
  <c r="Q122"/>
  <c r="O122"/>
  <c r="M122"/>
  <c r="K122"/>
  <c r="I122"/>
  <c r="S121"/>
  <c r="Q121"/>
  <c r="O121"/>
  <c r="M121"/>
  <c r="K121"/>
  <c r="I121"/>
  <c r="S120"/>
  <c r="Q120"/>
  <c r="O120"/>
  <c r="M120"/>
  <c r="K120"/>
  <c r="I120"/>
  <c r="S119"/>
  <c r="Q119"/>
  <c r="O119"/>
  <c r="M119"/>
  <c r="K119"/>
  <c r="I119"/>
  <c r="S118"/>
  <c r="Q118"/>
  <c r="O118"/>
  <c r="M118"/>
  <c r="K118"/>
  <c r="I118"/>
  <c r="S117"/>
  <c r="Q117"/>
  <c r="O117"/>
  <c r="M117"/>
  <c r="K117"/>
  <c r="I117"/>
  <c r="S116"/>
  <c r="Q116"/>
  <c r="O116"/>
  <c r="M116"/>
  <c r="K116"/>
  <c r="I116"/>
  <c r="S115"/>
  <c r="Q115"/>
  <c r="O115"/>
  <c r="M115"/>
  <c r="K115"/>
  <c r="I115"/>
  <c r="S114"/>
  <c r="Q114"/>
  <c r="O114"/>
  <c r="M114"/>
  <c r="K114"/>
  <c r="I114"/>
  <c r="S113"/>
  <c r="Q113"/>
  <c r="O113"/>
  <c r="M113"/>
  <c r="K113"/>
  <c r="I113"/>
  <c r="S112"/>
  <c r="Q112"/>
  <c r="O112"/>
  <c r="M112"/>
  <c r="K112"/>
  <c r="I112"/>
  <c r="S111"/>
  <c r="Q111"/>
  <c r="O111"/>
  <c r="M111"/>
  <c r="K111"/>
  <c r="I111"/>
  <c r="S110"/>
  <c r="Q110"/>
  <c r="O110"/>
  <c r="M110"/>
  <c r="K110"/>
  <c r="I110"/>
  <c r="S109"/>
  <c r="Q109"/>
  <c r="O109"/>
  <c r="M109"/>
  <c r="K109"/>
  <c r="I109"/>
  <c r="S108"/>
  <c r="Q108"/>
  <c r="O108"/>
  <c r="M108"/>
  <c r="K108"/>
  <c r="I108"/>
  <c r="S107"/>
  <c r="Q107"/>
  <c r="O107"/>
  <c r="M107"/>
  <c r="K107"/>
  <c r="I107"/>
  <c r="S106"/>
  <c r="Q106"/>
  <c r="O106"/>
  <c r="M106"/>
  <c r="K106"/>
  <c r="I106"/>
  <c r="S105"/>
  <c r="Q105"/>
  <c r="O105"/>
  <c r="M105"/>
  <c r="K105"/>
  <c r="I105"/>
  <c r="S104"/>
  <c r="Q104"/>
  <c r="O104"/>
  <c r="M104"/>
  <c r="K104"/>
  <c r="I104"/>
  <c r="S103"/>
  <c r="Q103"/>
  <c r="O103"/>
  <c r="M103"/>
  <c r="K103"/>
  <c r="I103"/>
  <c r="S102"/>
  <c r="Q102"/>
  <c r="O102"/>
  <c r="M102"/>
  <c r="K102"/>
  <c r="I102"/>
  <c r="S101"/>
  <c r="Q101"/>
  <c r="O101"/>
  <c r="M101"/>
  <c r="K101"/>
  <c r="I101"/>
  <c r="S100"/>
  <c r="Q100"/>
  <c r="O100"/>
  <c r="M100"/>
  <c r="K100"/>
  <c r="I100"/>
  <c r="S99"/>
  <c r="Q99"/>
  <c r="O99"/>
  <c r="M99"/>
  <c r="K99"/>
  <c r="I99"/>
  <c r="S98"/>
  <c r="Q98"/>
  <c r="O98"/>
  <c r="M98"/>
  <c r="K98"/>
  <c r="I98"/>
  <c r="S97"/>
  <c r="Q97"/>
  <c r="O97"/>
  <c r="M97"/>
  <c r="K97"/>
  <c r="I97"/>
  <c r="S96"/>
  <c r="Q96"/>
  <c r="O96"/>
  <c r="M96"/>
  <c r="K96"/>
  <c r="I96"/>
  <c r="S95"/>
  <c r="Q95"/>
  <c r="O95"/>
  <c r="M95"/>
  <c r="K95"/>
  <c r="I95"/>
  <c r="S94"/>
  <c r="Q94"/>
  <c r="O94"/>
  <c r="M94"/>
  <c r="K94"/>
  <c r="I94"/>
  <c r="S93"/>
  <c r="Q93"/>
  <c r="O93"/>
  <c r="M93"/>
  <c r="K93"/>
  <c r="I93"/>
  <c r="S92"/>
  <c r="Q92"/>
  <c r="O92"/>
  <c r="M92"/>
  <c r="K92"/>
  <c r="I92"/>
  <c r="S91"/>
  <c r="Q91"/>
  <c r="O91"/>
  <c r="M91"/>
  <c r="K91"/>
  <c r="I91"/>
  <c r="S90"/>
  <c r="Q90"/>
  <c r="O90"/>
  <c r="M90"/>
  <c r="K90"/>
  <c r="I90"/>
  <c r="S89"/>
  <c r="Q89"/>
  <c r="O89"/>
  <c r="M89"/>
  <c r="K89"/>
  <c r="I89"/>
  <c r="S88"/>
  <c r="Q88"/>
  <c r="O88"/>
  <c r="M88"/>
  <c r="K88"/>
  <c r="I88"/>
  <c r="S87"/>
  <c r="Q87"/>
  <c r="O87"/>
  <c r="M87"/>
  <c r="K87"/>
  <c r="I87"/>
  <c r="S86"/>
  <c r="Q86"/>
  <c r="O86"/>
  <c r="M86"/>
  <c r="K86"/>
  <c r="I86"/>
  <c r="S85"/>
  <c r="Q85"/>
  <c r="O85"/>
  <c r="M85"/>
  <c r="K85"/>
  <c r="I85"/>
  <c r="S84"/>
  <c r="Q84"/>
  <c r="O84"/>
  <c r="M84"/>
  <c r="K84"/>
  <c r="I84"/>
  <c r="S83"/>
  <c r="Q83"/>
  <c r="O83"/>
  <c r="M83"/>
  <c r="K83"/>
  <c r="I83"/>
  <c r="S82"/>
  <c r="Q82"/>
  <c r="O82"/>
  <c r="M82"/>
  <c r="K82"/>
  <c r="I82"/>
  <c r="S81"/>
  <c r="Q81"/>
  <c r="O81"/>
  <c r="M81"/>
  <c r="K81"/>
  <c r="I81"/>
  <c r="S80"/>
  <c r="Q80"/>
  <c r="O80"/>
  <c r="M80"/>
  <c r="K80"/>
  <c r="I80"/>
  <c r="S79"/>
  <c r="Q79"/>
  <c r="O79"/>
  <c r="M79"/>
  <c r="K79"/>
  <c r="I79"/>
  <c r="S78"/>
  <c r="Q78"/>
  <c r="O78"/>
  <c r="M78"/>
  <c r="K78"/>
  <c r="I78"/>
  <c r="S77"/>
  <c r="Q77"/>
  <c r="O77"/>
  <c r="M77"/>
  <c r="K77"/>
  <c r="I77"/>
  <c r="S76"/>
  <c r="Q76"/>
  <c r="O76"/>
  <c r="M76"/>
  <c r="K76"/>
  <c r="I76"/>
  <c r="S75"/>
  <c r="Q75"/>
  <c r="O75"/>
  <c r="M75"/>
  <c r="K75"/>
  <c r="I75"/>
  <c r="S74"/>
  <c r="Q74"/>
  <c r="O74"/>
  <c r="M74"/>
  <c r="K74"/>
  <c r="I74"/>
  <c r="S73"/>
  <c r="Q73"/>
  <c r="O73"/>
  <c r="M73"/>
  <c r="K73"/>
  <c r="I73"/>
  <c r="S72"/>
  <c r="Q72"/>
  <c r="O72"/>
  <c r="M72"/>
  <c r="K72"/>
  <c r="I72"/>
  <c r="S71"/>
  <c r="Q71"/>
  <c r="O71"/>
  <c r="M71"/>
  <c r="K71"/>
  <c r="I71"/>
  <c r="S70"/>
  <c r="Q70"/>
  <c r="O70"/>
  <c r="M70"/>
  <c r="K70"/>
  <c r="I70"/>
  <c r="S69"/>
  <c r="Q69"/>
  <c r="O69"/>
  <c r="M69"/>
  <c r="K69"/>
  <c r="I69"/>
  <c r="S68"/>
  <c r="Q68"/>
  <c r="O68"/>
  <c r="M68"/>
  <c r="K68"/>
  <c r="I68"/>
  <c r="S67"/>
  <c r="Q67"/>
  <c r="O67"/>
  <c r="M67"/>
  <c r="K67"/>
  <c r="I67"/>
  <c r="S66"/>
  <c r="Q66"/>
  <c r="O66"/>
  <c r="M66"/>
  <c r="K66"/>
  <c r="I66"/>
  <c r="S65"/>
  <c r="Q65"/>
  <c r="O65"/>
  <c r="M65"/>
  <c r="K65"/>
  <c r="I65"/>
  <c r="S64"/>
  <c r="Q64"/>
  <c r="O64"/>
  <c r="M64"/>
  <c r="K64"/>
  <c r="I64"/>
  <c r="S63"/>
  <c r="Q63"/>
  <c r="O63"/>
  <c r="M63"/>
  <c r="K63"/>
  <c r="I63"/>
  <c r="S62"/>
  <c r="Q62"/>
  <c r="O62"/>
  <c r="M62"/>
  <c r="K62"/>
  <c r="I62"/>
  <c r="S61"/>
  <c r="Q61"/>
  <c r="O61"/>
  <c r="M61"/>
  <c r="K61"/>
  <c r="I61"/>
  <c r="S60"/>
  <c r="Q60"/>
  <c r="O60"/>
  <c r="M60"/>
  <c r="K60"/>
  <c r="I60"/>
  <c r="S59"/>
  <c r="Q59"/>
  <c r="O59"/>
  <c r="M59"/>
  <c r="K59"/>
  <c r="I59"/>
  <c r="S58"/>
  <c r="Q58"/>
  <c r="O58"/>
  <c r="M58"/>
  <c r="K58"/>
  <c r="I58"/>
  <c r="S57"/>
  <c r="Q57"/>
  <c r="O57"/>
  <c r="M57"/>
  <c r="K57"/>
  <c r="I57"/>
  <c r="S56"/>
  <c r="Q56"/>
  <c r="O56"/>
  <c r="M56"/>
  <c r="K56"/>
  <c r="I56"/>
  <c r="S55"/>
  <c r="Q55"/>
  <c r="O55"/>
  <c r="M55"/>
  <c r="K55"/>
  <c r="I55"/>
  <c r="S54"/>
  <c r="Q54"/>
  <c r="O54"/>
  <c r="M54"/>
  <c r="K54"/>
  <c r="I54"/>
  <c r="S53"/>
  <c r="Q53"/>
  <c r="O53"/>
  <c r="M53"/>
  <c r="K53"/>
  <c r="I53"/>
  <c r="S52"/>
  <c r="Q52"/>
  <c r="O52"/>
  <c r="M52"/>
  <c r="K52"/>
  <c r="I52"/>
  <c r="S51"/>
  <c r="Q51"/>
  <c r="O51"/>
  <c r="M51"/>
  <c r="K51"/>
  <c r="I51"/>
  <c r="S50"/>
  <c r="Q50"/>
  <c r="O50"/>
  <c r="M50"/>
  <c r="K50"/>
  <c r="I50"/>
  <c r="S49"/>
  <c r="Q49"/>
  <c r="O49"/>
  <c r="M49"/>
  <c r="K49"/>
  <c r="I49"/>
  <c r="S48"/>
  <c r="Q48"/>
  <c r="O48"/>
  <c r="M48"/>
  <c r="K48"/>
  <c r="I48"/>
  <c r="S47"/>
  <c r="Q47"/>
  <c r="O47"/>
  <c r="M47"/>
  <c r="K47"/>
  <c r="I47"/>
  <c r="S46"/>
  <c r="Q46"/>
  <c r="O46"/>
  <c r="M46"/>
  <c r="K46"/>
  <c r="I46"/>
  <c r="S45"/>
  <c r="Q45"/>
  <c r="O45"/>
  <c r="M45"/>
  <c r="K45"/>
  <c r="I45"/>
  <c r="S44"/>
  <c r="Q44"/>
  <c r="O44"/>
  <c r="M44"/>
  <c r="K44"/>
  <c r="I44"/>
  <c r="S43"/>
  <c r="Q43"/>
  <c r="O43"/>
  <c r="M43"/>
  <c r="K43"/>
  <c r="I43"/>
  <c r="S42"/>
  <c r="Q42"/>
  <c r="O42"/>
  <c r="M42"/>
  <c r="K42"/>
  <c r="I42"/>
  <c r="S41"/>
  <c r="Q41"/>
  <c r="O41"/>
  <c r="M41"/>
  <c r="K41"/>
  <c r="I41"/>
  <c r="S40"/>
  <c r="Q40"/>
  <c r="O40"/>
  <c r="M40"/>
  <c r="K40"/>
  <c r="I40"/>
  <c r="S39"/>
  <c r="Q39"/>
  <c r="O39"/>
  <c r="M39"/>
  <c r="K39"/>
  <c r="I39"/>
  <c r="S38"/>
  <c r="Q38"/>
  <c r="O38"/>
  <c r="M38"/>
  <c r="K38"/>
  <c r="I38"/>
  <c r="S37"/>
  <c r="Q37"/>
  <c r="O37"/>
  <c r="M37"/>
  <c r="K37"/>
  <c r="I37"/>
  <c r="S36"/>
  <c r="Q36"/>
  <c r="O36"/>
  <c r="M36"/>
  <c r="K36"/>
  <c r="I36"/>
  <c r="S35"/>
  <c r="Q35"/>
  <c r="O35"/>
  <c r="M35"/>
  <c r="K35"/>
  <c r="I35"/>
  <c r="S34"/>
  <c r="Q34"/>
  <c r="O34"/>
  <c r="M34"/>
  <c r="K34"/>
  <c r="I34"/>
  <c r="S33"/>
  <c r="Q33"/>
  <c r="O33"/>
  <c r="M33"/>
  <c r="K33"/>
  <c r="I33"/>
  <c r="S32"/>
  <c r="Q32"/>
  <c r="O32"/>
  <c r="M32"/>
  <c r="K32"/>
  <c r="I32"/>
  <c r="S31"/>
  <c r="Q31"/>
  <c r="O31"/>
  <c r="M31"/>
  <c r="K31"/>
  <c r="I31"/>
  <c r="S30"/>
  <c r="Q30"/>
  <c r="O30"/>
  <c r="M30"/>
  <c r="K30"/>
  <c r="I30"/>
  <c r="S29"/>
  <c r="Q29"/>
  <c r="O29"/>
  <c r="M29"/>
  <c r="K29"/>
  <c r="I29"/>
  <c r="S28"/>
  <c r="Q28"/>
  <c r="O28"/>
  <c r="M28"/>
  <c r="K28"/>
  <c r="I28"/>
  <c r="S27"/>
  <c r="Q27"/>
  <c r="O27"/>
  <c r="M27"/>
  <c r="K27"/>
  <c r="I27"/>
  <c r="S26"/>
  <c r="Q26"/>
  <c r="O26"/>
  <c r="M26"/>
  <c r="K26"/>
  <c r="I26"/>
  <c r="S25"/>
  <c r="Q25"/>
  <c r="O25"/>
  <c r="M25"/>
  <c r="K25"/>
  <c r="I25"/>
  <c r="S24"/>
  <c r="Q24"/>
  <c r="O24"/>
  <c r="M24"/>
  <c r="K24"/>
  <c r="I24"/>
  <c r="S23"/>
  <c r="Q23"/>
  <c r="O23"/>
  <c r="M23"/>
  <c r="K23"/>
  <c r="I23"/>
  <c r="S22"/>
  <c r="Q22"/>
  <c r="O22"/>
  <c r="M22"/>
  <c r="K22"/>
  <c r="I22"/>
  <c r="S21"/>
  <c r="Q21"/>
  <c r="O21"/>
  <c r="M21"/>
  <c r="K21"/>
  <c r="I21"/>
  <c r="S20"/>
  <c r="Q20"/>
  <c r="O20"/>
  <c r="M20"/>
  <c r="K20"/>
  <c r="I20"/>
  <c r="S19"/>
  <c r="Q19"/>
  <c r="O19"/>
  <c r="M19"/>
  <c r="K19"/>
  <c r="I19"/>
  <c r="S18"/>
  <c r="Q18"/>
  <c r="O18"/>
  <c r="M18"/>
  <c r="K18"/>
  <c r="I18"/>
  <c r="S17"/>
  <c r="Q17"/>
  <c r="O17"/>
  <c r="M17"/>
  <c r="K17"/>
  <c r="I17"/>
  <c r="S16"/>
  <c r="Q16"/>
  <c r="O16"/>
  <c r="M16"/>
  <c r="K16"/>
  <c r="I16"/>
  <c r="S15"/>
  <c r="Q15"/>
  <c r="O15"/>
  <c r="M15"/>
  <c r="K15"/>
  <c r="I15"/>
  <c r="S14"/>
  <c r="Q14"/>
  <c r="O14"/>
  <c r="M14"/>
  <c r="K14"/>
  <c r="I14"/>
  <c r="S13"/>
  <c r="Q13"/>
  <c r="O13"/>
  <c r="M13"/>
  <c r="K13"/>
  <c r="I13"/>
  <c r="S12"/>
  <c r="Q12"/>
  <c r="O12"/>
  <c r="M12"/>
  <c r="K12"/>
  <c r="I12"/>
  <c r="S11"/>
  <c r="Q11"/>
  <c r="O11"/>
  <c r="M11"/>
  <c r="K11"/>
  <c r="I11"/>
  <c r="S10"/>
  <c r="Q10"/>
  <c r="O10"/>
  <c r="M10"/>
  <c r="K10"/>
  <c r="I10"/>
  <c r="S9"/>
  <c r="Q9"/>
  <c r="O9"/>
  <c r="M9"/>
  <c r="K9"/>
  <c r="I9"/>
  <c r="S8"/>
  <c r="Q8"/>
  <c r="O8"/>
  <c r="M8"/>
  <c r="K8"/>
  <c r="I8"/>
  <c r="G14" i="5"/>
  <c r="G13"/>
  <c r="G21"/>
  <c r="G22" s="1"/>
  <c r="B119"/>
  <c r="B117"/>
  <c r="B115"/>
  <c r="B113"/>
  <c r="B111"/>
  <c r="K46"/>
  <c r="K32"/>
  <c r="L32" s="1"/>
  <c r="G19"/>
  <c r="B8"/>
  <c r="G12" s="1"/>
  <c r="B7"/>
  <c r="B6"/>
  <c r="B4"/>
  <c r="B3"/>
  <c r="B5"/>
  <c r="J61" i="1"/>
  <c r="A44"/>
  <c r="C46"/>
  <c r="B39"/>
  <c r="C168"/>
  <c r="A158"/>
  <c r="D123"/>
  <c r="B113"/>
  <c r="C103"/>
  <c r="D92"/>
  <c r="F73"/>
  <c r="B54"/>
  <c r="F2" i="4"/>
  <c r="B2"/>
  <c r="D197" i="1"/>
  <c r="I194"/>
  <c r="E179"/>
  <c r="B46"/>
  <c r="B38"/>
  <c r="E168"/>
  <c r="A148"/>
  <c r="E132"/>
  <c r="E124"/>
  <c r="E113"/>
  <c r="E103"/>
  <c r="E93"/>
  <c r="F71"/>
  <c r="C39"/>
  <c r="A163"/>
  <c r="B118"/>
  <c r="D98"/>
  <c r="E62"/>
  <c r="C2" i="4"/>
  <c r="K194" i="1"/>
  <c r="L292"/>
  <c r="L284"/>
  <c r="L276"/>
  <c r="L268"/>
  <c r="L260"/>
  <c r="L252"/>
  <c r="L244"/>
  <c r="L236"/>
  <c r="L228"/>
  <c r="L220"/>
  <c r="L212"/>
  <c r="L204"/>
  <c r="I199"/>
  <c r="J199" s="1"/>
  <c r="B52"/>
  <c r="A153"/>
  <c r="F75"/>
  <c r="L295"/>
  <c r="L279"/>
  <c r="L263"/>
  <c r="L247"/>
  <c r="L231"/>
  <c r="L215"/>
  <c r="B173"/>
  <c r="E173" s="1"/>
  <c r="C128"/>
  <c r="E128" s="1"/>
  <c r="E82"/>
  <c r="G2" i="4"/>
  <c r="D2"/>
  <c r="L296" i="1"/>
  <c r="L280"/>
  <c r="L264"/>
  <c r="L248"/>
  <c r="L232"/>
  <c r="L216"/>
  <c r="L200"/>
  <c r="A142"/>
  <c r="E99"/>
  <c r="L287"/>
  <c r="L255"/>
  <c r="L223"/>
  <c r="C108"/>
  <c r="E108" s="1"/>
  <c r="L272"/>
  <c r="L240"/>
  <c r="L208"/>
  <c r="E61"/>
  <c r="L239"/>
  <c r="L256"/>
  <c r="L271"/>
  <c r="L207"/>
  <c r="D179"/>
  <c r="D181" s="1"/>
  <c r="B45"/>
  <c r="E2" i="4"/>
  <c r="L288" i="1"/>
  <c r="E118"/>
  <c r="F173"/>
  <c r="F158"/>
  <c r="F132"/>
  <c r="F113"/>
  <c r="F93"/>
  <c r="G71"/>
  <c r="F61"/>
  <c r="C38"/>
  <c r="C14"/>
  <c r="B2" i="5"/>
  <c r="F159" i="1"/>
  <c r="F143"/>
  <c r="F118"/>
  <c r="F99"/>
  <c r="G73"/>
  <c r="C55"/>
  <c r="I197"/>
  <c r="J197" s="1"/>
  <c r="B12"/>
  <c r="C21"/>
  <c r="A1"/>
  <c r="G15" i="5"/>
  <c r="G20"/>
  <c r="H20" s="1"/>
  <c r="G18"/>
  <c r="H18" s="1"/>
  <c r="F148" i="1"/>
  <c r="F124"/>
  <c r="F103"/>
  <c r="G75"/>
  <c r="B23"/>
  <c r="E181"/>
  <c r="L224"/>
  <c r="H21" i="5"/>
  <c r="H19"/>
  <c r="F168" i="1"/>
  <c r="F153"/>
  <c r="F128"/>
  <c r="F108"/>
  <c r="F82"/>
  <c r="B21"/>
  <c r="C52"/>
  <c r="C23"/>
  <c r="B14"/>
  <c r="H22" i="5"/>
  <c r="C54" i="1"/>
  <c r="F163"/>
  <c r="F62"/>
  <c r="C45"/>
  <c r="C12"/>
  <c r="L203"/>
  <c r="L211"/>
  <c r="L219"/>
  <c r="L227"/>
  <c r="L235"/>
  <c r="L243"/>
  <c r="L251"/>
  <c r="L259"/>
  <c r="L267"/>
  <c r="L275"/>
  <c r="L283"/>
  <c r="L291"/>
  <c r="L299"/>
  <c r="L201"/>
  <c r="L205"/>
  <c r="L209"/>
  <c r="L213"/>
  <c r="L217"/>
  <c r="L221"/>
  <c r="L225"/>
  <c r="L229"/>
  <c r="L233"/>
  <c r="L237"/>
  <c r="L241"/>
  <c r="L245"/>
  <c r="L249"/>
  <c r="L253"/>
  <c r="L257"/>
  <c r="L261"/>
  <c r="L265"/>
  <c r="L269"/>
  <c r="L273"/>
  <c r="L277"/>
  <c r="L281"/>
  <c r="L285"/>
  <c r="L289"/>
  <c r="L293"/>
  <c r="L297"/>
  <c r="L202"/>
  <c r="L206"/>
  <c r="L210"/>
  <c r="L214"/>
  <c r="L218"/>
  <c r="L222"/>
  <c r="L226"/>
  <c r="L230"/>
  <c r="L234"/>
  <c r="L238"/>
  <c r="L242"/>
  <c r="L246"/>
  <c r="L250"/>
  <c r="L254"/>
  <c r="L258"/>
  <c r="L262"/>
  <c r="L266"/>
  <c r="L270"/>
  <c r="L274"/>
  <c r="L278"/>
  <c r="L282"/>
  <c r="L286"/>
  <c r="L290"/>
  <c r="L294"/>
  <c r="L298"/>
  <c r="C197" s="1"/>
  <c r="J57" l="1"/>
  <c r="J58"/>
  <c r="J60"/>
  <c r="E143"/>
  <c r="E153"/>
  <c r="J62"/>
  <c r="E163"/>
  <c r="E148"/>
  <c r="J59"/>
  <c r="B55"/>
  <c r="E158"/>
  <c r="E159" s="1"/>
  <c r="G23" i="5"/>
  <c r="K33"/>
  <c r="L33" s="1"/>
  <c r="K34"/>
  <c r="G24"/>
  <c r="I193" i="1"/>
  <c r="K47"/>
  <c r="E5" i="4"/>
  <c r="K49" i="1" s="1"/>
  <c r="M47"/>
  <c r="G5" i="4"/>
  <c r="M49" i="1" s="1"/>
  <c r="B5" i="4"/>
  <c r="H49" i="1" s="1"/>
  <c r="H48"/>
  <c r="K198"/>
  <c r="L48"/>
  <c r="F5" i="4"/>
  <c r="L49" i="1" s="1"/>
  <c r="J48"/>
  <c r="D5" i="4"/>
  <c r="J49" i="1" s="1"/>
  <c r="I192"/>
  <c r="I200" s="1"/>
  <c r="I198"/>
  <c r="H24" i="5"/>
  <c r="K199" i="1"/>
  <c r="L199" s="1"/>
  <c r="L198"/>
  <c r="H23" i="5"/>
  <c r="K197" i="1"/>
  <c r="L197" s="1"/>
  <c r="J200"/>
  <c r="J198"/>
  <c r="K35" i="5" l="1"/>
  <c r="L34"/>
  <c r="I201" i="1"/>
  <c r="G25" i="5"/>
  <c r="H25"/>
  <c r="J201" i="1"/>
  <c r="L35" i="5" l="1"/>
  <c r="K36"/>
  <c r="G26"/>
  <c r="I202" i="1"/>
  <c r="J202"/>
  <c r="H26" i="5"/>
  <c r="L36" l="1"/>
  <c r="K37"/>
  <c r="G27"/>
  <c r="I203" i="1"/>
  <c r="J203"/>
  <c r="H27" i="5"/>
  <c r="L37" l="1"/>
  <c r="K38"/>
  <c r="G28"/>
  <c r="I204" i="1"/>
  <c r="J204"/>
  <c r="H28" i="5"/>
  <c r="G29" l="1"/>
  <c r="K39"/>
  <c r="L38"/>
  <c r="I205" i="1"/>
  <c r="J205"/>
  <c r="H29" i="5"/>
  <c r="G30" l="1"/>
  <c r="L39"/>
  <c r="K40"/>
  <c r="I206" i="1"/>
  <c r="J206"/>
  <c r="H30" i="5"/>
  <c r="G31" l="1"/>
  <c r="L40"/>
  <c r="K41"/>
  <c r="I207" i="1"/>
  <c r="J207"/>
  <c r="H31" i="5"/>
  <c r="G32" l="1"/>
  <c r="L41"/>
  <c r="K42"/>
  <c r="I208" i="1"/>
  <c r="J208"/>
  <c r="H32" i="5"/>
  <c r="G33" l="1"/>
  <c r="K43"/>
  <c r="L42"/>
  <c r="I209" i="1"/>
  <c r="J209"/>
  <c r="H33" i="5"/>
  <c r="L43" l="1"/>
  <c r="K44"/>
  <c r="G34"/>
  <c r="I210" i="1"/>
  <c r="J210"/>
  <c r="H34" i="5"/>
  <c r="G35" l="1"/>
  <c r="L44"/>
  <c r="K45"/>
  <c r="I211" i="1"/>
  <c r="J211"/>
  <c r="H35" i="5"/>
  <c r="G36" l="1"/>
  <c r="L45"/>
  <c r="L46"/>
  <c r="I212" i="1"/>
  <c r="J212"/>
  <c r="H36" i="5"/>
  <c r="G37" l="1"/>
  <c r="I213" i="1"/>
  <c r="J213"/>
  <c r="H37" i="5"/>
  <c r="G38" l="1"/>
  <c r="I214" i="1"/>
  <c r="J214"/>
  <c r="H38" i="5"/>
  <c r="G39" l="1"/>
  <c r="I215" i="1"/>
  <c r="J215"/>
  <c r="H39" i="5"/>
  <c r="G40" l="1"/>
  <c r="I216" i="1"/>
  <c r="J216"/>
  <c r="H40" i="5"/>
  <c r="G41" l="1"/>
  <c r="I217" i="1"/>
  <c r="J217"/>
  <c r="H41" i="5"/>
  <c r="G42" l="1"/>
  <c r="I218" i="1"/>
  <c r="J218"/>
  <c r="H42" i="5"/>
  <c r="G43" l="1"/>
  <c r="I219" i="1"/>
  <c r="J219"/>
  <c r="H43" i="5"/>
  <c r="G44" l="1"/>
  <c r="I220" i="1"/>
  <c r="J220"/>
  <c r="H44" i="5"/>
  <c r="G45" l="1"/>
  <c r="I221" i="1"/>
  <c r="J221"/>
  <c r="H45" i="5"/>
  <c r="G46" l="1"/>
  <c r="I222" i="1"/>
  <c r="J222"/>
  <c r="H46" i="5"/>
  <c r="G47" l="1"/>
  <c r="I223" i="1"/>
  <c r="J223"/>
  <c r="H47" i="5"/>
  <c r="G48" l="1"/>
  <c r="I224" i="1"/>
  <c r="J224"/>
  <c r="H48" i="5"/>
  <c r="G49" l="1"/>
  <c r="I225" i="1"/>
  <c r="J225"/>
  <c r="H49" i="5"/>
  <c r="G50" l="1"/>
  <c r="I226" i="1"/>
  <c r="J226"/>
  <c r="H50" i="5"/>
  <c r="G51" l="1"/>
  <c r="I227" i="1"/>
  <c r="J227"/>
  <c r="H51" i="5"/>
  <c r="G52" l="1"/>
  <c r="I228" i="1"/>
  <c r="J228"/>
  <c r="H52" i="5"/>
  <c r="G53" l="1"/>
  <c r="I229" i="1"/>
  <c r="J229"/>
  <c r="H53" i="5"/>
  <c r="G54" l="1"/>
  <c r="I230" i="1"/>
  <c r="J230"/>
  <c r="H54" i="5"/>
  <c r="G55" l="1"/>
  <c r="I231" i="1"/>
  <c r="J231"/>
  <c r="H55" i="5"/>
  <c r="G56" l="1"/>
  <c r="I232" i="1"/>
  <c r="J232"/>
  <c r="H56" i="5"/>
  <c r="G57" l="1"/>
  <c r="I233" i="1"/>
  <c r="J233"/>
  <c r="H57" i="5"/>
  <c r="G58" l="1"/>
  <c r="I234" i="1"/>
  <c r="J234"/>
  <c r="H58" i="5"/>
  <c r="G59" l="1"/>
  <c r="I235" i="1"/>
  <c r="J235"/>
  <c r="H59" i="5"/>
  <c r="G60" l="1"/>
  <c r="I236" i="1"/>
  <c r="J236"/>
  <c r="H60" i="5"/>
  <c r="G61" l="1"/>
  <c r="I237" i="1"/>
  <c r="J237"/>
  <c r="H61" i="5"/>
  <c r="G62" l="1"/>
  <c r="I238" i="1"/>
  <c r="J238"/>
  <c r="H62" i="5"/>
  <c r="G63" l="1"/>
  <c r="I239" i="1"/>
  <c r="J239"/>
  <c r="H63" i="5"/>
  <c r="G64" l="1"/>
  <c r="I240" i="1"/>
  <c r="J240"/>
  <c r="H64" i="5"/>
  <c r="G65" l="1"/>
  <c r="I241" i="1"/>
  <c r="J241"/>
  <c r="H65" i="5"/>
  <c r="G66" l="1"/>
  <c r="I242" i="1"/>
  <c r="J242"/>
  <c r="H66" i="5"/>
  <c r="G67" l="1"/>
  <c r="I243" i="1"/>
  <c r="J243"/>
  <c r="H67" i="5"/>
  <c r="G68" l="1"/>
  <c r="I244" i="1"/>
  <c r="J244"/>
  <c r="H68" i="5"/>
  <c r="G69" l="1"/>
  <c r="I245" i="1"/>
  <c r="J245"/>
  <c r="H69" i="5"/>
  <c r="G70" l="1"/>
  <c r="I246" i="1"/>
  <c r="J246"/>
  <c r="H70" i="5"/>
  <c r="G71" l="1"/>
  <c r="I247" i="1"/>
  <c r="J247"/>
  <c r="H71" i="5"/>
  <c r="G72" l="1"/>
  <c r="I248" i="1"/>
  <c r="J248"/>
  <c r="H72" i="5"/>
  <c r="G73" l="1"/>
  <c r="I249" i="1"/>
  <c r="J249"/>
  <c r="H73" i="5"/>
  <c r="G74" l="1"/>
  <c r="I250" i="1"/>
  <c r="J250"/>
  <c r="H74" i="5"/>
  <c r="G75" l="1"/>
  <c r="I251" i="1"/>
  <c r="J251"/>
  <c r="H75" i="5"/>
  <c r="G76" l="1"/>
  <c r="I252" i="1"/>
  <c r="J252"/>
  <c r="H76" i="5"/>
  <c r="G77" l="1"/>
  <c r="I253" i="1"/>
  <c r="J253"/>
  <c r="H77" i="5"/>
  <c r="G78" l="1"/>
  <c r="I254" i="1"/>
  <c r="J254"/>
  <c r="H78" i="5"/>
  <c r="G79" l="1"/>
  <c r="I255" i="1"/>
  <c r="J255"/>
  <c r="H79" i="5"/>
  <c r="G80" l="1"/>
  <c r="I256" i="1"/>
  <c r="J256"/>
  <c r="H80" i="5"/>
  <c r="G81" l="1"/>
  <c r="I257" i="1"/>
  <c r="J257"/>
  <c r="H81" i="5"/>
  <c r="G82" l="1"/>
  <c r="I258" i="1"/>
  <c r="J258"/>
  <c r="H82" i="5"/>
  <c r="G83" l="1"/>
  <c r="I259" i="1"/>
  <c r="J259"/>
  <c r="H83" i="5"/>
  <c r="G84" l="1"/>
  <c r="I260" i="1"/>
  <c r="J260"/>
  <c r="H84" i="5"/>
  <c r="G85" l="1"/>
  <c r="I261" i="1"/>
  <c r="J261"/>
  <c r="H85" i="5"/>
  <c r="G86" l="1"/>
  <c r="I262" i="1"/>
  <c r="J262"/>
  <c r="H86" i="5"/>
  <c r="G87" l="1"/>
  <c r="I263" i="1"/>
  <c r="J263"/>
  <c r="H87" i="5"/>
  <c r="G88" l="1"/>
  <c r="I264" i="1"/>
  <c r="J264"/>
  <c r="H88" i="5"/>
  <c r="G89" l="1"/>
  <c r="I265" i="1"/>
  <c r="J265"/>
  <c r="H89" i="5"/>
  <c r="G90" l="1"/>
  <c r="I266" i="1"/>
  <c r="J266"/>
  <c r="H90" i="5"/>
  <c r="G91" l="1"/>
  <c r="I267" i="1"/>
  <c r="J267"/>
  <c r="H91" i="5"/>
  <c r="G92" l="1"/>
  <c r="I268" i="1"/>
  <c r="J268"/>
  <c r="H92" i="5"/>
  <c r="G93" l="1"/>
  <c r="I269" i="1"/>
  <c r="J269"/>
  <c r="H93" i="5"/>
  <c r="G94" l="1"/>
  <c r="I270" i="1"/>
  <c r="J270"/>
  <c r="H94" i="5"/>
  <c r="G95" l="1"/>
  <c r="I271" i="1"/>
  <c r="J271"/>
  <c r="H95" i="5"/>
  <c r="G96" l="1"/>
  <c r="I272" i="1"/>
  <c r="J272"/>
  <c r="H96" i="5"/>
  <c r="G97" l="1"/>
  <c r="I273" i="1"/>
  <c r="J273"/>
  <c r="H97" i="5"/>
  <c r="G98" l="1"/>
  <c r="I274" i="1"/>
  <c r="J274"/>
  <c r="H98" i="5"/>
  <c r="G99" l="1"/>
  <c r="I275" i="1"/>
  <c r="J275"/>
  <c r="H99" i="5"/>
  <c r="G100" l="1"/>
  <c r="I276" i="1"/>
  <c r="J276"/>
  <c r="H100" i="5"/>
  <c r="G101" l="1"/>
  <c r="I277" i="1"/>
  <c r="J277"/>
  <c r="H101" i="5"/>
  <c r="G102" l="1"/>
  <c r="I278" i="1"/>
  <c r="J278"/>
  <c r="H102" i="5"/>
  <c r="G103" l="1"/>
  <c r="I279" i="1"/>
  <c r="J279"/>
  <c r="H103" i="5"/>
  <c r="G104" l="1"/>
  <c r="I280" i="1"/>
  <c r="J280"/>
  <c r="H104" i="5"/>
  <c r="G105" l="1"/>
  <c r="I281" i="1"/>
  <c r="J281"/>
  <c r="H105" i="5"/>
  <c r="G106" l="1"/>
  <c r="I282" i="1"/>
  <c r="J282"/>
  <c r="H106" i="5"/>
  <c r="G107" l="1"/>
  <c r="I283" i="1"/>
  <c r="J283"/>
  <c r="H107" i="5"/>
  <c r="G108" l="1"/>
  <c r="I284" i="1"/>
  <c r="J284"/>
  <c r="H108" i="5"/>
  <c r="G109" l="1"/>
  <c r="I285" i="1"/>
  <c r="H109" i="5"/>
  <c r="J285" i="1"/>
  <c r="I286" l="1"/>
  <c r="G110" i="5"/>
  <c r="J286" i="1"/>
  <c r="H110" i="5"/>
  <c r="G111" l="1"/>
  <c r="I287" i="1"/>
  <c r="J287"/>
  <c r="H111" i="5"/>
  <c r="G112" l="1"/>
  <c r="I288" i="1"/>
  <c r="J288"/>
  <c r="H112" i="5"/>
  <c r="G113" l="1"/>
  <c r="I289" i="1"/>
  <c r="J289"/>
  <c r="H113" i="5"/>
  <c r="G114" l="1"/>
  <c r="I290" i="1"/>
  <c r="J290"/>
  <c r="H114" i="5"/>
  <c r="G115" l="1"/>
  <c r="I291" i="1"/>
  <c r="J291"/>
  <c r="H115" i="5"/>
  <c r="G116" l="1"/>
  <c r="I292" i="1"/>
  <c r="J292"/>
  <c r="H116" i="5"/>
  <c r="G117" l="1"/>
  <c r="I293" i="1"/>
  <c r="H117" i="5"/>
  <c r="J293" i="1"/>
  <c r="I294" l="1"/>
  <c r="G118" i="5"/>
  <c r="H118"/>
  <c r="J294" i="1"/>
  <c r="I295" l="1"/>
  <c r="G119" i="5"/>
  <c r="H119"/>
  <c r="J295" i="1"/>
  <c r="I296" l="1"/>
  <c r="G120" i="5"/>
  <c r="H120"/>
  <c r="J296" i="1"/>
  <c r="I297" l="1"/>
  <c r="J297"/>
  <c r="I298" l="1"/>
  <c r="J298"/>
  <c r="I299" l="1"/>
  <c r="J299"/>
</calcChain>
</file>

<file path=xl/sharedStrings.xml><?xml version="1.0" encoding="utf-8"?>
<sst xmlns="http://schemas.openxmlformats.org/spreadsheetml/2006/main" count="246" uniqueCount="138">
  <si>
    <t>James W. Richardson</t>
  </si>
  <si>
    <t>Demonstrate the nature of different probability distributions.</t>
  </si>
  <si>
    <t>Uniform Distribution  U(Min, Max)</t>
  </si>
  <si>
    <t>Min</t>
  </si>
  <si>
    <t>Max</t>
  </si>
  <si>
    <t>Direct method of simulation</t>
  </si>
  <si>
    <t>Indirect method of simulation</t>
  </si>
  <si>
    <t>Normal Distribution  N(Mean, Std Dev)</t>
  </si>
  <si>
    <t>Mean</t>
  </si>
  <si>
    <t>Std Dev</t>
  </si>
  <si>
    <t>Empirical Distribution  E(Si, P(Si))</t>
  </si>
  <si>
    <t>Si</t>
  </si>
  <si>
    <t>P(Si)</t>
  </si>
  <si>
    <t>Mode</t>
  </si>
  <si>
    <t>p</t>
  </si>
  <si>
    <t>Discrete Uniform Distribution  DU(S1, S2, S3, …, Sn)</t>
  </si>
  <si>
    <t>Bernoulli Distribution B(p)</t>
  </si>
  <si>
    <t>StDev</t>
  </si>
  <si>
    <t>CV</t>
  </si>
  <si>
    <t>Iteration</t>
  </si>
  <si>
    <t>CDFProb.</t>
  </si>
  <si>
    <t>Simetar Simulation Results for 500 Iterations.  6:09:13 PM 7/3/00 (3.29sec)</t>
  </si>
  <si>
    <t>Uniform</t>
  </si>
  <si>
    <t>Normal</t>
  </si>
  <si>
    <t>Empirical</t>
  </si>
  <si>
    <t>GRK</t>
  </si>
  <si>
    <t>Bernoulli</t>
  </si>
  <si>
    <t>Discrete Uniform</t>
  </si>
  <si>
    <t>Chapter 4</t>
  </si>
  <si>
    <t>Two direct methods for simulation</t>
  </si>
  <si>
    <t>Truncated Normal Distribution</t>
  </si>
  <si>
    <t>Truncated Empirical Distribution</t>
  </si>
  <si>
    <t>Minimum</t>
  </si>
  <si>
    <t>Maximum</t>
  </si>
  <si>
    <t>Also called the Discrete Empirical Distribution</t>
  </si>
  <si>
    <t>GRKS Distribution</t>
  </si>
  <si>
    <t>Middle</t>
  </si>
  <si>
    <t>LD</t>
  </si>
  <si>
    <t>UD</t>
  </si>
  <si>
    <t>USD</t>
  </si>
  <si>
    <t>Function</t>
  </si>
  <si>
    <t>Triangle Distribution</t>
  </si>
  <si>
    <t>Binomial Distribution</t>
  </si>
  <si>
    <t>N</t>
  </si>
  <si>
    <t>P</t>
  </si>
  <si>
    <t>Negative Binomial</t>
  </si>
  <si>
    <t xml:space="preserve">N </t>
  </si>
  <si>
    <t>Poisson Distribution</t>
  </si>
  <si>
    <t>L</t>
  </si>
  <si>
    <t>Geometric Distribution</t>
  </si>
  <si>
    <t>Hypergeometric Distribution</t>
  </si>
  <si>
    <t>M</t>
  </si>
  <si>
    <t>K</t>
  </si>
  <si>
    <t>Cauchy Distribution</t>
  </si>
  <si>
    <t>Median</t>
  </si>
  <si>
    <t>Sigma</t>
  </si>
  <si>
    <t>Boot Strapper Distribution</t>
  </si>
  <si>
    <t>Beta Distribution Supplied by Excel</t>
  </si>
  <si>
    <t>Alpha</t>
  </si>
  <si>
    <t>Beta</t>
  </si>
  <si>
    <t>Chi-Squared Distribution</t>
  </si>
  <si>
    <t>Gamma Distribution</t>
  </si>
  <si>
    <t>Log Normal Distribution</t>
  </si>
  <si>
    <t xml:space="preserve">Mean 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</si>
  <si>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</si>
  <si>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</si>
  <si>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</si>
  <si>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</si>
  <si>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</si>
  <si>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</si>
  <si>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</si>
  <si>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</si>
  <si>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</si>
  <si>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</si>
  <si>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</si>
  <si>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Convert the random number to natural nos.&gt;</t>
  </si>
  <si>
    <t>Student's t Distribution</t>
  </si>
  <si>
    <t>Degrees of Freedom</t>
  </si>
  <si>
    <t>Weibull Distribution</t>
  </si>
  <si>
    <t>Exponential Distribution</t>
  </si>
  <si>
    <t>Start</t>
  </si>
  <si>
    <t>End</t>
  </si>
  <si>
    <t>Band Width</t>
  </si>
  <si>
    <t>Kernel</t>
  </si>
  <si>
    <t>Confidence Level</t>
  </si>
  <si>
    <t>Lower Quantile</t>
  </si>
  <si>
    <t>Upper Quantile</t>
  </si>
  <si>
    <t>Gaussian</t>
  </si>
  <si>
    <t>PDF Distrinution</t>
  </si>
  <si>
    <t>Histogram Data</t>
  </si>
  <si>
    <t>X-Axis</t>
  </si>
  <si>
    <t>Frequency</t>
  </si>
  <si>
    <t xml:space="preserve">Select any random number fuction as the KOV for Simetar and view </t>
  </si>
  <si>
    <t>the PDF and histogram in SimData.</t>
  </si>
  <si>
    <t>Simetar Simulation Results for 100 Iterations.  6:24:59 PM 3/27/2005 (1.30 sec.).  © 2005.</t>
  </si>
  <si>
    <t>KOV Table</t>
  </si>
  <si>
    <t>Simetar Simulation Results for 500 Iterations.  6:31:28 PM 3/27/2005 (4.28 sec.).  © 2005.</t>
  </si>
  <si>
    <t xml:space="preserve">Normal  </t>
  </si>
  <si>
    <t xml:space="preserve">Empirical  </t>
  </si>
  <si>
    <t xml:space="preserve">GRK  </t>
  </si>
  <si>
    <t xml:space="preserve">Bernoulli  </t>
  </si>
  <si>
    <t>Randsort</t>
  </si>
  <si>
    <t>Dempirical</t>
  </si>
  <si>
    <t>T Norm</t>
  </si>
  <si>
    <t>T EMP</t>
  </si>
  <si>
    <t>GRKS</t>
  </si>
  <si>
    <t>Triangle</t>
  </si>
  <si>
    <t>Binomial</t>
  </si>
  <si>
    <t>Neg Binomial</t>
  </si>
  <si>
    <t>Poisson</t>
  </si>
  <si>
    <t>Geometric</t>
  </si>
  <si>
    <t>HyperGeo</t>
  </si>
  <si>
    <t>Cauchy</t>
  </si>
  <si>
    <t>BootStrap</t>
  </si>
  <si>
    <t>ChiSquare</t>
  </si>
  <si>
    <t>Gamma</t>
  </si>
  <si>
    <t>LN</t>
  </si>
  <si>
    <t>Students t</t>
  </si>
  <si>
    <t>Weibull</t>
  </si>
  <si>
    <t>EXP Dist</t>
  </si>
  <si>
    <t xml:space="preserve">GRK and GRKS Distributions  GRK(Min, Mode, Max)                </t>
  </si>
  <si>
    <t>Kernel Distribution</t>
  </si>
  <si>
    <t>X</t>
  </si>
  <si>
    <t>Average</t>
  </si>
  <si>
    <t>Parameter for Kernel</t>
  </si>
  <si>
    <t>Bandwidth</t>
  </si>
  <si>
    <t>Simulate X as a Gaussian Kernel</t>
  </si>
  <si>
    <t>Sparse Data Kernel Distribution</t>
  </si>
  <si>
    <t>CDF Approximations</t>
  </si>
  <si>
    <t>Histogram</t>
  </si>
  <si>
    <t>Draw a CDF of X as if two variables (see CDF menu below)</t>
  </si>
  <si>
    <t>Edit Kernel type for first to be Histogram to show true nature</t>
  </si>
  <si>
    <t>of the distribution for X</t>
  </si>
  <si>
    <t xml:space="preserve">Simulate the random variable as a smoothed kernel using the </t>
  </si>
  <si>
    <t>Empirical distribution and the Sx and F(x) values:</t>
  </si>
  <si>
    <t>CDF has F(x) values of 0.0 and 1.0.</t>
  </si>
  <si>
    <t xml:space="preserve">In second X variable, extend the End and Start values until smooth </t>
  </si>
  <si>
    <t>© 2011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</si>
</sst>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00"/>
    <numFmt numFmtId="167" formatCode="0.0%"/>
  </numFmts>
  <fonts count="2">
    <font>
      <sz val="9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1" xfId="0" applyBorder="1"/>
    <xf numFmtId="0" fontId="1" fillId="0" borderId="1" xfId="0" applyFont="1" applyBorder="1"/>
    <xf numFmtId="165" fontId="0" fillId="0" borderId="0" xfId="0" applyNumberFormat="1"/>
    <xf numFmtId="167" fontId="0" fillId="0" borderId="0" xfId="0" applyNumberFormat="1"/>
    <xf numFmtId="166" fontId="0" fillId="0" borderId="2" xfId="0" applyNumberFormat="1" applyBorder="1"/>
    <xf numFmtId="166" fontId="1" fillId="0" borderId="3" xfId="0" applyNumberFormat="1" applyFon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66" fontId="1" fillId="0" borderId="7" xfId="0" applyNumberFormat="1" applyFon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CDFs for Alternative Probability Distributions</a:t>
            </a:r>
          </a:p>
        </c:rich>
      </c:tx>
      <c:layout>
        <c:manualLayout>
          <c:xMode val="edge"/>
          <c:yMode val="edge"/>
          <c:x val="0.22278954879694438"/>
          <c:y val="9.616910736473166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176722132096529E-2"/>
          <c:y val="0.13078998601603506"/>
          <c:w val="0.86817197189920392"/>
          <c:h val="0.68280066228959491"/>
        </c:manualLayout>
      </c:layout>
      <c:scatterChart>
        <c:scatterStyle val="smoothMarker"/>
        <c:ser>
          <c:idx val="0"/>
          <c:order val="0"/>
          <c:tx>
            <c:strRef>
              <c:f>SimData1!$I$8</c:f>
              <c:strCache>
                <c:ptCount val="1"/>
                <c:pt idx="0">
                  <c:v>Normal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SimData1!$I$9:$I$508</c:f>
              <c:numCache>
                <c:formatCode>General</c:formatCode>
                <c:ptCount val="500"/>
                <c:pt idx="0">
                  <c:v>0.73219156403563801</c:v>
                </c:pt>
                <c:pt idx="1">
                  <c:v>1.7250030091699209</c:v>
                </c:pt>
                <c:pt idx="2">
                  <c:v>2.100617683344506</c:v>
                </c:pt>
                <c:pt idx="3">
                  <c:v>2.5978657393220059</c:v>
                </c:pt>
                <c:pt idx="4">
                  <c:v>2.9822370721969005</c:v>
                </c:pt>
                <c:pt idx="5">
                  <c:v>3.0426406190966446</c:v>
                </c:pt>
                <c:pt idx="6">
                  <c:v>3.3670568133775802</c:v>
                </c:pt>
                <c:pt idx="7">
                  <c:v>3.5529804502950437</c:v>
                </c:pt>
                <c:pt idx="8">
                  <c:v>3.5973985507538977</c:v>
                </c:pt>
                <c:pt idx="9">
                  <c:v>3.8295778092723953</c:v>
                </c:pt>
                <c:pt idx="10">
                  <c:v>3.9051369072441418</c:v>
                </c:pt>
                <c:pt idx="11">
                  <c:v>4.0048878256542233</c:v>
                </c:pt>
                <c:pt idx="12">
                  <c:v>4.1038954508716827</c:v>
                </c:pt>
                <c:pt idx="13">
                  <c:v>4.1877614921754116</c:v>
                </c:pt>
                <c:pt idx="14">
                  <c:v>4.2823793445997103</c:v>
                </c:pt>
                <c:pt idx="15">
                  <c:v>4.368114732074071</c:v>
                </c:pt>
                <c:pt idx="16">
                  <c:v>4.4669063665922568</c:v>
                </c:pt>
                <c:pt idx="17">
                  <c:v>4.5940721845878256</c:v>
                </c:pt>
                <c:pt idx="18">
                  <c:v>4.6295485492624495</c:v>
                </c:pt>
                <c:pt idx="19">
                  <c:v>4.7383003512835868</c:v>
                </c:pt>
                <c:pt idx="20">
                  <c:v>4.7826437121984009</c:v>
                </c:pt>
                <c:pt idx="21">
                  <c:v>4.8163394916423394</c:v>
                </c:pt>
                <c:pt idx="22">
                  <c:v>4.8845290231749132</c:v>
                </c:pt>
                <c:pt idx="23">
                  <c:v>4.9529736784674592</c:v>
                </c:pt>
                <c:pt idx="24">
                  <c:v>5.013373504103253</c:v>
                </c:pt>
                <c:pt idx="25">
                  <c:v>5.0714375146645203</c:v>
                </c:pt>
                <c:pt idx="26">
                  <c:v>5.1614816264569132</c:v>
                </c:pt>
                <c:pt idx="27">
                  <c:v>5.2097251501975128</c:v>
                </c:pt>
                <c:pt idx="28">
                  <c:v>5.2335964368841719</c:v>
                </c:pt>
                <c:pt idx="29">
                  <c:v>5.3334054164732532</c:v>
                </c:pt>
                <c:pt idx="30">
                  <c:v>5.3782761106925516</c:v>
                </c:pt>
                <c:pt idx="31">
                  <c:v>5.4170055484396356</c:v>
                </c:pt>
                <c:pt idx="32">
                  <c:v>5.4727918421219552</c:v>
                </c:pt>
                <c:pt idx="33">
                  <c:v>5.5184660782527875</c:v>
                </c:pt>
                <c:pt idx="34">
                  <c:v>5.5574951292501602</c:v>
                </c:pt>
                <c:pt idx="35">
                  <c:v>5.5983166222292509</c:v>
                </c:pt>
                <c:pt idx="36">
                  <c:v>5.6401676729609083</c:v>
                </c:pt>
                <c:pt idx="37">
                  <c:v>5.7009437986306057</c:v>
                </c:pt>
                <c:pt idx="38">
                  <c:v>5.7277076591587468</c:v>
                </c:pt>
                <c:pt idx="39">
                  <c:v>5.7635861701898712</c:v>
                </c:pt>
                <c:pt idx="40">
                  <c:v>5.8004401956078269</c:v>
                </c:pt>
                <c:pt idx="41">
                  <c:v>5.8468907066187068</c:v>
                </c:pt>
                <c:pt idx="42">
                  <c:v>5.8869872808687509</c:v>
                </c:pt>
                <c:pt idx="43">
                  <c:v>5.9203508405163987</c:v>
                </c:pt>
                <c:pt idx="44">
                  <c:v>5.9660182578043894</c:v>
                </c:pt>
                <c:pt idx="45">
                  <c:v>6.0063967339290505</c:v>
                </c:pt>
                <c:pt idx="46">
                  <c:v>6.0317753711668516</c:v>
                </c:pt>
                <c:pt idx="47">
                  <c:v>6.064402576100135</c:v>
                </c:pt>
                <c:pt idx="48">
                  <c:v>6.0888036754602437</c:v>
                </c:pt>
                <c:pt idx="49">
                  <c:v>6.1420892397111864</c:v>
                </c:pt>
                <c:pt idx="50">
                  <c:v>6.1803421048245601</c:v>
                </c:pt>
                <c:pt idx="51">
                  <c:v>6.2160400756334511</c:v>
                </c:pt>
                <c:pt idx="52">
                  <c:v>6.2382211056330998</c:v>
                </c:pt>
                <c:pt idx="53">
                  <c:v>6.2790106570414475</c:v>
                </c:pt>
                <c:pt idx="54">
                  <c:v>6.2897762039798479</c:v>
                </c:pt>
                <c:pt idx="55">
                  <c:v>6.3322468145910715</c:v>
                </c:pt>
                <c:pt idx="56">
                  <c:v>6.3803287677678249</c:v>
                </c:pt>
                <c:pt idx="57">
                  <c:v>6.4040008557390173</c:v>
                </c:pt>
                <c:pt idx="58">
                  <c:v>6.4383949844568669</c:v>
                </c:pt>
                <c:pt idx="59">
                  <c:v>6.4583456314839172</c:v>
                </c:pt>
                <c:pt idx="60">
                  <c:v>6.4955015004934946</c:v>
                </c:pt>
                <c:pt idx="61">
                  <c:v>6.5224907017478602</c:v>
                </c:pt>
                <c:pt idx="62">
                  <c:v>6.535966596091523</c:v>
                </c:pt>
                <c:pt idx="63">
                  <c:v>6.5860977983130677</c:v>
                </c:pt>
                <c:pt idx="64">
                  <c:v>6.6100827589969784</c:v>
                </c:pt>
                <c:pt idx="65">
                  <c:v>6.6446073543192004</c:v>
                </c:pt>
                <c:pt idx="66">
                  <c:v>6.6550803051966607</c:v>
                </c:pt>
                <c:pt idx="67">
                  <c:v>6.7007434589571622</c:v>
                </c:pt>
                <c:pt idx="68">
                  <c:v>6.7193286977947677</c:v>
                </c:pt>
                <c:pt idx="69">
                  <c:v>6.7520638607249044</c:v>
                </c:pt>
                <c:pt idx="70">
                  <c:v>6.7693451646558902</c:v>
                </c:pt>
                <c:pt idx="71">
                  <c:v>6.8061009567708117</c:v>
                </c:pt>
                <c:pt idx="72">
                  <c:v>6.8170941436179744</c:v>
                </c:pt>
                <c:pt idx="73">
                  <c:v>6.8388318905048404</c:v>
                </c:pt>
                <c:pt idx="74">
                  <c:v>6.8823355885645974</c:v>
                </c:pt>
                <c:pt idx="75">
                  <c:v>6.8977029421846536</c:v>
                </c:pt>
                <c:pt idx="76">
                  <c:v>6.9256312402197917</c:v>
                </c:pt>
                <c:pt idx="77">
                  <c:v>6.9440819377379857</c:v>
                </c:pt>
                <c:pt idx="78">
                  <c:v>6.9691340816279777</c:v>
                </c:pt>
                <c:pt idx="79">
                  <c:v>7.0159277498354289</c:v>
                </c:pt>
                <c:pt idx="80">
                  <c:v>7.0359818391163911</c:v>
                </c:pt>
                <c:pt idx="81">
                  <c:v>7.0544984978401786</c:v>
                </c:pt>
                <c:pt idx="82">
                  <c:v>7.0858575134178867</c:v>
                </c:pt>
                <c:pt idx="83">
                  <c:v>7.0990053930375661</c:v>
                </c:pt>
                <c:pt idx="84">
                  <c:v>7.1181309037444711</c:v>
                </c:pt>
                <c:pt idx="85">
                  <c:v>7.1432092570508505</c:v>
                </c:pt>
                <c:pt idx="86">
                  <c:v>7.1774664134735726</c:v>
                </c:pt>
                <c:pt idx="87">
                  <c:v>7.2034172114944903</c:v>
                </c:pt>
                <c:pt idx="88">
                  <c:v>7.2283502302344491</c:v>
                </c:pt>
                <c:pt idx="89">
                  <c:v>7.2319573430415494</c:v>
                </c:pt>
                <c:pt idx="90">
                  <c:v>7.2764256284264963</c:v>
                </c:pt>
                <c:pt idx="91">
                  <c:v>7.2921056590598434</c:v>
                </c:pt>
                <c:pt idx="92">
                  <c:v>7.3170424129325529</c:v>
                </c:pt>
                <c:pt idx="93">
                  <c:v>7.3264937160251158</c:v>
                </c:pt>
                <c:pt idx="94">
                  <c:v>7.3600971195619458</c:v>
                </c:pt>
                <c:pt idx="95">
                  <c:v>7.3719966445330449</c:v>
                </c:pt>
                <c:pt idx="96">
                  <c:v>7.4025009655028668</c:v>
                </c:pt>
                <c:pt idx="97">
                  <c:v>7.4311678925673306</c:v>
                </c:pt>
                <c:pt idx="98">
                  <c:v>7.4331346304681709</c:v>
                </c:pt>
                <c:pt idx="99">
                  <c:v>7.4638384859006131</c:v>
                </c:pt>
                <c:pt idx="100">
                  <c:v>7.4868275307703991</c:v>
                </c:pt>
                <c:pt idx="101">
                  <c:v>7.4974756625524854</c:v>
                </c:pt>
                <c:pt idx="102">
                  <c:v>7.521415029907069</c:v>
                </c:pt>
                <c:pt idx="103">
                  <c:v>7.5400326218279199</c:v>
                </c:pt>
                <c:pt idx="104">
                  <c:v>7.5724756822760266</c:v>
                </c:pt>
                <c:pt idx="105">
                  <c:v>7.5988221987651183</c:v>
                </c:pt>
                <c:pt idx="106">
                  <c:v>7.6071037986090548</c:v>
                </c:pt>
                <c:pt idx="107">
                  <c:v>7.6317119049195696</c:v>
                </c:pt>
                <c:pt idx="108">
                  <c:v>7.6532117256912358</c:v>
                </c:pt>
                <c:pt idx="109">
                  <c:v>7.6639980275155439</c:v>
                </c:pt>
                <c:pt idx="110">
                  <c:v>7.7018383527156242</c:v>
                </c:pt>
                <c:pt idx="111">
                  <c:v>7.7094711755691199</c:v>
                </c:pt>
                <c:pt idx="112">
                  <c:v>7.7414828479999329</c:v>
                </c:pt>
                <c:pt idx="113">
                  <c:v>7.7558357589001226</c:v>
                </c:pt>
                <c:pt idx="114">
                  <c:v>7.7669883603983871</c:v>
                </c:pt>
                <c:pt idx="115">
                  <c:v>7.8007262943087801</c:v>
                </c:pt>
                <c:pt idx="116">
                  <c:v>7.8037811580762506</c:v>
                </c:pt>
                <c:pt idx="117">
                  <c:v>7.8253632680617109</c:v>
                </c:pt>
                <c:pt idx="118">
                  <c:v>7.8537690405376548</c:v>
                </c:pt>
                <c:pt idx="119">
                  <c:v>7.877464271644981</c:v>
                </c:pt>
                <c:pt idx="120">
                  <c:v>7.894016813452243</c:v>
                </c:pt>
                <c:pt idx="121">
                  <c:v>7.911070976064682</c:v>
                </c:pt>
                <c:pt idx="122">
                  <c:v>7.922486011132281</c:v>
                </c:pt>
                <c:pt idx="123">
                  <c:v>7.9428468569129747</c:v>
                </c:pt>
                <c:pt idx="124">
                  <c:v>7.972167737043069</c:v>
                </c:pt>
                <c:pt idx="125">
                  <c:v>7.9768693195745479</c:v>
                </c:pt>
                <c:pt idx="126">
                  <c:v>8.0022034789190304</c:v>
                </c:pt>
                <c:pt idx="127">
                  <c:v>8.0219734197586607</c:v>
                </c:pt>
                <c:pt idx="128">
                  <c:v>8.0435146960510302</c:v>
                </c:pt>
                <c:pt idx="129">
                  <c:v>8.0587008819138592</c:v>
                </c:pt>
                <c:pt idx="130">
                  <c:v>8.0813309679236269</c:v>
                </c:pt>
                <c:pt idx="131">
                  <c:v>8.1020504394547999</c:v>
                </c:pt>
                <c:pt idx="132">
                  <c:v>8.1143722634245723</c:v>
                </c:pt>
                <c:pt idx="133">
                  <c:v>8.1362543293276541</c:v>
                </c:pt>
                <c:pt idx="134">
                  <c:v>8.1530183679930239</c:v>
                </c:pt>
                <c:pt idx="135">
                  <c:v>8.1707706887305989</c:v>
                </c:pt>
                <c:pt idx="136">
                  <c:v>8.1828608701677918</c:v>
                </c:pt>
                <c:pt idx="137">
                  <c:v>8.2134927022816679</c:v>
                </c:pt>
                <c:pt idx="138">
                  <c:v>8.2291697384021809</c:v>
                </c:pt>
                <c:pt idx="139">
                  <c:v>8.2386742818494625</c:v>
                </c:pt>
                <c:pt idx="140">
                  <c:v>8.2691278230195628</c:v>
                </c:pt>
                <c:pt idx="141">
                  <c:v>8.2844071126754315</c:v>
                </c:pt>
                <c:pt idx="142">
                  <c:v>8.2904209009563434</c:v>
                </c:pt>
                <c:pt idx="143">
                  <c:v>8.3155144035147543</c:v>
                </c:pt>
                <c:pt idx="144">
                  <c:v>8.3385720733203286</c:v>
                </c:pt>
                <c:pt idx="145">
                  <c:v>8.3454337334859243</c:v>
                </c:pt>
                <c:pt idx="146">
                  <c:v>8.3669615105954733</c:v>
                </c:pt>
                <c:pt idx="147">
                  <c:v>8.3767181469941558</c:v>
                </c:pt>
                <c:pt idx="148">
                  <c:v>8.3989269755673384</c:v>
                </c:pt>
                <c:pt idx="149">
                  <c:v>8.4109281143985104</c:v>
                </c:pt>
                <c:pt idx="150">
                  <c:v>8.4328549808819169</c:v>
                </c:pt>
                <c:pt idx="151">
                  <c:v>8.4457654500636075</c:v>
                </c:pt>
                <c:pt idx="152">
                  <c:v>8.4756272546270708</c:v>
                </c:pt>
                <c:pt idx="153">
                  <c:v>8.4926280004353281</c:v>
                </c:pt>
                <c:pt idx="154">
                  <c:v>8.5044673760768497</c:v>
                </c:pt>
                <c:pt idx="155">
                  <c:v>8.5206295601159834</c:v>
                </c:pt>
                <c:pt idx="156">
                  <c:v>8.5387602724146365</c:v>
                </c:pt>
                <c:pt idx="157">
                  <c:v>8.5529285394105781</c:v>
                </c:pt>
                <c:pt idx="158">
                  <c:v>8.5696195204363086</c:v>
                </c:pt>
                <c:pt idx="159">
                  <c:v>8.5858188048577695</c:v>
                </c:pt>
                <c:pt idx="160">
                  <c:v>8.6091260186542833</c:v>
                </c:pt>
                <c:pt idx="161">
                  <c:v>8.618357013838482</c:v>
                </c:pt>
                <c:pt idx="162">
                  <c:v>8.6427021150596151</c:v>
                </c:pt>
                <c:pt idx="163">
                  <c:v>8.6541516372204565</c:v>
                </c:pt>
                <c:pt idx="164">
                  <c:v>8.6639412815774719</c:v>
                </c:pt>
                <c:pt idx="165">
                  <c:v>8.6917086822341556</c:v>
                </c:pt>
                <c:pt idx="166">
                  <c:v>8.7010978117275428</c:v>
                </c:pt>
                <c:pt idx="167">
                  <c:v>8.7281425849555205</c:v>
                </c:pt>
                <c:pt idx="168">
                  <c:v>8.7425591023396407</c:v>
                </c:pt>
                <c:pt idx="169">
                  <c:v>8.751430945801113</c:v>
                </c:pt>
                <c:pt idx="170">
                  <c:v>8.7683197788759788</c:v>
                </c:pt>
                <c:pt idx="171">
                  <c:v>8.7940633549941829</c:v>
                </c:pt>
                <c:pt idx="172">
                  <c:v>8.8107047385413768</c:v>
                </c:pt>
                <c:pt idx="173">
                  <c:v>8.8135193509077734</c:v>
                </c:pt>
                <c:pt idx="174">
                  <c:v>8.8357722389268503</c:v>
                </c:pt>
                <c:pt idx="175">
                  <c:v>8.8573966678777953</c:v>
                </c:pt>
                <c:pt idx="176">
                  <c:v>8.866522213264755</c:v>
                </c:pt>
                <c:pt idx="177">
                  <c:v>8.8812673894292757</c:v>
                </c:pt>
                <c:pt idx="178">
                  <c:v>8.8939809289900431</c:v>
                </c:pt>
                <c:pt idx="179">
                  <c:v>8.9160219768901996</c:v>
                </c:pt>
                <c:pt idx="180">
                  <c:v>8.9325808303026726</c:v>
                </c:pt>
                <c:pt idx="181">
                  <c:v>8.9424831638756519</c:v>
                </c:pt>
                <c:pt idx="182">
                  <c:v>8.9690479107527032</c:v>
                </c:pt>
                <c:pt idx="183">
                  <c:v>8.9843617551387833</c:v>
                </c:pt>
                <c:pt idx="184">
                  <c:v>8.9994273369139606</c:v>
                </c:pt>
                <c:pt idx="185">
                  <c:v>9.0056226303730753</c:v>
                </c:pt>
                <c:pt idx="186">
                  <c:v>9.027121983557052</c:v>
                </c:pt>
                <c:pt idx="187">
                  <c:v>9.0492704186025765</c:v>
                </c:pt>
                <c:pt idx="188">
                  <c:v>9.0538945840970282</c:v>
                </c:pt>
                <c:pt idx="189">
                  <c:v>9.0693168307670184</c:v>
                </c:pt>
                <c:pt idx="190">
                  <c:v>9.0907040217990414</c:v>
                </c:pt>
                <c:pt idx="191">
                  <c:v>9.1142076365022575</c:v>
                </c:pt>
                <c:pt idx="192">
                  <c:v>9.126218375722388</c:v>
                </c:pt>
                <c:pt idx="193">
                  <c:v>9.1436407257625234</c:v>
                </c:pt>
                <c:pt idx="194">
                  <c:v>9.1546161321966473</c:v>
                </c:pt>
                <c:pt idx="195">
                  <c:v>9.1672044276587563</c:v>
                </c:pt>
                <c:pt idx="196">
                  <c:v>9.1830328611590772</c:v>
                </c:pt>
                <c:pt idx="197">
                  <c:v>9.2054918936546954</c:v>
                </c:pt>
                <c:pt idx="198">
                  <c:v>9.2166238408898327</c:v>
                </c:pt>
                <c:pt idx="199">
                  <c:v>9.2252673415095998</c:v>
                </c:pt>
                <c:pt idx="200">
                  <c:v>9.2541651514923018</c:v>
                </c:pt>
                <c:pt idx="201">
                  <c:v>9.2647729271452821</c:v>
                </c:pt>
                <c:pt idx="202">
                  <c:v>9.2711356070965376</c:v>
                </c:pt>
                <c:pt idx="203">
                  <c:v>9.2954886685993259</c:v>
                </c:pt>
                <c:pt idx="204">
                  <c:v>9.3130390824720113</c:v>
                </c:pt>
                <c:pt idx="205">
                  <c:v>9.3274006688604416</c:v>
                </c:pt>
                <c:pt idx="206">
                  <c:v>9.3350466372524714</c:v>
                </c:pt>
                <c:pt idx="207">
                  <c:v>9.3514961509429035</c:v>
                </c:pt>
                <c:pt idx="208">
                  <c:v>9.3743261433100891</c:v>
                </c:pt>
                <c:pt idx="209">
                  <c:v>9.3801698239802427</c:v>
                </c:pt>
                <c:pt idx="210">
                  <c:v>9.4092842311359242</c:v>
                </c:pt>
                <c:pt idx="211">
                  <c:v>9.4117149954583148</c:v>
                </c:pt>
                <c:pt idx="212">
                  <c:v>9.432603219778418</c:v>
                </c:pt>
                <c:pt idx="213">
                  <c:v>9.4488589818302806</c:v>
                </c:pt>
                <c:pt idx="214">
                  <c:v>9.4695526891308699</c:v>
                </c:pt>
                <c:pt idx="215">
                  <c:v>9.4829670072757981</c:v>
                </c:pt>
                <c:pt idx="216">
                  <c:v>9.489703030094482</c:v>
                </c:pt>
                <c:pt idx="217">
                  <c:v>9.5137958188464111</c:v>
                </c:pt>
                <c:pt idx="218">
                  <c:v>9.5201389906483893</c:v>
                </c:pt>
                <c:pt idx="219">
                  <c:v>9.5355541138640874</c:v>
                </c:pt>
                <c:pt idx="220">
                  <c:v>9.5516880176217267</c:v>
                </c:pt>
                <c:pt idx="221">
                  <c:v>9.5663451251043377</c:v>
                </c:pt>
                <c:pt idx="222">
                  <c:v>9.5789761953824932</c:v>
                </c:pt>
                <c:pt idx="223">
                  <c:v>9.6074171490744007</c:v>
                </c:pt>
                <c:pt idx="224">
                  <c:v>9.6089417976783462</c:v>
                </c:pt>
                <c:pt idx="225">
                  <c:v>9.6273060072164114</c:v>
                </c:pt>
                <c:pt idx="226">
                  <c:v>9.6405439236607826</c:v>
                </c:pt>
                <c:pt idx="227">
                  <c:v>9.6620544809265496</c:v>
                </c:pt>
                <c:pt idx="228">
                  <c:v>9.6734558415524656</c:v>
                </c:pt>
                <c:pt idx="229">
                  <c:v>9.6942931684435596</c:v>
                </c:pt>
                <c:pt idx="230">
                  <c:v>9.7009674417520593</c:v>
                </c:pt>
                <c:pt idx="231">
                  <c:v>9.7164576810350702</c:v>
                </c:pt>
                <c:pt idx="232">
                  <c:v>9.7369597156056518</c:v>
                </c:pt>
                <c:pt idx="233">
                  <c:v>9.7581240210718025</c:v>
                </c:pt>
                <c:pt idx="234">
                  <c:v>9.7681833610217996</c:v>
                </c:pt>
                <c:pt idx="235">
                  <c:v>9.7829199064440573</c:v>
                </c:pt>
                <c:pt idx="236">
                  <c:v>9.7992745106716441</c:v>
                </c:pt>
                <c:pt idx="237">
                  <c:v>9.8187518188220384</c:v>
                </c:pt>
                <c:pt idx="238">
                  <c:v>9.8205061341773092</c:v>
                </c:pt>
                <c:pt idx="239">
                  <c:v>9.8433593604322649</c:v>
                </c:pt>
                <c:pt idx="240">
                  <c:v>9.8612188981226065</c:v>
                </c:pt>
                <c:pt idx="241">
                  <c:v>9.87083960913289</c:v>
                </c:pt>
                <c:pt idx="242">
                  <c:v>9.8859931691725542</c:v>
                </c:pt>
                <c:pt idx="243">
                  <c:v>9.9015311131440509</c:v>
                </c:pt>
                <c:pt idx="244">
                  <c:v>9.9109474283268817</c:v>
                </c:pt>
                <c:pt idx="245">
                  <c:v>9.9349829757641253</c:v>
                </c:pt>
                <c:pt idx="246">
                  <c:v>9.9486820379535885</c:v>
                </c:pt>
                <c:pt idx="247">
                  <c:v>9.9659770111339476</c:v>
                </c:pt>
                <c:pt idx="248">
                  <c:v>9.9740377570264531</c:v>
                </c:pt>
                <c:pt idx="249">
                  <c:v>9.9937184461101509</c:v>
                </c:pt>
                <c:pt idx="250">
                  <c:v>10.006030195586909</c:v>
                </c:pt>
                <c:pt idx="251">
                  <c:v>10.021684131607891</c:v>
                </c:pt>
                <c:pt idx="252">
                  <c:v>10.034479674690253</c:v>
                </c:pt>
                <c:pt idx="253">
                  <c:v>10.051146183302803</c:v>
                </c:pt>
                <c:pt idx="254">
                  <c:v>10.060631682582644</c:v>
                </c:pt>
                <c:pt idx="255">
                  <c:v>10.084847079812512</c:v>
                </c:pt>
                <c:pt idx="256">
                  <c:v>10.0930338380505</c:v>
                </c:pt>
                <c:pt idx="257">
                  <c:v>10.109688875541456</c:v>
                </c:pt>
                <c:pt idx="258">
                  <c:v>10.130741694777869</c:v>
                </c:pt>
                <c:pt idx="259">
                  <c:v>10.139832695580704</c:v>
                </c:pt>
                <c:pt idx="260">
                  <c:v>10.16019722716011</c:v>
                </c:pt>
                <c:pt idx="261">
                  <c:v>10.169031357693358</c:v>
                </c:pt>
                <c:pt idx="262">
                  <c:v>10.183800660695264</c:v>
                </c:pt>
                <c:pt idx="263">
                  <c:v>10.210118840404865</c:v>
                </c:pt>
                <c:pt idx="264">
                  <c:v>10.224477052427989</c:v>
                </c:pt>
                <c:pt idx="265">
                  <c:v>10.239818347980675</c:v>
                </c:pt>
                <c:pt idx="266">
                  <c:v>10.255881461162376</c:v>
                </c:pt>
                <c:pt idx="267">
                  <c:v>10.268897057095622</c:v>
                </c:pt>
                <c:pt idx="268">
                  <c:v>10.274780131081615</c:v>
                </c:pt>
                <c:pt idx="269">
                  <c:v>10.290503308488876</c:v>
                </c:pt>
                <c:pt idx="270">
                  <c:v>10.30327305375442</c:v>
                </c:pt>
                <c:pt idx="271">
                  <c:v>10.328078412883572</c:v>
                </c:pt>
                <c:pt idx="272">
                  <c:v>10.345987858642424</c:v>
                </c:pt>
                <c:pt idx="273">
                  <c:v>10.358996613318391</c:v>
                </c:pt>
                <c:pt idx="274">
                  <c:v>10.364409498183242</c:v>
                </c:pt>
                <c:pt idx="275">
                  <c:v>10.386842229338248</c:v>
                </c:pt>
                <c:pt idx="276">
                  <c:v>10.395705387336132</c:v>
                </c:pt>
                <c:pt idx="277">
                  <c:v>10.407943785561592</c:v>
                </c:pt>
                <c:pt idx="278">
                  <c:v>10.426054677580257</c:v>
                </c:pt>
                <c:pt idx="279">
                  <c:v>10.441636430680168</c:v>
                </c:pt>
                <c:pt idx="280">
                  <c:v>10.466058089897381</c:v>
                </c:pt>
                <c:pt idx="281">
                  <c:v>10.481226858119992</c:v>
                </c:pt>
                <c:pt idx="282">
                  <c:v>10.487910518435669</c:v>
                </c:pt>
                <c:pt idx="283">
                  <c:v>10.509498368553048</c:v>
                </c:pt>
                <c:pt idx="284">
                  <c:v>10.514237545846568</c:v>
                </c:pt>
                <c:pt idx="285">
                  <c:v>10.537958033253975</c:v>
                </c:pt>
                <c:pt idx="286">
                  <c:v>10.552243818114956</c:v>
                </c:pt>
                <c:pt idx="287">
                  <c:v>10.561370365712065</c:v>
                </c:pt>
                <c:pt idx="288">
                  <c:v>10.581519236556066</c:v>
                </c:pt>
                <c:pt idx="289">
                  <c:v>10.604853123795378</c:v>
                </c:pt>
                <c:pt idx="290">
                  <c:v>10.610802103648144</c:v>
                </c:pt>
                <c:pt idx="291">
                  <c:v>10.630455958818626</c:v>
                </c:pt>
                <c:pt idx="292">
                  <c:v>10.645872465048111</c:v>
                </c:pt>
                <c:pt idx="293">
                  <c:v>10.666918502239728</c:v>
                </c:pt>
                <c:pt idx="294">
                  <c:v>10.682306754413762</c:v>
                </c:pt>
                <c:pt idx="295">
                  <c:v>10.69316460550861</c:v>
                </c:pt>
                <c:pt idx="296">
                  <c:v>10.700126221894864</c:v>
                </c:pt>
                <c:pt idx="297">
                  <c:v>10.7275973942095</c:v>
                </c:pt>
                <c:pt idx="298">
                  <c:v>10.744179232880018</c:v>
                </c:pt>
                <c:pt idx="299">
                  <c:v>10.757966398581351</c:v>
                </c:pt>
                <c:pt idx="300">
                  <c:v>10.773764379954786</c:v>
                </c:pt>
                <c:pt idx="301">
                  <c:v>10.778646847047639</c:v>
                </c:pt>
                <c:pt idx="302">
                  <c:v>10.79158376776434</c:v>
                </c:pt>
                <c:pt idx="303">
                  <c:v>10.808221358862134</c:v>
                </c:pt>
                <c:pt idx="304">
                  <c:v>10.825033373910733</c:v>
                </c:pt>
                <c:pt idx="305">
                  <c:v>10.852620869852585</c:v>
                </c:pt>
                <c:pt idx="306">
                  <c:v>10.866674820563194</c:v>
                </c:pt>
                <c:pt idx="307">
                  <c:v>10.877355821797904</c:v>
                </c:pt>
                <c:pt idx="308">
                  <c:v>10.889798224802419</c:v>
                </c:pt>
                <c:pt idx="309">
                  <c:v>10.903827481502981</c:v>
                </c:pt>
                <c:pt idx="310">
                  <c:v>10.92546197541289</c:v>
                </c:pt>
                <c:pt idx="311">
                  <c:v>10.938555398550561</c:v>
                </c:pt>
                <c:pt idx="312">
                  <c:v>10.95873739583687</c:v>
                </c:pt>
                <c:pt idx="313">
                  <c:v>10.969689523467951</c:v>
                </c:pt>
                <c:pt idx="314">
                  <c:v>10.993273034151866</c:v>
                </c:pt>
                <c:pt idx="315">
                  <c:v>11.003468692475719</c:v>
                </c:pt>
                <c:pt idx="316">
                  <c:v>11.017959759151456</c:v>
                </c:pt>
                <c:pt idx="317">
                  <c:v>11.031791579143333</c:v>
                </c:pt>
                <c:pt idx="318">
                  <c:v>11.045083749604789</c:v>
                </c:pt>
                <c:pt idx="319">
                  <c:v>11.069460621853692</c:v>
                </c:pt>
                <c:pt idx="320">
                  <c:v>11.08681011971869</c:v>
                </c:pt>
                <c:pt idx="321">
                  <c:v>11.10438849060875</c:v>
                </c:pt>
                <c:pt idx="322">
                  <c:v>11.108764999974252</c:v>
                </c:pt>
                <c:pt idx="323">
                  <c:v>11.133390439910476</c:v>
                </c:pt>
                <c:pt idx="324">
                  <c:v>11.150124466927041</c:v>
                </c:pt>
                <c:pt idx="325">
                  <c:v>11.15811284766122</c:v>
                </c:pt>
                <c:pt idx="326">
                  <c:v>11.176305744675489</c:v>
                </c:pt>
                <c:pt idx="327">
                  <c:v>11.202928083638151</c:v>
                </c:pt>
                <c:pt idx="328">
                  <c:v>11.209705928291893</c:v>
                </c:pt>
                <c:pt idx="329">
                  <c:v>11.227329691860914</c:v>
                </c:pt>
                <c:pt idx="330">
                  <c:v>11.253136161587838</c:v>
                </c:pt>
                <c:pt idx="331">
                  <c:v>11.261922185370974</c:v>
                </c:pt>
                <c:pt idx="332">
                  <c:v>11.281646568581978</c:v>
                </c:pt>
                <c:pt idx="333">
                  <c:v>11.291948891081585</c:v>
                </c:pt>
                <c:pt idx="334">
                  <c:v>11.304943084727702</c:v>
                </c:pt>
                <c:pt idx="335">
                  <c:v>11.333621065489158</c:v>
                </c:pt>
                <c:pt idx="336">
                  <c:v>11.344104753549711</c:v>
                </c:pt>
                <c:pt idx="337">
                  <c:v>11.362731393410009</c:v>
                </c:pt>
                <c:pt idx="338">
                  <c:v>11.374063942467023</c:v>
                </c:pt>
                <c:pt idx="339">
                  <c:v>11.389182882234582</c:v>
                </c:pt>
                <c:pt idx="340">
                  <c:v>11.405452341728365</c:v>
                </c:pt>
                <c:pt idx="341">
                  <c:v>11.420040439725993</c:v>
                </c:pt>
                <c:pt idx="342">
                  <c:v>11.443770875083787</c:v>
                </c:pt>
                <c:pt idx="343">
                  <c:v>11.458218651979335</c:v>
                </c:pt>
                <c:pt idx="344">
                  <c:v>11.486778390723094</c:v>
                </c:pt>
                <c:pt idx="345">
                  <c:v>11.499734324227731</c:v>
                </c:pt>
                <c:pt idx="346">
                  <c:v>11.509186397556045</c:v>
                </c:pt>
                <c:pt idx="347">
                  <c:v>11.523048057339892</c:v>
                </c:pt>
                <c:pt idx="348">
                  <c:v>11.551620413310681</c:v>
                </c:pt>
                <c:pt idx="349">
                  <c:v>11.571651078509175</c:v>
                </c:pt>
                <c:pt idx="350">
                  <c:v>11.575300065708475</c:v>
                </c:pt>
                <c:pt idx="351">
                  <c:v>11.60167805321751</c:v>
                </c:pt>
                <c:pt idx="352">
                  <c:v>11.609995056566898</c:v>
                </c:pt>
                <c:pt idx="353">
                  <c:v>11.639632024854121</c:v>
                </c:pt>
                <c:pt idx="354">
                  <c:v>11.645954476042119</c:v>
                </c:pt>
                <c:pt idx="355">
                  <c:v>11.66132397309206</c:v>
                </c:pt>
                <c:pt idx="356">
                  <c:v>11.688581742681366</c:v>
                </c:pt>
                <c:pt idx="357">
                  <c:v>11.696641847294902</c:v>
                </c:pt>
                <c:pt idx="358">
                  <c:v>11.716200418484588</c:v>
                </c:pt>
                <c:pt idx="359">
                  <c:v>11.734211358616331</c:v>
                </c:pt>
                <c:pt idx="360">
                  <c:v>11.75871265788015</c:v>
                </c:pt>
                <c:pt idx="361">
                  <c:v>11.778810916640261</c:v>
                </c:pt>
                <c:pt idx="362">
                  <c:v>11.790235693983321</c:v>
                </c:pt>
                <c:pt idx="363">
                  <c:v>11.819420505886232</c:v>
                </c:pt>
                <c:pt idx="364">
                  <c:v>11.827092960608685</c:v>
                </c:pt>
                <c:pt idx="365">
                  <c:v>11.844937292268281</c:v>
                </c:pt>
                <c:pt idx="366">
                  <c:v>11.867592589130844</c:v>
                </c:pt>
                <c:pt idx="367">
                  <c:v>11.880297256456405</c:v>
                </c:pt>
                <c:pt idx="368">
                  <c:v>11.90087799716971</c:v>
                </c:pt>
                <c:pt idx="369">
                  <c:v>11.923841333289776</c:v>
                </c:pt>
                <c:pt idx="370">
                  <c:v>11.942375146765102</c:v>
                </c:pt>
                <c:pt idx="371">
                  <c:v>11.965858425878693</c:v>
                </c:pt>
                <c:pt idx="372">
                  <c:v>11.969202185456602</c:v>
                </c:pt>
                <c:pt idx="373">
                  <c:v>11.999201356232149</c:v>
                </c:pt>
                <c:pt idx="374">
                  <c:v>12.004981864878493</c:v>
                </c:pt>
                <c:pt idx="375">
                  <c:v>12.023860547437678</c:v>
                </c:pt>
                <c:pt idx="376">
                  <c:v>12.048308641942509</c:v>
                </c:pt>
                <c:pt idx="377">
                  <c:v>12.074046388657209</c:v>
                </c:pt>
                <c:pt idx="378">
                  <c:v>12.099624941028484</c:v>
                </c:pt>
                <c:pt idx="379">
                  <c:v>12.118231158058629</c:v>
                </c:pt>
                <c:pt idx="380">
                  <c:v>12.134859110288446</c:v>
                </c:pt>
                <c:pt idx="381">
                  <c:v>12.146297362593655</c:v>
                </c:pt>
                <c:pt idx="382">
                  <c:v>12.176246575130779</c:v>
                </c:pt>
                <c:pt idx="383">
                  <c:v>12.194221186598837</c:v>
                </c:pt>
                <c:pt idx="384">
                  <c:v>12.207668497946862</c:v>
                </c:pt>
                <c:pt idx="385">
                  <c:v>12.22708402659714</c:v>
                </c:pt>
                <c:pt idx="386">
                  <c:v>12.251661512188024</c:v>
                </c:pt>
                <c:pt idx="387">
                  <c:v>12.274926108892572</c:v>
                </c:pt>
                <c:pt idx="388">
                  <c:v>12.286711862296038</c:v>
                </c:pt>
                <c:pt idx="389">
                  <c:v>12.309083542940048</c:v>
                </c:pt>
                <c:pt idx="390">
                  <c:v>12.326051483756949</c:v>
                </c:pt>
                <c:pt idx="391">
                  <c:v>12.346227015216048</c:v>
                </c:pt>
                <c:pt idx="392">
                  <c:v>12.373134901516739</c:v>
                </c:pt>
                <c:pt idx="393">
                  <c:v>12.379199827904852</c:v>
                </c:pt>
                <c:pt idx="394">
                  <c:v>12.40638547116788</c:v>
                </c:pt>
                <c:pt idx="395">
                  <c:v>12.427197989752255</c:v>
                </c:pt>
                <c:pt idx="396">
                  <c:v>12.455952698903472</c:v>
                </c:pt>
                <c:pt idx="397">
                  <c:v>12.469592024823164</c:v>
                </c:pt>
                <c:pt idx="398">
                  <c:v>12.50033211893011</c:v>
                </c:pt>
                <c:pt idx="399">
                  <c:v>12.520183966571949</c:v>
                </c:pt>
                <c:pt idx="400">
                  <c:v>12.544431321600543</c:v>
                </c:pt>
                <c:pt idx="401">
                  <c:v>12.548563078359415</c:v>
                </c:pt>
                <c:pt idx="402">
                  <c:v>12.575861745128083</c:v>
                </c:pt>
                <c:pt idx="403">
                  <c:v>12.593779085732345</c:v>
                </c:pt>
                <c:pt idx="404">
                  <c:v>12.612825520187322</c:v>
                </c:pt>
                <c:pt idx="405">
                  <c:v>12.649460490406272</c:v>
                </c:pt>
                <c:pt idx="406">
                  <c:v>12.675576546216679</c:v>
                </c:pt>
                <c:pt idx="407">
                  <c:v>12.699767377584099</c:v>
                </c:pt>
                <c:pt idx="408">
                  <c:v>12.716404725437799</c:v>
                </c:pt>
                <c:pt idx="409">
                  <c:v>12.741392051923597</c:v>
                </c:pt>
                <c:pt idx="410">
                  <c:v>12.754987487444176</c:v>
                </c:pt>
                <c:pt idx="411">
                  <c:v>12.786419093031311</c:v>
                </c:pt>
                <c:pt idx="412">
                  <c:v>12.793920271718633</c:v>
                </c:pt>
                <c:pt idx="413">
                  <c:v>12.831949211357056</c:v>
                </c:pt>
                <c:pt idx="414">
                  <c:v>12.847024472081884</c:v>
                </c:pt>
                <c:pt idx="415">
                  <c:v>12.867146847567886</c:v>
                </c:pt>
                <c:pt idx="416">
                  <c:v>12.897303147181702</c:v>
                </c:pt>
                <c:pt idx="417">
                  <c:v>12.915211328739355</c:v>
                </c:pt>
                <c:pt idx="418">
                  <c:v>12.958674923460674</c:v>
                </c:pt>
                <c:pt idx="419">
                  <c:v>12.974674058480732</c:v>
                </c:pt>
                <c:pt idx="420">
                  <c:v>13.005509084738231</c:v>
                </c:pt>
                <c:pt idx="421">
                  <c:v>13.022531363783344</c:v>
                </c:pt>
                <c:pt idx="422">
                  <c:v>13.039592693633997</c:v>
                </c:pt>
                <c:pt idx="423">
                  <c:v>13.081082454161159</c:v>
                </c:pt>
                <c:pt idx="424">
                  <c:v>13.106311309323916</c:v>
                </c:pt>
                <c:pt idx="425">
                  <c:v>13.133965369310852</c:v>
                </c:pt>
                <c:pt idx="426">
                  <c:v>13.14268702945119</c:v>
                </c:pt>
                <c:pt idx="427">
                  <c:v>13.176358339256515</c:v>
                </c:pt>
                <c:pt idx="428">
                  <c:v>13.200912148358533</c:v>
                </c:pt>
                <c:pt idx="429">
                  <c:v>13.227664208121258</c:v>
                </c:pt>
                <c:pt idx="430">
                  <c:v>13.253522554674248</c:v>
                </c:pt>
                <c:pt idx="431">
                  <c:v>13.27276782072472</c:v>
                </c:pt>
                <c:pt idx="432">
                  <c:v>13.313330941286306</c:v>
                </c:pt>
                <c:pt idx="433">
                  <c:v>13.338440066067466</c:v>
                </c:pt>
                <c:pt idx="434">
                  <c:v>13.362554478162195</c:v>
                </c:pt>
                <c:pt idx="435">
                  <c:v>13.402049985529843</c:v>
                </c:pt>
                <c:pt idx="436">
                  <c:v>13.420995305428356</c:v>
                </c:pt>
                <c:pt idx="437">
                  <c:v>13.437720576700757</c:v>
                </c:pt>
                <c:pt idx="438">
                  <c:v>13.491293116631006</c:v>
                </c:pt>
                <c:pt idx="439">
                  <c:v>13.503811169175366</c:v>
                </c:pt>
                <c:pt idx="440">
                  <c:v>13.542814715343802</c:v>
                </c:pt>
                <c:pt idx="441">
                  <c:v>13.56451814608277</c:v>
                </c:pt>
                <c:pt idx="442">
                  <c:v>13.594841019538336</c:v>
                </c:pt>
                <c:pt idx="443">
                  <c:v>13.636466401649649</c:v>
                </c:pt>
                <c:pt idx="444">
                  <c:v>13.670553683362002</c:v>
                </c:pt>
                <c:pt idx="445">
                  <c:v>13.709565278851652</c:v>
                </c:pt>
                <c:pt idx="446">
                  <c:v>13.740406454626616</c:v>
                </c:pt>
                <c:pt idx="447">
                  <c:v>13.764537991885106</c:v>
                </c:pt>
                <c:pt idx="448">
                  <c:v>13.797121268433045</c:v>
                </c:pt>
                <c:pt idx="449">
                  <c:v>13.827349715535716</c:v>
                </c:pt>
                <c:pt idx="450">
                  <c:v>13.864698511778737</c:v>
                </c:pt>
                <c:pt idx="451">
                  <c:v>13.880466121834875</c:v>
                </c:pt>
                <c:pt idx="452">
                  <c:v>13.942236952978915</c:v>
                </c:pt>
                <c:pt idx="453">
                  <c:v>13.980433259851255</c:v>
                </c:pt>
                <c:pt idx="454">
                  <c:v>13.989809821600138</c:v>
                </c:pt>
                <c:pt idx="455">
                  <c:v>14.031963760483118</c:v>
                </c:pt>
                <c:pt idx="456">
                  <c:v>14.096828838426442</c:v>
                </c:pt>
                <c:pt idx="457">
                  <c:v>14.102835411028632</c:v>
                </c:pt>
                <c:pt idx="458">
                  <c:v>14.163262940351238</c:v>
                </c:pt>
                <c:pt idx="459">
                  <c:v>14.209816973254723</c:v>
                </c:pt>
                <c:pt idx="460">
                  <c:v>14.215363354120241</c:v>
                </c:pt>
                <c:pt idx="461">
                  <c:v>14.261836786250317</c:v>
                </c:pt>
                <c:pt idx="462">
                  <c:v>14.327332311284149</c:v>
                </c:pt>
                <c:pt idx="463">
                  <c:v>14.362484460368652</c:v>
                </c:pt>
                <c:pt idx="464">
                  <c:v>14.387978072575478</c:v>
                </c:pt>
                <c:pt idx="465">
                  <c:v>14.440033823068507</c:v>
                </c:pt>
                <c:pt idx="466">
                  <c:v>14.51235548039875</c:v>
                </c:pt>
                <c:pt idx="467">
                  <c:v>14.553052091377461</c:v>
                </c:pt>
                <c:pt idx="468">
                  <c:v>14.577157875485826</c:v>
                </c:pt>
                <c:pt idx="469">
                  <c:v>14.646797924093669</c:v>
                </c:pt>
                <c:pt idx="470">
                  <c:v>14.699175844658132</c:v>
                </c:pt>
                <c:pt idx="471">
                  <c:v>14.760923636964213</c:v>
                </c:pt>
                <c:pt idx="472">
                  <c:v>14.80450794885375</c:v>
                </c:pt>
                <c:pt idx="473">
                  <c:v>14.840347274746131</c:v>
                </c:pt>
                <c:pt idx="474">
                  <c:v>14.925695896474243</c:v>
                </c:pt>
                <c:pt idx="475">
                  <c:v>14.972449592575899</c:v>
                </c:pt>
                <c:pt idx="476">
                  <c:v>15.026879720450987</c:v>
                </c:pt>
                <c:pt idx="477">
                  <c:v>15.117815428832028</c:v>
                </c:pt>
                <c:pt idx="478">
                  <c:v>15.133644101718946</c:v>
                </c:pt>
                <c:pt idx="479">
                  <c:v>15.197515799247554</c:v>
                </c:pt>
                <c:pt idx="480">
                  <c:v>15.285089601543849</c:v>
                </c:pt>
                <c:pt idx="481">
                  <c:v>15.383482971179019</c:v>
                </c:pt>
                <c:pt idx="482">
                  <c:v>15.4349428755592</c:v>
                </c:pt>
                <c:pt idx="483">
                  <c:v>15.524582132050627</c:v>
                </c:pt>
                <c:pt idx="484">
                  <c:v>15.609349421668593</c:v>
                </c:pt>
                <c:pt idx="485">
                  <c:v>15.667879568354575</c:v>
                </c:pt>
                <c:pt idx="486">
                  <c:v>15.756112904456746</c:v>
                </c:pt>
                <c:pt idx="487">
                  <c:v>15.901613158468628</c:v>
                </c:pt>
                <c:pt idx="488">
                  <c:v>16.005933389094224</c:v>
                </c:pt>
                <c:pt idx="489">
                  <c:v>16.0604111320215</c:v>
                </c:pt>
                <c:pt idx="490">
                  <c:v>16.278864172825955</c:v>
                </c:pt>
                <c:pt idx="491">
                  <c:v>16.303082228943836</c:v>
                </c:pt>
                <c:pt idx="492">
                  <c:v>16.482013797543996</c:v>
                </c:pt>
                <c:pt idx="493">
                  <c:v>16.639189162747513</c:v>
                </c:pt>
                <c:pt idx="494">
                  <c:v>16.914928778694936</c:v>
                </c:pt>
                <c:pt idx="495">
                  <c:v>17.212504654577909</c:v>
                </c:pt>
                <c:pt idx="496">
                  <c:v>17.380553022298919</c:v>
                </c:pt>
                <c:pt idx="497">
                  <c:v>17.738683843377068</c:v>
                </c:pt>
                <c:pt idx="498">
                  <c:v>18.374115077218427</c:v>
                </c:pt>
                <c:pt idx="499">
                  <c:v>19.754793248829095</c:v>
                </c:pt>
              </c:numCache>
            </c:numRef>
          </c:xVal>
          <c:yVal>
            <c:numRef>
              <c:f>SimData1!$J$9:$J$508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</c:ser>
        <c:ser>
          <c:idx val="1"/>
          <c:order val="1"/>
          <c:tx>
            <c:strRef>
              <c:f>SimData1!$K$8</c:f>
              <c:strCache>
                <c:ptCount val="1"/>
                <c:pt idx="0">
                  <c:v>Uniform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SimData1!$K$9:$K$508</c:f>
              <c:numCache>
                <c:formatCode>General</c:formatCode>
                <c:ptCount val="500"/>
                <c:pt idx="0">
                  <c:v>2.0145099543515848</c:v>
                </c:pt>
                <c:pt idx="1">
                  <c:v>2.0243889570591014</c:v>
                </c:pt>
                <c:pt idx="2">
                  <c:v>2.0341698242505477</c:v>
                </c:pt>
                <c:pt idx="3">
                  <c:v>2.0509533444873416</c:v>
                </c:pt>
                <c:pt idx="4">
                  <c:v>2.0668621981076107</c:v>
                </c:pt>
                <c:pt idx="5">
                  <c:v>2.0898302312292696</c:v>
                </c:pt>
                <c:pt idx="6">
                  <c:v>2.1046972934884711</c:v>
                </c:pt>
                <c:pt idx="7">
                  <c:v>2.1279762263558748</c:v>
                </c:pt>
                <c:pt idx="8">
                  <c:v>2.1350129277573462</c:v>
                </c:pt>
                <c:pt idx="9">
                  <c:v>2.1541696068742708</c:v>
                </c:pt>
                <c:pt idx="10">
                  <c:v>2.1739360559279883</c:v>
                </c:pt>
                <c:pt idx="11">
                  <c:v>2.182667386555734</c:v>
                </c:pt>
                <c:pt idx="12">
                  <c:v>2.1952567568466201</c:v>
                </c:pt>
                <c:pt idx="13">
                  <c:v>2.219302807218233</c:v>
                </c:pt>
                <c:pt idx="14">
                  <c:v>2.2386312260512802</c:v>
                </c:pt>
                <c:pt idx="15">
                  <c:v>2.240893467158287</c:v>
                </c:pt>
                <c:pt idx="16">
                  <c:v>2.269052236869245</c:v>
                </c:pt>
                <c:pt idx="17">
                  <c:v>2.2733057607787908</c:v>
                </c:pt>
                <c:pt idx="18">
                  <c:v>2.289094591923313</c:v>
                </c:pt>
                <c:pt idx="19">
                  <c:v>2.307913691465723</c:v>
                </c:pt>
                <c:pt idx="20">
                  <c:v>2.326971830470248</c:v>
                </c:pt>
                <c:pt idx="21">
                  <c:v>2.3475165385518961</c:v>
                </c:pt>
                <c:pt idx="22">
                  <c:v>2.3677403604834666</c:v>
                </c:pt>
                <c:pt idx="23">
                  <c:v>2.3698007675152741</c:v>
                </c:pt>
                <c:pt idx="24">
                  <c:v>2.3957596820918283</c:v>
                </c:pt>
                <c:pt idx="25">
                  <c:v>2.4032363795049574</c:v>
                </c:pt>
                <c:pt idx="26">
                  <c:v>2.4271916972238552</c:v>
                </c:pt>
                <c:pt idx="27">
                  <c:v>2.4328532081546386</c:v>
                </c:pt>
                <c:pt idx="28">
                  <c:v>2.4492174914556597</c:v>
                </c:pt>
                <c:pt idx="29">
                  <c:v>2.4695416827922552</c:v>
                </c:pt>
                <c:pt idx="30">
                  <c:v>2.4947625365589658</c:v>
                </c:pt>
                <c:pt idx="31">
                  <c:v>2.5013651043896949</c:v>
                </c:pt>
                <c:pt idx="32">
                  <c:v>2.5143246322130608</c:v>
                </c:pt>
                <c:pt idx="33">
                  <c:v>2.54010944655447</c:v>
                </c:pt>
                <c:pt idx="34">
                  <c:v>2.5564860582194493</c:v>
                </c:pt>
                <c:pt idx="35">
                  <c:v>2.5735659252585763</c:v>
                </c:pt>
                <c:pt idx="36">
                  <c:v>2.5914749427101285</c:v>
                </c:pt>
                <c:pt idx="37">
                  <c:v>2.6049017982661962</c:v>
                </c:pt>
                <c:pt idx="38">
                  <c:v>2.6083122930378448</c:v>
                </c:pt>
                <c:pt idx="39">
                  <c:v>2.6356913644251625</c:v>
                </c:pt>
                <c:pt idx="40">
                  <c:v>2.6481363724675346</c:v>
                </c:pt>
                <c:pt idx="41">
                  <c:v>2.6701812834176657</c:v>
                </c:pt>
                <c:pt idx="42">
                  <c:v>2.6855285028027205</c:v>
                </c:pt>
                <c:pt idx="43">
                  <c:v>2.7024008857008073</c:v>
                </c:pt>
                <c:pt idx="44">
                  <c:v>2.7106209215723491</c:v>
                </c:pt>
                <c:pt idx="45">
                  <c:v>2.7285703035054194</c:v>
                </c:pt>
                <c:pt idx="46">
                  <c:v>2.743792931454208</c:v>
                </c:pt>
                <c:pt idx="47">
                  <c:v>2.7575683299763054</c:v>
                </c:pt>
                <c:pt idx="48">
                  <c:v>2.7752872310074248</c:v>
                </c:pt>
                <c:pt idx="49">
                  <c:v>2.7889565663013971</c:v>
                </c:pt>
                <c:pt idx="50">
                  <c:v>2.8012472755092306</c:v>
                </c:pt>
                <c:pt idx="51">
                  <c:v>2.8311581918408999</c:v>
                </c:pt>
                <c:pt idx="52">
                  <c:v>2.8385329648606792</c:v>
                </c:pt>
                <c:pt idx="53">
                  <c:v>2.8588632169689197</c:v>
                </c:pt>
                <c:pt idx="54">
                  <c:v>2.8730280890262287</c:v>
                </c:pt>
                <c:pt idx="55">
                  <c:v>2.8817129641514532</c:v>
                </c:pt>
                <c:pt idx="56">
                  <c:v>2.9104363929849204</c:v>
                </c:pt>
                <c:pt idx="57">
                  <c:v>2.9225680163639058</c:v>
                </c:pt>
                <c:pt idx="58">
                  <c:v>2.9308248041725777</c:v>
                </c:pt>
                <c:pt idx="59">
                  <c:v>2.9579952565538683</c:v>
                </c:pt>
                <c:pt idx="60">
                  <c:v>2.9739333391147511</c:v>
                </c:pt>
                <c:pt idx="61">
                  <c:v>2.9901351030911636</c:v>
                </c:pt>
                <c:pt idx="62">
                  <c:v>2.9945646580985201</c:v>
                </c:pt>
                <c:pt idx="63">
                  <c:v>3.0107825433469335</c:v>
                </c:pt>
                <c:pt idx="64">
                  <c:v>3.0391858907749842</c:v>
                </c:pt>
                <c:pt idx="65">
                  <c:v>3.0528062183402493</c:v>
                </c:pt>
                <c:pt idx="66">
                  <c:v>3.0652560850962196</c:v>
                </c:pt>
                <c:pt idx="67">
                  <c:v>3.0859950297917229</c:v>
                </c:pt>
                <c:pt idx="68">
                  <c:v>3.0932034501370982</c:v>
                </c:pt>
                <c:pt idx="69">
                  <c:v>3.1164531051023987</c:v>
                </c:pt>
                <c:pt idx="70">
                  <c:v>3.1258044619685514</c:v>
                </c:pt>
                <c:pt idx="71">
                  <c:v>3.1479905959470176</c:v>
                </c:pt>
                <c:pt idx="72">
                  <c:v>3.1619331878707593</c:v>
                </c:pt>
                <c:pt idx="73">
                  <c:v>3.1763038665224572</c:v>
                </c:pt>
                <c:pt idx="74">
                  <c:v>3.1871615539312272</c:v>
                </c:pt>
                <c:pt idx="75">
                  <c:v>3.205486052402641</c:v>
                </c:pt>
                <c:pt idx="76">
                  <c:v>3.2303148891847382</c:v>
                </c:pt>
                <c:pt idx="77">
                  <c:v>3.2431822404179682</c:v>
                </c:pt>
                <c:pt idx="78">
                  <c:v>3.258002970064525</c:v>
                </c:pt>
                <c:pt idx="79">
                  <c:v>3.2706676765770344</c:v>
                </c:pt>
                <c:pt idx="80">
                  <c:v>3.2887652494816031</c:v>
                </c:pt>
                <c:pt idx="81">
                  <c:v>3.3065014988245682</c:v>
                </c:pt>
                <c:pt idx="82">
                  <c:v>3.3138292857487288</c:v>
                </c:pt>
                <c:pt idx="83">
                  <c:v>3.3323825004930567</c:v>
                </c:pt>
                <c:pt idx="84">
                  <c:v>3.35728953340959</c:v>
                </c:pt>
                <c:pt idx="85">
                  <c:v>3.3615045878071115</c:v>
                </c:pt>
                <c:pt idx="86">
                  <c:v>3.3865775648417364</c:v>
                </c:pt>
                <c:pt idx="87">
                  <c:v>3.4007486075742053</c:v>
                </c:pt>
                <c:pt idx="88">
                  <c:v>3.4143363550171104</c:v>
                </c:pt>
                <c:pt idx="89">
                  <c:v>3.4308542442933785</c:v>
                </c:pt>
                <c:pt idx="90">
                  <c:v>3.4491863732471097</c:v>
                </c:pt>
                <c:pt idx="91">
                  <c:v>3.4682546109250412</c:v>
                </c:pt>
                <c:pt idx="92">
                  <c:v>3.4763961968543931</c:v>
                </c:pt>
                <c:pt idx="93">
                  <c:v>3.4885090548769826</c:v>
                </c:pt>
                <c:pt idx="94">
                  <c:v>3.5155746496905511</c:v>
                </c:pt>
                <c:pt idx="95">
                  <c:v>3.5314600716855979</c:v>
                </c:pt>
                <c:pt idx="96">
                  <c:v>3.5518393563143533</c:v>
                </c:pt>
                <c:pt idx="97">
                  <c:v>3.5664502539258569</c:v>
                </c:pt>
                <c:pt idx="98">
                  <c:v>3.5733372502860932</c:v>
                </c:pt>
                <c:pt idx="99">
                  <c:v>3.5865364304190819</c:v>
                </c:pt>
                <c:pt idx="100">
                  <c:v>3.6110988949525868</c:v>
                </c:pt>
                <c:pt idx="101">
                  <c:v>3.6176802792478542</c:v>
                </c:pt>
                <c:pt idx="102">
                  <c:v>3.6469990619530432</c:v>
                </c:pt>
                <c:pt idx="103">
                  <c:v>3.6552376682849688</c:v>
                </c:pt>
                <c:pt idx="104">
                  <c:v>3.675488138927959</c:v>
                </c:pt>
                <c:pt idx="105">
                  <c:v>3.6836374894165522</c:v>
                </c:pt>
                <c:pt idx="106">
                  <c:v>3.7088714859999881</c:v>
                </c:pt>
                <c:pt idx="107">
                  <c:v>3.7174561755148359</c:v>
                </c:pt>
                <c:pt idx="108">
                  <c:v>3.7385099776895974</c:v>
                </c:pt>
                <c:pt idx="109">
                  <c:v>3.7493011539590779</c:v>
                </c:pt>
                <c:pt idx="110">
                  <c:v>3.7740089494767619</c:v>
                </c:pt>
                <c:pt idx="111">
                  <c:v>3.7834173913987859</c:v>
                </c:pt>
                <c:pt idx="112">
                  <c:v>3.7936999415721977</c:v>
                </c:pt>
                <c:pt idx="113">
                  <c:v>3.8173744062244364</c:v>
                </c:pt>
                <c:pt idx="114">
                  <c:v>3.8265449096566404</c:v>
                </c:pt>
                <c:pt idx="115">
                  <c:v>3.8510460257742194</c:v>
                </c:pt>
                <c:pt idx="116">
                  <c:v>3.8579539451082132</c:v>
                </c:pt>
                <c:pt idx="117">
                  <c:v>3.8731834333616271</c:v>
                </c:pt>
                <c:pt idx="118">
                  <c:v>3.8890570138434546</c:v>
                </c:pt>
                <c:pt idx="119">
                  <c:v>3.9127018741799291</c:v>
                </c:pt>
                <c:pt idx="120">
                  <c:v>3.9313483047735289</c:v>
                </c:pt>
                <c:pt idx="121">
                  <c:v>3.942111835898392</c:v>
                </c:pt>
                <c:pt idx="122">
                  <c:v>3.9562366732629566</c:v>
                </c:pt>
                <c:pt idx="123">
                  <c:v>3.9703017523480351</c:v>
                </c:pt>
                <c:pt idx="124">
                  <c:v>3.9888953626837802</c:v>
                </c:pt>
                <c:pt idx="125">
                  <c:v>4.001174566269194</c:v>
                </c:pt>
                <c:pt idx="126">
                  <c:v>4.0278091917512491</c:v>
                </c:pt>
                <c:pt idx="127">
                  <c:v>4.0405561887641799</c:v>
                </c:pt>
                <c:pt idx="128">
                  <c:v>4.0625735225115376</c:v>
                </c:pt>
                <c:pt idx="129">
                  <c:v>4.0776117142321571</c:v>
                </c:pt>
                <c:pt idx="130">
                  <c:v>4.0821028516371971</c:v>
                </c:pt>
                <c:pt idx="131">
                  <c:v>4.108524765818502</c:v>
                </c:pt>
                <c:pt idx="132">
                  <c:v>4.115090196207885</c:v>
                </c:pt>
                <c:pt idx="133">
                  <c:v>4.1324708563956598</c:v>
                </c:pt>
                <c:pt idx="134">
                  <c:v>4.1516109910662315</c:v>
                </c:pt>
                <c:pt idx="135">
                  <c:v>4.1751192653326132</c:v>
                </c:pt>
                <c:pt idx="136">
                  <c:v>4.1819468992813373</c:v>
                </c:pt>
                <c:pt idx="137">
                  <c:v>4.2058720376561096</c:v>
                </c:pt>
                <c:pt idx="138">
                  <c:v>4.2211949409724205</c:v>
                </c:pt>
                <c:pt idx="139">
                  <c:v>4.2287149127136718</c:v>
                </c:pt>
                <c:pt idx="140">
                  <c:v>4.2515247234244651</c:v>
                </c:pt>
                <c:pt idx="141">
                  <c:v>4.2690275657132801</c:v>
                </c:pt>
                <c:pt idx="142">
                  <c:v>4.2833610607412087</c:v>
                </c:pt>
                <c:pt idx="143">
                  <c:v>4.2912043201036765</c:v>
                </c:pt>
                <c:pt idx="144">
                  <c:v>4.3132542953810784</c:v>
                </c:pt>
                <c:pt idx="145">
                  <c:v>4.3211158543045434</c:v>
                </c:pt>
                <c:pt idx="146">
                  <c:v>4.3513757748602364</c:v>
                </c:pt>
                <c:pt idx="147">
                  <c:v>4.3530631600211054</c:v>
                </c:pt>
                <c:pt idx="148">
                  <c:v>4.3755287551413122</c:v>
                </c:pt>
                <c:pt idx="149">
                  <c:v>4.3990542608311056</c:v>
                </c:pt>
                <c:pt idx="150">
                  <c:v>4.4051993123007005</c:v>
                </c:pt>
                <c:pt idx="151">
                  <c:v>4.4225412549876006</c:v>
                </c:pt>
                <c:pt idx="152">
                  <c:v>4.4402469921727308</c:v>
                </c:pt>
                <c:pt idx="153">
                  <c:v>4.4581931285360348</c:v>
                </c:pt>
                <c:pt idx="154">
                  <c:v>4.4755604887445362</c:v>
                </c:pt>
                <c:pt idx="155">
                  <c:v>4.4924972601860063</c:v>
                </c:pt>
                <c:pt idx="156">
                  <c:v>4.5078680658107313</c:v>
                </c:pt>
                <c:pt idx="157">
                  <c:v>4.5197201790790356</c:v>
                </c:pt>
                <c:pt idx="158">
                  <c:v>4.537733810829403</c:v>
                </c:pt>
                <c:pt idx="159">
                  <c:v>4.5529955900667698</c:v>
                </c:pt>
                <c:pt idx="160">
                  <c:v>4.5610488909150124</c:v>
                </c:pt>
                <c:pt idx="161">
                  <c:v>4.5806258006181162</c:v>
                </c:pt>
                <c:pt idx="162">
                  <c:v>4.595963974212288</c:v>
                </c:pt>
                <c:pt idx="163">
                  <c:v>4.6200457030302022</c:v>
                </c:pt>
                <c:pt idx="164">
                  <c:v>4.6383322422649549</c:v>
                </c:pt>
                <c:pt idx="165">
                  <c:v>4.6482069508526962</c:v>
                </c:pt>
                <c:pt idx="166">
                  <c:v>4.66440921096327</c:v>
                </c:pt>
                <c:pt idx="167">
                  <c:v>4.6734311094175638</c:v>
                </c:pt>
                <c:pt idx="168">
                  <c:v>4.6957273229564835</c:v>
                </c:pt>
                <c:pt idx="169">
                  <c:v>4.7107279203289023</c:v>
                </c:pt>
                <c:pt idx="170">
                  <c:v>4.7223826334184</c:v>
                </c:pt>
                <c:pt idx="171">
                  <c:v>4.7384230704760233</c:v>
                </c:pt>
                <c:pt idx="172">
                  <c:v>4.7677453155181713</c:v>
                </c:pt>
                <c:pt idx="173">
                  <c:v>4.7787217108632252</c:v>
                </c:pt>
                <c:pt idx="174">
                  <c:v>4.7955970552069136</c:v>
                </c:pt>
                <c:pt idx="175">
                  <c:v>4.8025535597285618</c:v>
                </c:pt>
                <c:pt idx="176">
                  <c:v>4.8213141976570046</c:v>
                </c:pt>
                <c:pt idx="177">
                  <c:v>4.8421770064966232</c:v>
                </c:pt>
                <c:pt idx="178">
                  <c:v>4.8584497470507513</c:v>
                </c:pt>
                <c:pt idx="179">
                  <c:v>4.8704614687688785</c:v>
                </c:pt>
                <c:pt idx="180">
                  <c:v>4.8903604686768638</c:v>
                </c:pt>
                <c:pt idx="181">
                  <c:v>4.9092194996283434</c:v>
                </c:pt>
                <c:pt idx="182">
                  <c:v>4.9141412488823146</c:v>
                </c:pt>
                <c:pt idx="183">
                  <c:v>4.9317404618383716</c:v>
                </c:pt>
                <c:pt idx="184">
                  <c:v>4.9539449990899174</c:v>
                </c:pt>
                <c:pt idx="185">
                  <c:v>4.9605107072518457</c:v>
                </c:pt>
                <c:pt idx="186">
                  <c:v>4.9893794138462697</c:v>
                </c:pt>
                <c:pt idx="187">
                  <c:v>5.0018395449467565</c:v>
                </c:pt>
                <c:pt idx="188">
                  <c:v>5.0236478332243042</c:v>
                </c:pt>
                <c:pt idx="189">
                  <c:v>5.0292964025599183</c:v>
                </c:pt>
                <c:pt idx="190">
                  <c:v>5.049042662663628</c:v>
                </c:pt>
                <c:pt idx="191">
                  <c:v>5.0656388380475432</c:v>
                </c:pt>
                <c:pt idx="192">
                  <c:v>5.0855392436193156</c:v>
                </c:pt>
                <c:pt idx="193">
                  <c:v>5.097326476095553</c:v>
                </c:pt>
                <c:pt idx="194">
                  <c:v>5.1049762217889025</c:v>
                </c:pt>
                <c:pt idx="195">
                  <c:v>5.1332218128287286</c:v>
                </c:pt>
                <c:pt idx="196">
                  <c:v>5.1462608893574826</c:v>
                </c:pt>
                <c:pt idx="197">
                  <c:v>5.1634685706187664</c:v>
                </c:pt>
                <c:pt idx="198">
                  <c:v>5.1744279625542529</c:v>
                </c:pt>
                <c:pt idx="199">
                  <c:v>5.1889962605435862</c:v>
                </c:pt>
                <c:pt idx="200">
                  <c:v>5.2003793346696483</c:v>
                </c:pt>
                <c:pt idx="201">
                  <c:v>5.2214876601522526</c:v>
                </c:pt>
                <c:pt idx="202">
                  <c:v>5.237789871742434</c:v>
                </c:pt>
                <c:pt idx="203">
                  <c:v>5.2557291577215608</c:v>
                </c:pt>
                <c:pt idx="204">
                  <c:v>5.2757311338697868</c:v>
                </c:pt>
                <c:pt idx="205">
                  <c:v>5.2827104151441509</c:v>
                </c:pt>
                <c:pt idx="206">
                  <c:v>5.3097713545741918</c:v>
                </c:pt>
                <c:pt idx="207">
                  <c:v>5.3155468866051052</c:v>
                </c:pt>
                <c:pt idx="208">
                  <c:v>5.3322876595007926</c:v>
                </c:pt>
                <c:pt idx="209">
                  <c:v>5.3596472335009944</c:v>
                </c:pt>
                <c:pt idx="210">
                  <c:v>5.371716267104194</c:v>
                </c:pt>
                <c:pt idx="211">
                  <c:v>5.3788738226897248</c:v>
                </c:pt>
                <c:pt idx="212">
                  <c:v>5.3996855801510826</c:v>
                </c:pt>
                <c:pt idx="213">
                  <c:v>5.4120833854573043</c:v>
                </c:pt>
                <c:pt idx="214">
                  <c:v>5.4354759266887509</c:v>
                </c:pt>
                <c:pt idx="215">
                  <c:v>5.4498092869729291</c:v>
                </c:pt>
                <c:pt idx="216">
                  <c:v>5.469384077533471</c:v>
                </c:pt>
                <c:pt idx="217">
                  <c:v>5.4843259919612493</c:v>
                </c:pt>
                <c:pt idx="218">
                  <c:v>5.497580076257135</c:v>
                </c:pt>
                <c:pt idx="219">
                  <c:v>5.5111406101042268</c:v>
                </c:pt>
                <c:pt idx="220">
                  <c:v>5.5343263138528744</c:v>
                </c:pt>
                <c:pt idx="221">
                  <c:v>5.5417092180414382</c:v>
                </c:pt>
                <c:pt idx="222">
                  <c:v>5.55670215312501</c:v>
                </c:pt>
                <c:pt idx="223">
                  <c:v>5.5753268022591538</c:v>
                </c:pt>
                <c:pt idx="224">
                  <c:v>5.5947640978011215</c:v>
                </c:pt>
                <c:pt idx="225">
                  <c:v>5.6144623239744602</c:v>
                </c:pt>
                <c:pt idx="226">
                  <c:v>5.6282327782651951</c:v>
                </c:pt>
                <c:pt idx="227">
                  <c:v>5.6328432453798234</c:v>
                </c:pt>
                <c:pt idx="228">
                  <c:v>5.6509686880751904</c:v>
                </c:pt>
                <c:pt idx="229">
                  <c:v>5.6640310365893018</c:v>
                </c:pt>
                <c:pt idx="230">
                  <c:v>5.6931914260045602</c:v>
                </c:pt>
                <c:pt idx="231">
                  <c:v>5.7045713009593477</c:v>
                </c:pt>
                <c:pt idx="232">
                  <c:v>5.7258322964678126</c:v>
                </c:pt>
                <c:pt idx="233">
                  <c:v>5.7319296406889171</c:v>
                </c:pt>
                <c:pt idx="234">
                  <c:v>5.7454088487516639</c:v>
                </c:pt>
                <c:pt idx="235">
                  <c:v>5.7707898316333974</c:v>
                </c:pt>
                <c:pt idx="236">
                  <c:v>5.7909515434128584</c:v>
                </c:pt>
                <c:pt idx="237">
                  <c:v>5.8021815314242104</c:v>
                </c:pt>
                <c:pt idx="238">
                  <c:v>5.8142506139106693</c:v>
                </c:pt>
                <c:pt idx="239">
                  <c:v>5.8281202691579521</c:v>
                </c:pt>
                <c:pt idx="240">
                  <c:v>5.8477244967351956</c:v>
                </c:pt>
                <c:pt idx="241">
                  <c:v>5.8619794916599011</c:v>
                </c:pt>
                <c:pt idx="242">
                  <c:v>5.8750012287020219</c:v>
                </c:pt>
                <c:pt idx="243">
                  <c:v>5.8937258159494323</c:v>
                </c:pt>
                <c:pt idx="244">
                  <c:v>5.9142580613406039</c:v>
                </c:pt>
                <c:pt idx="245">
                  <c:v>5.9312996530968931</c:v>
                </c:pt>
                <c:pt idx="246">
                  <c:v>5.9370625329318134</c:v>
                </c:pt>
                <c:pt idx="247">
                  <c:v>5.9628132627482557</c:v>
                </c:pt>
                <c:pt idx="248">
                  <c:v>5.9691433642024974</c:v>
                </c:pt>
                <c:pt idx="249">
                  <c:v>5.9932096460110529</c:v>
                </c:pt>
                <c:pt idx="250">
                  <c:v>6.0021155928117489</c:v>
                </c:pt>
                <c:pt idx="251">
                  <c:v>6.0174589436318398</c:v>
                </c:pt>
                <c:pt idx="252">
                  <c:v>6.0455608428785483</c:v>
                </c:pt>
                <c:pt idx="253">
                  <c:v>6.0495224845673707</c:v>
                </c:pt>
                <c:pt idx="254">
                  <c:v>6.0732353075019168</c:v>
                </c:pt>
                <c:pt idx="255">
                  <c:v>6.0829409783973691</c:v>
                </c:pt>
                <c:pt idx="256">
                  <c:v>6.1063349748352396</c:v>
                </c:pt>
                <c:pt idx="257">
                  <c:v>6.126929926737894</c:v>
                </c:pt>
                <c:pt idx="258">
                  <c:v>6.1369233094735351</c:v>
                </c:pt>
                <c:pt idx="259">
                  <c:v>6.1456849283877952</c:v>
                </c:pt>
                <c:pt idx="260">
                  <c:v>6.1752954914232943</c:v>
                </c:pt>
                <c:pt idx="261">
                  <c:v>6.1842356707361139</c:v>
                </c:pt>
                <c:pt idx="262">
                  <c:v>6.1967273439254438</c:v>
                </c:pt>
                <c:pt idx="263">
                  <c:v>6.2223020383935195</c:v>
                </c:pt>
                <c:pt idx="264">
                  <c:v>6.2318271938580621</c:v>
                </c:pt>
                <c:pt idx="265">
                  <c:v>6.2496704986229705</c:v>
                </c:pt>
                <c:pt idx="266">
                  <c:v>6.260265684706221</c:v>
                </c:pt>
                <c:pt idx="267">
                  <c:v>6.2785394267678587</c:v>
                </c:pt>
                <c:pt idx="268">
                  <c:v>6.2960292020645054</c:v>
                </c:pt>
                <c:pt idx="269">
                  <c:v>6.3132865897066157</c:v>
                </c:pt>
                <c:pt idx="270">
                  <c:v>6.3255769326513578</c:v>
                </c:pt>
                <c:pt idx="271">
                  <c:v>6.3373194575871619</c:v>
                </c:pt>
                <c:pt idx="272">
                  <c:v>6.3657653722087311</c:v>
                </c:pt>
                <c:pt idx="273">
                  <c:v>6.3691753728094458</c:v>
                </c:pt>
                <c:pt idx="274">
                  <c:v>6.3939519445211515</c:v>
                </c:pt>
                <c:pt idx="275">
                  <c:v>6.4117298488495242</c:v>
                </c:pt>
                <c:pt idx="276">
                  <c:v>6.4257025902927163</c:v>
                </c:pt>
                <c:pt idx="277">
                  <c:v>6.4328753075825222</c:v>
                </c:pt>
                <c:pt idx="278">
                  <c:v>6.4480950777754407</c:v>
                </c:pt>
                <c:pt idx="279">
                  <c:v>6.4697300151562622</c:v>
                </c:pt>
                <c:pt idx="280">
                  <c:v>6.4886052119342157</c:v>
                </c:pt>
                <c:pt idx="281">
                  <c:v>6.5100660471837193</c:v>
                </c:pt>
                <c:pt idx="282">
                  <c:v>6.5165354435081912</c:v>
                </c:pt>
                <c:pt idx="283">
                  <c:v>6.5426147406023496</c:v>
                </c:pt>
                <c:pt idx="284">
                  <c:v>6.557953822139174</c:v>
                </c:pt>
                <c:pt idx="285">
                  <c:v>6.5665636335179585</c:v>
                </c:pt>
                <c:pt idx="286">
                  <c:v>6.5882589658713568</c:v>
                </c:pt>
                <c:pt idx="287">
                  <c:v>6.6064544068757565</c:v>
                </c:pt>
                <c:pt idx="288">
                  <c:v>6.6147962462098331</c:v>
                </c:pt>
                <c:pt idx="289">
                  <c:v>6.6380830367612846</c:v>
                </c:pt>
                <c:pt idx="290">
                  <c:v>6.6529765139848402</c:v>
                </c:pt>
                <c:pt idx="291">
                  <c:v>6.6679557049637559</c:v>
                </c:pt>
                <c:pt idx="292">
                  <c:v>6.6826246741699578</c:v>
                </c:pt>
                <c:pt idx="293">
                  <c:v>6.6933839739126579</c:v>
                </c:pt>
                <c:pt idx="294">
                  <c:v>6.7132789312063901</c:v>
                </c:pt>
                <c:pt idx="295">
                  <c:v>6.7236862251655403</c:v>
                </c:pt>
                <c:pt idx="296">
                  <c:v>6.7394817346417071</c:v>
                </c:pt>
                <c:pt idx="297">
                  <c:v>6.7550444606288904</c:v>
                </c:pt>
                <c:pt idx="298">
                  <c:v>6.7736689358031539</c:v>
                </c:pt>
                <c:pt idx="299">
                  <c:v>6.7856038508754235</c:v>
                </c:pt>
                <c:pt idx="300">
                  <c:v>6.8126537873066617</c:v>
                </c:pt>
                <c:pt idx="301">
                  <c:v>6.8311827347313949</c:v>
                </c:pt>
                <c:pt idx="302">
                  <c:v>6.8370440599147795</c:v>
                </c:pt>
                <c:pt idx="303">
                  <c:v>6.849406214688301</c:v>
                </c:pt>
                <c:pt idx="304">
                  <c:v>6.8640136543475121</c:v>
                </c:pt>
                <c:pt idx="305">
                  <c:v>6.8914210628334951</c:v>
                </c:pt>
                <c:pt idx="306">
                  <c:v>6.9104451799873372</c:v>
                </c:pt>
                <c:pt idx="307">
                  <c:v>6.9205983944667029</c:v>
                </c:pt>
                <c:pt idx="308">
                  <c:v>6.930752075344965</c:v>
                </c:pt>
                <c:pt idx="309">
                  <c:v>6.9452628680992081</c:v>
                </c:pt>
                <c:pt idx="310">
                  <c:v>6.975661275077532</c:v>
                </c:pt>
                <c:pt idx="311">
                  <c:v>6.9859338473775265</c:v>
                </c:pt>
                <c:pt idx="312">
                  <c:v>7.0061161337788489</c:v>
                </c:pt>
                <c:pt idx="313">
                  <c:v>7.02150361361669</c:v>
                </c:pt>
                <c:pt idx="314">
                  <c:v>7.0358271442679285</c:v>
                </c:pt>
                <c:pt idx="315">
                  <c:v>7.0504245203124416</c:v>
                </c:pt>
                <c:pt idx="316">
                  <c:v>7.0661051600040183</c:v>
                </c:pt>
                <c:pt idx="317">
                  <c:v>7.0773412019585589</c:v>
                </c:pt>
                <c:pt idx="318">
                  <c:v>7.0891119384730965</c:v>
                </c:pt>
                <c:pt idx="319">
                  <c:v>7.1141413800926276</c:v>
                </c:pt>
                <c:pt idx="320">
                  <c:v>7.1348034811054371</c:v>
                </c:pt>
                <c:pt idx="321">
                  <c:v>7.1410941442561091</c:v>
                </c:pt>
                <c:pt idx="322">
                  <c:v>7.1544381909711374</c:v>
                </c:pt>
                <c:pt idx="323">
                  <c:v>7.1725456934544596</c:v>
                </c:pt>
                <c:pt idx="324">
                  <c:v>7.1956204056990378</c:v>
                </c:pt>
                <c:pt idx="325">
                  <c:v>7.2086894876716405</c:v>
                </c:pt>
                <c:pt idx="326">
                  <c:v>7.2235606155413112</c:v>
                </c:pt>
                <c:pt idx="327">
                  <c:v>7.2405249678177119</c:v>
                </c:pt>
                <c:pt idx="328">
                  <c:v>7.2630637902652522</c:v>
                </c:pt>
                <c:pt idx="329">
                  <c:v>7.2787431534302289</c:v>
                </c:pt>
                <c:pt idx="330">
                  <c:v>7.2841563426005083</c:v>
                </c:pt>
                <c:pt idx="331">
                  <c:v>7.3116463735326294</c:v>
                </c:pt>
                <c:pt idx="332">
                  <c:v>7.3278591505400508</c:v>
                </c:pt>
                <c:pt idx="333">
                  <c:v>7.3406200756385509</c:v>
                </c:pt>
                <c:pt idx="334">
                  <c:v>7.359649037294008</c:v>
                </c:pt>
                <c:pt idx="335">
                  <c:v>7.3676143395359661</c:v>
                </c:pt>
                <c:pt idx="336">
                  <c:v>7.3818403919874314</c:v>
                </c:pt>
                <c:pt idx="337">
                  <c:v>7.4004236140345272</c:v>
                </c:pt>
                <c:pt idx="338">
                  <c:v>7.4239871218465243</c:v>
                </c:pt>
                <c:pt idx="339">
                  <c:v>7.4284230917478959</c:v>
                </c:pt>
                <c:pt idx="340">
                  <c:v>7.4514128146458916</c:v>
                </c:pt>
                <c:pt idx="341">
                  <c:v>7.4706444959600091</c:v>
                </c:pt>
                <c:pt idx="342">
                  <c:v>7.4848454380065306</c:v>
                </c:pt>
                <c:pt idx="343">
                  <c:v>7.5031717977819898</c:v>
                </c:pt>
                <c:pt idx="344">
                  <c:v>7.5155507624921274</c:v>
                </c:pt>
                <c:pt idx="345">
                  <c:v>7.5315625613135202</c:v>
                </c:pt>
                <c:pt idx="346">
                  <c:v>7.5404424260902312</c:v>
                </c:pt>
                <c:pt idx="347">
                  <c:v>7.5596668529155826</c:v>
                </c:pt>
                <c:pt idx="348">
                  <c:v>7.5736799209913421</c:v>
                </c:pt>
                <c:pt idx="349">
                  <c:v>7.5965131899296567</c:v>
                </c:pt>
                <c:pt idx="350">
                  <c:v>7.6064753161125065</c:v>
                </c:pt>
                <c:pt idx="351">
                  <c:v>7.6162343635634135</c:v>
                </c:pt>
                <c:pt idx="352">
                  <c:v>7.6435424106632226</c:v>
                </c:pt>
                <c:pt idx="353">
                  <c:v>7.6593689924765771</c:v>
                </c:pt>
                <c:pt idx="354">
                  <c:v>7.6774331398376807</c:v>
                </c:pt>
                <c:pt idx="355">
                  <c:v>7.6829131677828064</c:v>
                </c:pt>
                <c:pt idx="356">
                  <c:v>7.6966330521443469</c:v>
                </c:pt>
                <c:pt idx="357">
                  <c:v>7.7273952715656238</c:v>
                </c:pt>
                <c:pt idx="358">
                  <c:v>7.7365856863466522</c:v>
                </c:pt>
                <c:pt idx="359">
                  <c:v>7.7534849380947382</c:v>
                </c:pt>
                <c:pt idx="360">
                  <c:v>7.7645093129399481</c:v>
                </c:pt>
                <c:pt idx="361">
                  <c:v>7.7905687714923566</c:v>
                </c:pt>
                <c:pt idx="362">
                  <c:v>7.8015642617069094</c:v>
                </c:pt>
                <c:pt idx="363">
                  <c:v>7.8147117310591767</c:v>
                </c:pt>
                <c:pt idx="364">
                  <c:v>7.8393868603332404</c:v>
                </c:pt>
                <c:pt idx="365">
                  <c:v>7.8459268127991644</c:v>
                </c:pt>
                <c:pt idx="366">
                  <c:v>7.8563295138181024</c:v>
                </c:pt>
                <c:pt idx="367">
                  <c:v>7.8769529615838438</c:v>
                </c:pt>
                <c:pt idx="368">
                  <c:v>7.8939689745507131</c:v>
                </c:pt>
                <c:pt idx="369">
                  <c:v>7.9066689169748381</c:v>
                </c:pt>
                <c:pt idx="370">
                  <c:v>7.9323311925745408</c:v>
                </c:pt>
                <c:pt idx="371">
                  <c:v>7.9478093114634527</c:v>
                </c:pt>
                <c:pt idx="372">
                  <c:v>7.9614479155487965</c:v>
                </c:pt>
                <c:pt idx="373">
                  <c:v>7.981736318375388</c:v>
                </c:pt>
                <c:pt idx="374">
                  <c:v>7.9851132788884254</c:v>
                </c:pt>
                <c:pt idx="375">
                  <c:v>8.0130981520593849</c:v>
                </c:pt>
                <c:pt idx="376">
                  <c:v>8.0251954834110091</c:v>
                </c:pt>
                <c:pt idx="377">
                  <c:v>8.0381684591486504</c:v>
                </c:pt>
                <c:pt idx="378">
                  <c:v>8.048504433658092</c:v>
                </c:pt>
                <c:pt idx="379">
                  <c:v>8.073874025708502</c:v>
                </c:pt>
                <c:pt idx="380">
                  <c:v>8.0844630789171124</c:v>
                </c:pt>
                <c:pt idx="381">
                  <c:v>8.0996365609326482</c:v>
                </c:pt>
                <c:pt idx="382">
                  <c:v>8.1184512338727828</c:v>
                </c:pt>
                <c:pt idx="383">
                  <c:v>8.1336477182520674</c:v>
                </c:pt>
                <c:pt idx="384">
                  <c:v>8.1477324336403356</c:v>
                </c:pt>
                <c:pt idx="385">
                  <c:v>8.1712760566685532</c:v>
                </c:pt>
                <c:pt idx="386">
                  <c:v>8.1771393387469331</c:v>
                </c:pt>
                <c:pt idx="387">
                  <c:v>8.1937767916884674</c:v>
                </c:pt>
                <c:pt idx="388">
                  <c:v>8.209309129879184</c:v>
                </c:pt>
                <c:pt idx="389">
                  <c:v>8.2328588534502458</c:v>
                </c:pt>
                <c:pt idx="390">
                  <c:v>8.2547941300270136</c:v>
                </c:pt>
                <c:pt idx="391">
                  <c:v>8.2681688376991467</c:v>
                </c:pt>
                <c:pt idx="392">
                  <c:v>8.2847090908057783</c:v>
                </c:pt>
                <c:pt idx="393">
                  <c:v>8.292458439112746</c:v>
                </c:pt>
                <c:pt idx="394">
                  <c:v>8.3140047099352827</c:v>
                </c:pt>
                <c:pt idx="395">
                  <c:v>8.3215481993596878</c:v>
                </c:pt>
                <c:pt idx="396">
                  <c:v>8.3476736984838897</c:v>
                </c:pt>
                <c:pt idx="397">
                  <c:v>8.353213494729534</c:v>
                </c:pt>
                <c:pt idx="398">
                  <c:v>8.377505628029235</c:v>
                </c:pt>
                <c:pt idx="399">
                  <c:v>8.3980163986193972</c:v>
                </c:pt>
                <c:pt idx="400">
                  <c:v>8.4056226085474766</c:v>
                </c:pt>
                <c:pt idx="401">
                  <c:v>8.4283780134945125</c:v>
                </c:pt>
                <c:pt idx="402">
                  <c:v>8.4450348837666773</c:v>
                </c:pt>
                <c:pt idx="403">
                  <c:v>8.4591335285704439</c:v>
                </c:pt>
                <c:pt idx="404">
                  <c:v>8.4659777645957597</c:v>
                </c:pt>
                <c:pt idx="405">
                  <c:v>8.4831020990803605</c:v>
                </c:pt>
                <c:pt idx="406">
                  <c:v>8.5109457553622647</c:v>
                </c:pt>
                <c:pt idx="407">
                  <c:v>8.5143911209708065</c:v>
                </c:pt>
                <c:pt idx="408">
                  <c:v>8.5434857174119649</c:v>
                </c:pt>
                <c:pt idx="409">
                  <c:v>8.5566551410026506</c:v>
                </c:pt>
                <c:pt idx="410">
                  <c:v>8.5656818638159145</c:v>
                </c:pt>
                <c:pt idx="411">
                  <c:v>8.5839393264409019</c:v>
                </c:pt>
                <c:pt idx="412">
                  <c:v>8.602027774887631</c:v>
                </c:pt>
                <c:pt idx="413">
                  <c:v>8.608060644362137</c:v>
                </c:pt>
                <c:pt idx="414">
                  <c:v>8.6352947444457779</c:v>
                </c:pt>
                <c:pt idx="415">
                  <c:v>8.6492012015677062</c:v>
                </c:pt>
                <c:pt idx="416">
                  <c:v>8.6660057095536036</c:v>
                </c:pt>
                <c:pt idx="417">
                  <c:v>8.6789842976459735</c:v>
                </c:pt>
                <c:pt idx="418">
                  <c:v>8.6926275582808614</c:v>
                </c:pt>
                <c:pt idx="419">
                  <c:v>8.7087503755923237</c:v>
                </c:pt>
                <c:pt idx="420">
                  <c:v>8.7331709527292212</c:v>
                </c:pt>
                <c:pt idx="421">
                  <c:v>8.7512624122573204</c:v>
                </c:pt>
                <c:pt idx="422">
                  <c:v>8.7570030180562775</c:v>
                </c:pt>
                <c:pt idx="423">
                  <c:v>8.7785691517876856</c:v>
                </c:pt>
                <c:pt idx="424">
                  <c:v>8.7995003869122606</c:v>
                </c:pt>
                <c:pt idx="425">
                  <c:v>8.8072030965814374</c:v>
                </c:pt>
                <c:pt idx="426">
                  <c:v>8.8232984498346454</c:v>
                </c:pt>
                <c:pt idx="427">
                  <c:v>8.8430801186736403</c:v>
                </c:pt>
                <c:pt idx="428">
                  <c:v>8.8619214849504466</c:v>
                </c:pt>
                <c:pt idx="429">
                  <c:v>8.8683228671225542</c:v>
                </c:pt>
                <c:pt idx="430">
                  <c:v>8.8865100242212662</c:v>
                </c:pt>
                <c:pt idx="431">
                  <c:v>8.9112452447263628</c:v>
                </c:pt>
                <c:pt idx="432">
                  <c:v>8.9217037278846156</c:v>
                </c:pt>
                <c:pt idx="433">
                  <c:v>8.9319014838458735</c:v>
                </c:pt>
                <c:pt idx="434">
                  <c:v>8.9453745213154185</c:v>
                </c:pt>
                <c:pt idx="435">
                  <c:v>8.9708677960249759</c:v>
                </c:pt>
                <c:pt idx="436">
                  <c:v>8.976807295993158</c:v>
                </c:pt>
                <c:pt idx="437">
                  <c:v>8.9968891310107182</c:v>
                </c:pt>
                <c:pt idx="438">
                  <c:v>9.0177114907525748</c:v>
                </c:pt>
                <c:pt idx="439">
                  <c:v>9.0290208534125753</c:v>
                </c:pt>
                <c:pt idx="440">
                  <c:v>9.0421222242233625</c:v>
                </c:pt>
                <c:pt idx="441">
                  <c:v>9.0561925815456057</c:v>
                </c:pt>
                <c:pt idx="442">
                  <c:v>9.0769810867246647</c:v>
                </c:pt>
                <c:pt idx="443">
                  <c:v>9.0962413477507056</c:v>
                </c:pt>
                <c:pt idx="444">
                  <c:v>9.1134127335570323</c:v>
                </c:pt>
                <c:pt idx="445">
                  <c:v>9.127054355384562</c:v>
                </c:pt>
                <c:pt idx="446">
                  <c:v>9.1447104585824324</c:v>
                </c:pt>
                <c:pt idx="447">
                  <c:v>9.1599648101273843</c:v>
                </c:pt>
                <c:pt idx="448">
                  <c:v>9.1710277411460481</c:v>
                </c:pt>
                <c:pt idx="449">
                  <c:v>9.1969869813129748</c:v>
                </c:pt>
                <c:pt idx="450">
                  <c:v>9.202228285648447</c:v>
                </c:pt>
                <c:pt idx="451">
                  <c:v>9.2258632507384437</c:v>
                </c:pt>
                <c:pt idx="452">
                  <c:v>9.2356585435093521</c:v>
                </c:pt>
                <c:pt idx="453">
                  <c:v>9.2588837166118623</c:v>
                </c:pt>
                <c:pt idx="454">
                  <c:v>9.267821781662251</c:v>
                </c:pt>
                <c:pt idx="455">
                  <c:v>9.285539457404413</c:v>
                </c:pt>
                <c:pt idx="456">
                  <c:v>9.3070825139496201</c:v>
                </c:pt>
                <c:pt idx="457">
                  <c:v>9.3229673839162501</c:v>
                </c:pt>
                <c:pt idx="458">
                  <c:v>9.3291151573511577</c:v>
                </c:pt>
                <c:pt idx="459">
                  <c:v>9.3566038823194351</c:v>
                </c:pt>
                <c:pt idx="460">
                  <c:v>9.3663147667772861</c:v>
                </c:pt>
                <c:pt idx="461">
                  <c:v>9.3833181735033442</c:v>
                </c:pt>
                <c:pt idx="462">
                  <c:v>9.4045151352464487</c:v>
                </c:pt>
                <c:pt idx="463">
                  <c:v>9.4216509972991531</c:v>
                </c:pt>
                <c:pt idx="464">
                  <c:v>9.4286796556722088</c:v>
                </c:pt>
                <c:pt idx="465">
                  <c:v>9.4533294911266594</c:v>
                </c:pt>
                <c:pt idx="466">
                  <c:v>9.4599180275844219</c:v>
                </c:pt>
                <c:pt idx="467">
                  <c:v>9.4865066022422404</c:v>
                </c:pt>
                <c:pt idx="468">
                  <c:v>9.4883422201872669</c:v>
                </c:pt>
                <c:pt idx="469">
                  <c:v>9.5108479031824622</c:v>
                </c:pt>
                <c:pt idx="470">
                  <c:v>9.5237870704987522</c:v>
                </c:pt>
                <c:pt idx="471">
                  <c:v>9.5470968098368267</c:v>
                </c:pt>
                <c:pt idx="472">
                  <c:v>9.5620935935178046</c:v>
                </c:pt>
                <c:pt idx="473">
                  <c:v>9.5732211741258446</c:v>
                </c:pt>
                <c:pt idx="474">
                  <c:v>9.5885717498000176</c:v>
                </c:pt>
                <c:pt idx="475">
                  <c:v>9.6142198983538485</c:v>
                </c:pt>
                <c:pt idx="476">
                  <c:v>9.6184045848442246</c:v>
                </c:pt>
                <c:pt idx="477">
                  <c:v>9.6334544820565391</c:v>
                </c:pt>
                <c:pt idx="478">
                  <c:v>9.6523006258616917</c:v>
                </c:pt>
                <c:pt idx="479">
                  <c:v>9.6645227026493572</c:v>
                </c:pt>
                <c:pt idx="480">
                  <c:v>9.6940952899749604</c:v>
                </c:pt>
                <c:pt idx="481">
                  <c:v>9.7081207930585656</c:v>
                </c:pt>
                <c:pt idx="482">
                  <c:v>9.7182512673601167</c:v>
                </c:pt>
                <c:pt idx="483">
                  <c:v>9.7352838128151582</c:v>
                </c:pt>
                <c:pt idx="484">
                  <c:v>9.7577951656016051</c:v>
                </c:pt>
                <c:pt idx="485">
                  <c:v>9.7688187668157784</c:v>
                </c:pt>
                <c:pt idx="486">
                  <c:v>9.7893245343634216</c:v>
                </c:pt>
                <c:pt idx="487">
                  <c:v>9.7933694472651389</c:v>
                </c:pt>
                <c:pt idx="488">
                  <c:v>9.8121943313600948</c:v>
                </c:pt>
                <c:pt idx="489">
                  <c:v>9.8356686030876972</c:v>
                </c:pt>
                <c:pt idx="490">
                  <c:v>9.843385931205793</c:v>
                </c:pt>
                <c:pt idx="491">
                  <c:v>9.8692956193753751</c:v>
                </c:pt>
                <c:pt idx="492">
                  <c:v>9.8737936612483566</c:v>
                </c:pt>
                <c:pt idx="493">
                  <c:v>9.8886740852074411</c:v>
                </c:pt>
                <c:pt idx="494">
                  <c:v>9.9045863183179375</c:v>
                </c:pt>
                <c:pt idx="495">
                  <c:v>9.9322459063781992</c:v>
                </c:pt>
                <c:pt idx="496">
                  <c:v>9.9443697731551648</c:v>
                </c:pt>
                <c:pt idx="497">
                  <c:v>9.9550779553770745</c:v>
                </c:pt>
                <c:pt idx="498">
                  <c:v>9.9718657033191676</c:v>
                </c:pt>
                <c:pt idx="499">
                  <c:v>9.9869767314500599</c:v>
                </c:pt>
              </c:numCache>
            </c:numRef>
          </c:xVal>
          <c:yVal>
            <c:numRef>
              <c:f>SimData1!$L$9:$L$508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SimData1!$M$8</c:f>
              <c:strCache>
                <c:ptCount val="1"/>
                <c:pt idx="0">
                  <c:v>Empirical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SimData1!$M$9:$M$508</c:f>
              <c:numCache>
                <c:formatCode>General</c:formatCode>
                <c:ptCount val="500"/>
                <c:pt idx="0">
                  <c:v>2.004804312483595</c:v>
                </c:pt>
                <c:pt idx="1">
                  <c:v>2.010675786516321</c:v>
                </c:pt>
                <c:pt idx="2">
                  <c:v>2.0217261209817896</c:v>
                </c:pt>
                <c:pt idx="3">
                  <c:v>2.0297660871031149</c:v>
                </c:pt>
                <c:pt idx="4">
                  <c:v>2.0331873607954911</c:v>
                </c:pt>
                <c:pt idx="5">
                  <c:v>2.0440510357199355</c:v>
                </c:pt>
                <c:pt idx="6">
                  <c:v>2.0501874287673707</c:v>
                </c:pt>
                <c:pt idx="7">
                  <c:v>2.0638420841283729</c:v>
                </c:pt>
                <c:pt idx="8">
                  <c:v>2.0686895689416418</c:v>
                </c:pt>
                <c:pt idx="9">
                  <c:v>2.0737388935130414</c:v>
                </c:pt>
                <c:pt idx="10">
                  <c:v>2.0858124394076438</c:v>
                </c:pt>
                <c:pt idx="11">
                  <c:v>2.0918469304656253</c:v>
                </c:pt>
                <c:pt idx="12">
                  <c:v>2.1003137238445491</c:v>
                </c:pt>
                <c:pt idx="13">
                  <c:v>2.1084919227018233</c:v>
                </c:pt>
                <c:pt idx="14">
                  <c:v>2.118112156634711</c:v>
                </c:pt>
                <c:pt idx="15">
                  <c:v>2.1223923422960547</c:v>
                </c:pt>
                <c:pt idx="16">
                  <c:v>2.130333900785617</c:v>
                </c:pt>
                <c:pt idx="17">
                  <c:v>2.1426385222782005</c:v>
                </c:pt>
                <c:pt idx="18">
                  <c:v>2.1474740804237022</c:v>
                </c:pt>
                <c:pt idx="19">
                  <c:v>2.1529269894587171</c:v>
                </c:pt>
                <c:pt idx="20">
                  <c:v>2.16342117075888</c:v>
                </c:pt>
                <c:pt idx="21">
                  <c:v>2.1705426293915471</c:v>
                </c:pt>
                <c:pt idx="22">
                  <c:v>2.179673671164474</c:v>
                </c:pt>
                <c:pt idx="23">
                  <c:v>2.1907053600118274</c:v>
                </c:pt>
                <c:pt idx="24">
                  <c:v>2.192572913717612</c:v>
                </c:pt>
                <c:pt idx="25">
                  <c:v>2.2011814961082257</c:v>
                </c:pt>
                <c:pt idx="26">
                  <c:v>2.2117642111060594</c:v>
                </c:pt>
                <c:pt idx="27">
                  <c:v>2.2189094734831967</c:v>
                </c:pt>
                <c:pt idx="28">
                  <c:v>2.2257386691816472</c:v>
                </c:pt>
                <c:pt idx="29">
                  <c:v>2.2371122533839922</c:v>
                </c:pt>
                <c:pt idx="30">
                  <c:v>2.2408972508834903</c:v>
                </c:pt>
                <c:pt idx="31">
                  <c:v>2.2483662824594335</c:v>
                </c:pt>
                <c:pt idx="32">
                  <c:v>2.2599222678215991</c:v>
                </c:pt>
                <c:pt idx="33">
                  <c:v>2.2700356235406445</c:v>
                </c:pt>
                <c:pt idx="34">
                  <c:v>2.2770903052550486</c:v>
                </c:pt>
                <c:pt idx="35">
                  <c:v>2.283700204287586</c:v>
                </c:pt>
                <c:pt idx="36">
                  <c:v>2.2924810260693729</c:v>
                </c:pt>
                <c:pt idx="37">
                  <c:v>2.2962032572664794</c:v>
                </c:pt>
                <c:pt idx="38">
                  <c:v>2.3088928761568135</c:v>
                </c:pt>
                <c:pt idx="39">
                  <c:v>2.3132068949959255</c:v>
                </c:pt>
                <c:pt idx="40">
                  <c:v>2.3254002207399811</c:v>
                </c:pt>
                <c:pt idx="41">
                  <c:v>2.3298050166335433</c:v>
                </c:pt>
                <c:pt idx="42">
                  <c:v>2.3438159742895084</c:v>
                </c:pt>
                <c:pt idx="43">
                  <c:v>2.3504710867922918</c:v>
                </c:pt>
                <c:pt idx="44">
                  <c:v>2.3526015890949874</c:v>
                </c:pt>
                <c:pt idx="45">
                  <c:v>2.3634262051962844</c:v>
                </c:pt>
                <c:pt idx="46">
                  <c:v>2.3750415826884659</c:v>
                </c:pt>
                <c:pt idx="47">
                  <c:v>2.3815607034204436</c:v>
                </c:pt>
                <c:pt idx="48">
                  <c:v>2.3874575401515368</c:v>
                </c:pt>
                <c:pt idx="49">
                  <c:v>2.3997021707481943</c:v>
                </c:pt>
                <c:pt idx="50">
                  <c:v>2.4052315683879963</c:v>
                </c:pt>
                <c:pt idx="51">
                  <c:v>2.4148849716724095</c:v>
                </c:pt>
                <c:pt idx="52">
                  <c:v>2.4173345787416527</c:v>
                </c:pt>
                <c:pt idx="53">
                  <c:v>2.4291219936360422</c:v>
                </c:pt>
                <c:pt idx="54">
                  <c:v>2.4365311545237271</c:v>
                </c:pt>
                <c:pt idx="55">
                  <c:v>2.4407962154338128</c:v>
                </c:pt>
                <c:pt idx="56">
                  <c:v>2.452184235659471</c:v>
                </c:pt>
                <c:pt idx="57">
                  <c:v>2.4625537825521437</c:v>
                </c:pt>
                <c:pt idx="58">
                  <c:v>2.4672818825569194</c:v>
                </c:pt>
                <c:pt idx="59">
                  <c:v>2.4786828632947717</c:v>
                </c:pt>
                <c:pt idx="60">
                  <c:v>2.4859323074105037</c:v>
                </c:pt>
                <c:pt idx="61">
                  <c:v>2.4885291938969236</c:v>
                </c:pt>
                <c:pt idx="62">
                  <c:v>2.4964476104752271</c:v>
                </c:pt>
                <c:pt idx="63">
                  <c:v>2.5280634633470478</c:v>
                </c:pt>
                <c:pt idx="64">
                  <c:v>2.5628325252520927</c:v>
                </c:pt>
                <c:pt idx="65">
                  <c:v>2.6099974895291957</c:v>
                </c:pt>
                <c:pt idx="66">
                  <c:v>2.6628120734130061</c:v>
                </c:pt>
                <c:pt idx="67">
                  <c:v>2.6998678906773845</c:v>
                </c:pt>
                <c:pt idx="68">
                  <c:v>2.7408782866552657</c:v>
                </c:pt>
                <c:pt idx="69">
                  <c:v>2.7855766532350272</c:v>
                </c:pt>
                <c:pt idx="70">
                  <c:v>2.8207430131222915</c:v>
                </c:pt>
                <c:pt idx="71">
                  <c:v>2.8420480806571549</c:v>
                </c:pt>
                <c:pt idx="72">
                  <c:v>2.9189273643118629</c:v>
                </c:pt>
                <c:pt idx="73">
                  <c:v>2.9271971288992087</c:v>
                </c:pt>
                <c:pt idx="74">
                  <c:v>2.9906220742386354</c:v>
                </c:pt>
                <c:pt idx="75">
                  <c:v>3.0395576205755486</c:v>
                </c:pt>
                <c:pt idx="76">
                  <c:v>3.0679756758334058</c:v>
                </c:pt>
                <c:pt idx="77">
                  <c:v>3.0989658242228826</c:v>
                </c:pt>
                <c:pt idx="78">
                  <c:v>3.1444891266488679</c:v>
                </c:pt>
                <c:pt idx="79">
                  <c:v>3.1991222632394924</c:v>
                </c:pt>
                <c:pt idx="80">
                  <c:v>3.2016698112249538</c:v>
                </c:pt>
                <c:pt idx="81">
                  <c:v>3.2686425251859808</c:v>
                </c:pt>
                <c:pt idx="82">
                  <c:v>3.3092487011452314</c:v>
                </c:pt>
                <c:pt idx="83">
                  <c:v>3.3564179090402129</c:v>
                </c:pt>
                <c:pt idx="84">
                  <c:v>3.3876627316204049</c:v>
                </c:pt>
                <c:pt idx="85">
                  <c:v>3.4172667260321941</c:v>
                </c:pt>
                <c:pt idx="86">
                  <c:v>3.455504490448047</c:v>
                </c:pt>
                <c:pt idx="87">
                  <c:v>3.483241153928275</c:v>
                </c:pt>
                <c:pt idx="88">
                  <c:v>3.5225992232380898</c:v>
                </c:pt>
                <c:pt idx="89">
                  <c:v>3.5840453863479302</c:v>
                </c:pt>
                <c:pt idx="90">
                  <c:v>3.6321979108993423</c:v>
                </c:pt>
                <c:pt idx="91">
                  <c:v>3.6547060155623381</c:v>
                </c:pt>
                <c:pt idx="92">
                  <c:v>3.705033723764362</c:v>
                </c:pt>
                <c:pt idx="93">
                  <c:v>3.7222908524894831</c:v>
                </c:pt>
                <c:pt idx="94">
                  <c:v>3.7931753339602556</c:v>
                </c:pt>
                <c:pt idx="95">
                  <c:v>3.8324252968822665</c:v>
                </c:pt>
                <c:pt idx="96">
                  <c:v>3.8762439111611444</c:v>
                </c:pt>
                <c:pt idx="97">
                  <c:v>3.9135404822960358</c:v>
                </c:pt>
                <c:pt idx="98">
                  <c:v>3.950109825849093</c:v>
                </c:pt>
                <c:pt idx="99">
                  <c:v>3.9951584437943897</c:v>
                </c:pt>
                <c:pt idx="100">
                  <c:v>4.0105675158674288</c:v>
                </c:pt>
                <c:pt idx="101">
                  <c:v>4.0769475551780658</c:v>
                </c:pt>
                <c:pt idx="102">
                  <c:v>4.0876352491247552</c:v>
                </c:pt>
                <c:pt idx="103">
                  <c:v>4.1537903262101565</c:v>
                </c:pt>
                <c:pt idx="104">
                  <c:v>4.1989778472760175</c:v>
                </c:pt>
                <c:pt idx="105">
                  <c:v>4.2160380255375145</c:v>
                </c:pt>
                <c:pt idx="106">
                  <c:v>4.253277840617411</c:v>
                </c:pt>
                <c:pt idx="107">
                  <c:v>4.3091174412400273</c:v>
                </c:pt>
                <c:pt idx="108">
                  <c:v>4.3265797613390209</c:v>
                </c:pt>
                <c:pt idx="109">
                  <c:v>4.3902034111670689</c:v>
                </c:pt>
                <c:pt idx="110">
                  <c:v>4.4264404985742738</c:v>
                </c:pt>
                <c:pt idx="111">
                  <c:v>4.4436357442484322</c:v>
                </c:pt>
                <c:pt idx="112">
                  <c:v>4.510045476339303</c:v>
                </c:pt>
                <c:pt idx="113">
                  <c:v>4.5481725701755309</c:v>
                </c:pt>
                <c:pt idx="114">
                  <c:v>4.5745193689629717</c:v>
                </c:pt>
                <c:pt idx="115">
                  <c:v>4.6219776840372884</c:v>
                </c:pt>
                <c:pt idx="116">
                  <c:v>4.6524705042160281</c:v>
                </c:pt>
                <c:pt idx="117">
                  <c:v>4.7016329867629416</c:v>
                </c:pt>
                <c:pt idx="118">
                  <c:v>4.7453735792416554</c:v>
                </c:pt>
                <c:pt idx="119">
                  <c:v>4.7779654093873614</c:v>
                </c:pt>
                <c:pt idx="120">
                  <c:v>4.8062650499600599</c:v>
                </c:pt>
                <c:pt idx="121">
                  <c:v>4.8413936436086411</c:v>
                </c:pt>
                <c:pt idx="122">
                  <c:v>4.9194409948306719</c:v>
                </c:pt>
                <c:pt idx="123">
                  <c:v>4.9259581384169771</c:v>
                </c:pt>
                <c:pt idx="124">
                  <c:v>4.9840956178549902</c:v>
                </c:pt>
                <c:pt idx="125">
                  <c:v>5.0204905114575498</c:v>
                </c:pt>
                <c:pt idx="126">
                  <c:v>5.0466771842964633</c:v>
                </c:pt>
                <c:pt idx="127">
                  <c:v>5.0547724997063099</c:v>
                </c:pt>
                <c:pt idx="128">
                  <c:v>5.0820005909842445</c:v>
                </c:pt>
                <c:pt idx="129">
                  <c:v>5.1108267611802614</c:v>
                </c:pt>
                <c:pt idx="130">
                  <c:v>5.1413975954701652</c:v>
                </c:pt>
                <c:pt idx="131">
                  <c:v>5.1655490348352</c:v>
                </c:pt>
                <c:pt idx="132">
                  <c:v>5.1776483227279151</c:v>
                </c:pt>
                <c:pt idx="133">
                  <c:v>5.2060319214067494</c:v>
                </c:pt>
                <c:pt idx="134">
                  <c:v>5.2233227891343006</c:v>
                </c:pt>
                <c:pt idx="135">
                  <c:v>5.2613672949572479</c:v>
                </c:pt>
                <c:pt idx="136">
                  <c:v>5.2642873415929001</c:v>
                </c:pt>
                <c:pt idx="137">
                  <c:v>5.2966802783516886</c:v>
                </c:pt>
                <c:pt idx="138">
                  <c:v>5.3163203824712717</c:v>
                </c:pt>
                <c:pt idx="139">
                  <c:v>5.3486254914525491</c:v>
                </c:pt>
                <c:pt idx="140">
                  <c:v>5.3736238581011131</c:v>
                </c:pt>
                <c:pt idx="141">
                  <c:v>5.4068588269443385</c:v>
                </c:pt>
                <c:pt idx="142">
                  <c:v>5.4167324481161154</c:v>
                </c:pt>
                <c:pt idx="143">
                  <c:v>5.4525446936722251</c:v>
                </c:pt>
                <c:pt idx="144">
                  <c:v>5.4778413639398851</c:v>
                </c:pt>
                <c:pt idx="145">
                  <c:v>5.4921279855789917</c:v>
                </c:pt>
                <c:pt idx="146">
                  <c:v>5.5077093234517864</c:v>
                </c:pt>
                <c:pt idx="147">
                  <c:v>5.5287508811617156</c:v>
                </c:pt>
                <c:pt idx="148">
                  <c:v>5.5670003809386399</c:v>
                </c:pt>
                <c:pt idx="149">
                  <c:v>5.5871271820429547</c:v>
                </c:pt>
                <c:pt idx="150">
                  <c:v>5.6225989195272792</c:v>
                </c:pt>
                <c:pt idx="151">
                  <c:v>5.6317282725571953</c:v>
                </c:pt>
                <c:pt idx="152">
                  <c:v>5.6484159689993634</c:v>
                </c:pt>
                <c:pt idx="153">
                  <c:v>5.6886642459278614</c:v>
                </c:pt>
                <c:pt idx="154">
                  <c:v>5.7063538725288474</c:v>
                </c:pt>
                <c:pt idx="155">
                  <c:v>5.7302152462830334</c:v>
                </c:pt>
                <c:pt idx="156">
                  <c:v>5.7496105471359593</c:v>
                </c:pt>
                <c:pt idx="157">
                  <c:v>5.780493090295348</c:v>
                </c:pt>
                <c:pt idx="158">
                  <c:v>5.8147260716684919</c:v>
                </c:pt>
                <c:pt idx="159">
                  <c:v>5.8372253010471411</c:v>
                </c:pt>
                <c:pt idx="160">
                  <c:v>5.8549491241981624</c:v>
                </c:pt>
                <c:pt idx="161">
                  <c:v>5.8791807490399064</c:v>
                </c:pt>
                <c:pt idx="162">
                  <c:v>5.8925103316243064</c:v>
                </c:pt>
                <c:pt idx="163">
                  <c:v>5.9297140388213361</c:v>
                </c:pt>
                <c:pt idx="164">
                  <c:v>5.9543142393534803</c:v>
                </c:pt>
                <c:pt idx="165">
                  <c:v>5.9718881971491244</c:v>
                </c:pt>
                <c:pt idx="166">
                  <c:v>5.9987175171763445</c:v>
                </c:pt>
                <c:pt idx="167">
                  <c:v>6.0247735878994622</c:v>
                </c:pt>
                <c:pt idx="168">
                  <c:v>6.0492028911209665</c:v>
                </c:pt>
                <c:pt idx="169">
                  <c:v>6.0798902579378087</c:v>
                </c:pt>
                <c:pt idx="170">
                  <c:v>6.0943680474866104</c:v>
                </c:pt>
                <c:pt idx="171">
                  <c:v>6.1159295018995019</c:v>
                </c:pt>
                <c:pt idx="172">
                  <c:v>6.1357731549385406</c:v>
                </c:pt>
                <c:pt idx="173">
                  <c:v>6.1729726464517816</c:v>
                </c:pt>
                <c:pt idx="174">
                  <c:v>6.1825003928594526</c:v>
                </c:pt>
                <c:pt idx="175">
                  <c:v>6.2020707457368429</c:v>
                </c:pt>
                <c:pt idx="176">
                  <c:v>6.2367613654110485</c:v>
                </c:pt>
                <c:pt idx="177">
                  <c:v>6.2507968535802316</c:v>
                </c:pt>
                <c:pt idx="178">
                  <c:v>6.2899074209839814</c:v>
                </c:pt>
                <c:pt idx="179">
                  <c:v>6.304857699839598</c:v>
                </c:pt>
                <c:pt idx="180">
                  <c:v>6.3271289043200962</c:v>
                </c:pt>
                <c:pt idx="181">
                  <c:v>6.3563948013885865</c:v>
                </c:pt>
                <c:pt idx="182">
                  <c:v>6.3704261373529274</c:v>
                </c:pt>
                <c:pt idx="183">
                  <c:v>6.394465262037345</c:v>
                </c:pt>
                <c:pt idx="184">
                  <c:v>6.4309569044203858</c:v>
                </c:pt>
                <c:pt idx="185">
                  <c:v>6.4526420773446187</c:v>
                </c:pt>
                <c:pt idx="186">
                  <c:v>6.4821395324287332</c:v>
                </c:pt>
                <c:pt idx="187">
                  <c:v>6.4919258532514625</c:v>
                </c:pt>
                <c:pt idx="188">
                  <c:v>6.5269235124175724</c:v>
                </c:pt>
                <c:pt idx="189">
                  <c:v>6.5966839993271709</c:v>
                </c:pt>
                <c:pt idx="190">
                  <c:v>6.6119100449448238</c:v>
                </c:pt>
                <c:pt idx="191">
                  <c:v>6.654455914677694</c:v>
                </c:pt>
                <c:pt idx="192">
                  <c:v>6.7026594681159271</c:v>
                </c:pt>
                <c:pt idx="193">
                  <c:v>6.725832031528892</c:v>
                </c:pt>
                <c:pt idx="194">
                  <c:v>6.7603169808351247</c:v>
                </c:pt>
                <c:pt idx="195">
                  <c:v>6.8041616488164669</c:v>
                </c:pt>
                <c:pt idx="196">
                  <c:v>6.8633807408305305</c:v>
                </c:pt>
                <c:pt idx="197">
                  <c:v>6.8909790283560248</c:v>
                </c:pt>
                <c:pt idx="198">
                  <c:v>6.9307712420380607</c:v>
                </c:pt>
                <c:pt idx="199">
                  <c:v>6.987575633150426</c:v>
                </c:pt>
                <c:pt idx="200">
                  <c:v>7.0346785298536254</c:v>
                </c:pt>
                <c:pt idx="201">
                  <c:v>7.0786077147532742</c:v>
                </c:pt>
                <c:pt idx="202">
                  <c:v>7.1123454235383177</c:v>
                </c:pt>
                <c:pt idx="203">
                  <c:v>7.1443475149721714</c:v>
                </c:pt>
                <c:pt idx="204">
                  <c:v>7.1619517330364211</c:v>
                </c:pt>
                <c:pt idx="205">
                  <c:v>7.2065917780079385</c:v>
                </c:pt>
                <c:pt idx="206">
                  <c:v>7.2745579590356346</c:v>
                </c:pt>
                <c:pt idx="207">
                  <c:v>7.2987259808226312</c:v>
                </c:pt>
                <c:pt idx="208">
                  <c:v>7.3414961571668957</c:v>
                </c:pt>
                <c:pt idx="209">
                  <c:v>7.3942907855180771</c:v>
                </c:pt>
                <c:pt idx="210">
                  <c:v>7.4368647771414516</c:v>
                </c:pt>
                <c:pt idx="211">
                  <c:v>7.4611715297822778</c:v>
                </c:pt>
                <c:pt idx="212">
                  <c:v>7.4984526743130884</c:v>
                </c:pt>
                <c:pt idx="213">
                  <c:v>7.5462232089941912</c:v>
                </c:pt>
                <c:pt idx="214">
                  <c:v>7.5796350762107485</c:v>
                </c:pt>
                <c:pt idx="215">
                  <c:v>7.6391694063877624</c:v>
                </c:pt>
                <c:pt idx="216">
                  <c:v>7.6660065542501403</c:v>
                </c:pt>
                <c:pt idx="217">
                  <c:v>7.7153828420386139</c:v>
                </c:pt>
                <c:pt idx="218">
                  <c:v>7.757815771763636</c:v>
                </c:pt>
                <c:pt idx="219">
                  <c:v>7.7751424991654092</c:v>
                </c:pt>
                <c:pt idx="220">
                  <c:v>7.8273971141566054</c:v>
                </c:pt>
                <c:pt idx="221">
                  <c:v>7.8778937328881335</c:v>
                </c:pt>
                <c:pt idx="222">
                  <c:v>7.9079629653943613</c:v>
                </c:pt>
                <c:pt idx="223">
                  <c:v>7.9526618831494496</c:v>
                </c:pt>
                <c:pt idx="224">
                  <c:v>7.9958641959437777</c:v>
                </c:pt>
                <c:pt idx="225">
                  <c:v>8.0360566170597583</c:v>
                </c:pt>
                <c:pt idx="226">
                  <c:v>8.0520231052516067</c:v>
                </c:pt>
                <c:pt idx="227">
                  <c:v>8.1171271149341777</c:v>
                </c:pt>
                <c:pt idx="228">
                  <c:v>8.121883114781669</c:v>
                </c:pt>
                <c:pt idx="229">
                  <c:v>8.1924239943717652</c:v>
                </c:pt>
                <c:pt idx="230">
                  <c:v>8.2319250530544501</c:v>
                </c:pt>
                <c:pt idx="231">
                  <c:v>8.2467421821799931</c:v>
                </c:pt>
                <c:pt idx="232">
                  <c:v>8.3117301570791113</c:v>
                </c:pt>
                <c:pt idx="233">
                  <c:v>8.3200050554424543</c:v>
                </c:pt>
                <c:pt idx="234">
                  <c:v>8.3851464902854396</c:v>
                </c:pt>
                <c:pt idx="235">
                  <c:v>8.4353070643253876</c:v>
                </c:pt>
                <c:pt idx="236">
                  <c:v>8.4572421613189483</c:v>
                </c:pt>
                <c:pt idx="237">
                  <c:v>8.4856235673571057</c:v>
                </c:pt>
                <c:pt idx="238">
                  <c:v>8.5386475474337686</c:v>
                </c:pt>
                <c:pt idx="239">
                  <c:v>8.5921913570147446</c:v>
                </c:pt>
                <c:pt idx="240">
                  <c:v>8.6251286489761263</c:v>
                </c:pt>
                <c:pt idx="241">
                  <c:v>8.6459360048002409</c:v>
                </c:pt>
                <c:pt idx="242">
                  <c:v>8.7010838425022285</c:v>
                </c:pt>
                <c:pt idx="243">
                  <c:v>8.7534716460372941</c:v>
                </c:pt>
                <c:pt idx="244">
                  <c:v>8.7978763476381729</c:v>
                </c:pt>
                <c:pt idx="245">
                  <c:v>8.8383670682083739</c:v>
                </c:pt>
                <c:pt idx="246">
                  <c:v>8.854820777786621</c:v>
                </c:pt>
                <c:pt idx="247">
                  <c:v>8.9163420006251748</c:v>
                </c:pt>
                <c:pt idx="248">
                  <c:v>8.9344434826389065</c:v>
                </c:pt>
                <c:pt idx="249">
                  <c:v>8.9939657731619569</c:v>
                </c:pt>
                <c:pt idx="250">
                  <c:v>9.0083947278094456</c:v>
                </c:pt>
                <c:pt idx="251">
                  <c:v>9.0182459081714619</c:v>
                </c:pt>
                <c:pt idx="252">
                  <c:v>9.0377287061600313</c:v>
                </c:pt>
                <c:pt idx="253">
                  <c:v>9.0554449956024641</c:v>
                </c:pt>
                <c:pt idx="254">
                  <c:v>9.0733439646943808</c:v>
                </c:pt>
                <c:pt idx="255">
                  <c:v>9.0914739135083451</c:v>
                </c:pt>
                <c:pt idx="256">
                  <c:v>9.0999451793404162</c:v>
                </c:pt>
                <c:pt idx="257">
                  <c:v>9.1137180711780026</c:v>
                </c:pt>
                <c:pt idx="258">
                  <c:v>9.1317664841608526</c:v>
                </c:pt>
                <c:pt idx="259">
                  <c:v>9.1519219568241201</c:v>
                </c:pt>
                <c:pt idx="260">
                  <c:v>9.1657748245684836</c:v>
                </c:pt>
                <c:pt idx="261">
                  <c:v>9.189057543876828</c:v>
                </c:pt>
                <c:pt idx="262">
                  <c:v>9.207181779358347</c:v>
                </c:pt>
                <c:pt idx="263">
                  <c:v>9.2176346702262837</c:v>
                </c:pt>
                <c:pt idx="264">
                  <c:v>9.2336019275844095</c:v>
                </c:pt>
                <c:pt idx="265">
                  <c:v>9.2529603588126967</c:v>
                </c:pt>
                <c:pt idx="266">
                  <c:v>9.2597048714691077</c:v>
                </c:pt>
                <c:pt idx="267">
                  <c:v>9.2789856330023568</c:v>
                </c:pt>
                <c:pt idx="268">
                  <c:v>9.2964327245486054</c:v>
                </c:pt>
                <c:pt idx="269">
                  <c:v>9.3196285307369262</c:v>
                </c:pt>
                <c:pt idx="270">
                  <c:v>9.3263253674484616</c:v>
                </c:pt>
                <c:pt idx="271">
                  <c:v>9.3439434717316061</c:v>
                </c:pt>
                <c:pt idx="272">
                  <c:v>9.3567374402146655</c:v>
                </c:pt>
                <c:pt idx="273">
                  <c:v>9.3832011717928587</c:v>
                </c:pt>
                <c:pt idx="274">
                  <c:v>9.3869604083641818</c:v>
                </c:pt>
                <c:pt idx="275">
                  <c:v>9.4035240134754048</c:v>
                </c:pt>
                <c:pt idx="276">
                  <c:v>9.4187431683434966</c:v>
                </c:pt>
                <c:pt idx="277">
                  <c:v>9.4454472408922037</c:v>
                </c:pt>
                <c:pt idx="278">
                  <c:v>9.4588516696530505</c:v>
                </c:pt>
                <c:pt idx="279">
                  <c:v>9.470818588969955</c:v>
                </c:pt>
                <c:pt idx="280">
                  <c:v>9.4906124607312066</c:v>
                </c:pt>
                <c:pt idx="281">
                  <c:v>9.5030788103023269</c:v>
                </c:pt>
                <c:pt idx="282">
                  <c:v>9.5164748308184741</c:v>
                </c:pt>
                <c:pt idx="283">
                  <c:v>9.5387233038830388</c:v>
                </c:pt>
                <c:pt idx="284">
                  <c:v>9.5476086831287503</c:v>
                </c:pt>
                <c:pt idx="285">
                  <c:v>9.5600670627653752</c:v>
                </c:pt>
                <c:pt idx="286">
                  <c:v>9.5868625146362145</c:v>
                </c:pt>
                <c:pt idx="287">
                  <c:v>9.5935231272581785</c:v>
                </c:pt>
                <c:pt idx="288">
                  <c:v>9.6129457244437528</c:v>
                </c:pt>
                <c:pt idx="289">
                  <c:v>9.6340736756571737</c:v>
                </c:pt>
                <c:pt idx="290">
                  <c:v>9.6423300433723078</c:v>
                </c:pt>
                <c:pt idx="291">
                  <c:v>9.6716745591423638</c:v>
                </c:pt>
                <c:pt idx="292">
                  <c:v>9.6756914937840044</c:v>
                </c:pt>
                <c:pt idx="293">
                  <c:v>9.697292153841186</c:v>
                </c:pt>
                <c:pt idx="294">
                  <c:v>9.7114368869567844</c:v>
                </c:pt>
                <c:pt idx="295">
                  <c:v>9.7233545969732464</c:v>
                </c:pt>
                <c:pt idx="296">
                  <c:v>9.7476950247389489</c:v>
                </c:pt>
                <c:pt idx="297">
                  <c:v>9.7664546336081006</c:v>
                </c:pt>
                <c:pt idx="298">
                  <c:v>9.7817588626476368</c:v>
                </c:pt>
                <c:pt idx="299">
                  <c:v>9.7943608289273349</c:v>
                </c:pt>
                <c:pt idx="300">
                  <c:v>9.8088907887025023</c:v>
                </c:pt>
                <c:pt idx="301">
                  <c:v>9.8284888148113367</c:v>
                </c:pt>
                <c:pt idx="302">
                  <c:v>9.833378900155747</c:v>
                </c:pt>
                <c:pt idx="303">
                  <c:v>9.8626652428132164</c:v>
                </c:pt>
                <c:pt idx="304">
                  <c:v>9.867623719436029</c:v>
                </c:pt>
                <c:pt idx="305">
                  <c:v>9.8814044852483569</c:v>
                </c:pt>
                <c:pt idx="306">
                  <c:v>9.8965157734939169</c:v>
                </c:pt>
                <c:pt idx="307">
                  <c:v>9.9204473959823254</c:v>
                </c:pt>
                <c:pt idx="308">
                  <c:v>9.9356149307320862</c:v>
                </c:pt>
                <c:pt idx="309">
                  <c:v>9.9586016040925394</c:v>
                </c:pt>
                <c:pt idx="310">
                  <c:v>9.9667745057509229</c:v>
                </c:pt>
                <c:pt idx="311">
                  <c:v>9.9874575696427961</c:v>
                </c:pt>
                <c:pt idx="312">
                  <c:v>10.002961574504841</c:v>
                </c:pt>
                <c:pt idx="313">
                  <c:v>10.013842442718763</c:v>
                </c:pt>
                <c:pt idx="314">
                  <c:v>10.02656849452913</c:v>
                </c:pt>
                <c:pt idx="315">
                  <c:v>10.055934181537463</c:v>
                </c:pt>
                <c:pt idx="316">
                  <c:v>10.063453606219834</c:v>
                </c:pt>
                <c:pt idx="317">
                  <c:v>10.077696881131665</c:v>
                </c:pt>
                <c:pt idx="318">
                  <c:v>10.099485522079162</c:v>
                </c:pt>
                <c:pt idx="319">
                  <c:v>10.113263958508444</c:v>
                </c:pt>
                <c:pt idx="320">
                  <c:v>10.120534227233506</c:v>
                </c:pt>
                <c:pt idx="321">
                  <c:v>10.139987403505479</c:v>
                </c:pt>
                <c:pt idx="322">
                  <c:v>10.153752702217957</c:v>
                </c:pt>
                <c:pt idx="323">
                  <c:v>10.182426539886375</c:v>
                </c:pt>
                <c:pt idx="324">
                  <c:v>10.191817897351417</c:v>
                </c:pt>
                <c:pt idx="325">
                  <c:v>10.206894421292212</c:v>
                </c:pt>
                <c:pt idx="326">
                  <c:v>10.221672536914626</c:v>
                </c:pt>
                <c:pt idx="327">
                  <c:v>10.242176194360987</c:v>
                </c:pt>
                <c:pt idx="328">
                  <c:v>10.257405150333746</c:v>
                </c:pt>
                <c:pt idx="329">
                  <c:v>10.269880984043208</c:v>
                </c:pt>
                <c:pt idx="330">
                  <c:v>10.280359063372099</c:v>
                </c:pt>
                <c:pt idx="331">
                  <c:v>10.298596645337202</c:v>
                </c:pt>
                <c:pt idx="332">
                  <c:v>10.316696016148825</c:v>
                </c:pt>
                <c:pt idx="333">
                  <c:v>10.339721156484384</c:v>
                </c:pt>
                <c:pt idx="334">
                  <c:v>10.346181984689595</c:v>
                </c:pt>
                <c:pt idx="335">
                  <c:v>10.362123898469406</c:v>
                </c:pt>
                <c:pt idx="336">
                  <c:v>10.390062404237236</c:v>
                </c:pt>
                <c:pt idx="337">
                  <c:v>10.40213081102309</c:v>
                </c:pt>
                <c:pt idx="338">
                  <c:v>10.420079302827846</c:v>
                </c:pt>
                <c:pt idx="339">
                  <c:v>10.437668273098224</c:v>
                </c:pt>
                <c:pt idx="340">
                  <c:v>10.453961270294609</c:v>
                </c:pt>
                <c:pt idx="341">
                  <c:v>10.459430541616733</c:v>
                </c:pt>
                <c:pt idx="342">
                  <c:v>10.482354896797416</c:v>
                </c:pt>
                <c:pt idx="343">
                  <c:v>10.501247095457568</c:v>
                </c:pt>
                <c:pt idx="344">
                  <c:v>10.509909254310166</c:v>
                </c:pt>
                <c:pt idx="345">
                  <c:v>10.5291664550214</c:v>
                </c:pt>
                <c:pt idx="346">
                  <c:v>10.547816814984152</c:v>
                </c:pt>
                <c:pt idx="347">
                  <c:v>10.563280111144129</c:v>
                </c:pt>
                <c:pt idx="348">
                  <c:v>10.56852706479666</c:v>
                </c:pt>
                <c:pt idx="349">
                  <c:v>10.597480805079798</c:v>
                </c:pt>
                <c:pt idx="350">
                  <c:v>10.60815112865906</c:v>
                </c:pt>
                <c:pt idx="351">
                  <c:v>10.619682228670381</c:v>
                </c:pt>
                <c:pt idx="352">
                  <c:v>10.636799772420154</c:v>
                </c:pt>
                <c:pt idx="353">
                  <c:v>10.656072579083983</c:v>
                </c:pt>
                <c:pt idx="354">
                  <c:v>10.675847679502295</c:v>
                </c:pt>
                <c:pt idx="355">
                  <c:v>10.691103327843152</c:v>
                </c:pt>
                <c:pt idx="356">
                  <c:v>10.706359210441438</c:v>
                </c:pt>
                <c:pt idx="357">
                  <c:v>10.71527123706864</c:v>
                </c:pt>
                <c:pt idx="358">
                  <c:v>10.730338046134063</c:v>
                </c:pt>
                <c:pt idx="359">
                  <c:v>10.745128393832857</c:v>
                </c:pt>
                <c:pt idx="360">
                  <c:v>10.774092523496154</c:v>
                </c:pt>
                <c:pt idx="361">
                  <c:v>10.789111836086287</c:v>
                </c:pt>
                <c:pt idx="362">
                  <c:v>10.796926461790903</c:v>
                </c:pt>
                <c:pt idx="363">
                  <c:v>10.814933733770376</c:v>
                </c:pt>
                <c:pt idx="364">
                  <c:v>10.838687202181362</c:v>
                </c:pt>
                <c:pt idx="365">
                  <c:v>10.841784578029483</c:v>
                </c:pt>
                <c:pt idx="366">
                  <c:v>10.870880807902402</c:v>
                </c:pt>
                <c:pt idx="367">
                  <c:v>10.886959985930231</c:v>
                </c:pt>
                <c:pt idx="368">
                  <c:v>10.898755174497783</c:v>
                </c:pt>
                <c:pt idx="369">
                  <c:v>10.914889296001498</c:v>
                </c:pt>
                <c:pt idx="370">
                  <c:v>10.922881853867993</c:v>
                </c:pt>
                <c:pt idx="371">
                  <c:v>10.940380456012761</c:v>
                </c:pt>
                <c:pt idx="372">
                  <c:v>10.959897342594317</c:v>
                </c:pt>
                <c:pt idx="373">
                  <c:v>10.973217220732295</c:v>
                </c:pt>
                <c:pt idx="374">
                  <c:v>10.986426439676999</c:v>
                </c:pt>
                <c:pt idx="375">
                  <c:v>11.045855815138168</c:v>
                </c:pt>
                <c:pt idx="376">
                  <c:v>11.124249739213905</c:v>
                </c:pt>
                <c:pt idx="377">
                  <c:v>11.16882772443649</c:v>
                </c:pt>
                <c:pt idx="378">
                  <c:v>11.233615144784007</c:v>
                </c:pt>
                <c:pt idx="379">
                  <c:v>11.279118531172891</c:v>
                </c:pt>
                <c:pt idx="380">
                  <c:v>11.358522008174685</c:v>
                </c:pt>
                <c:pt idx="381">
                  <c:v>11.388331860632711</c:v>
                </c:pt>
                <c:pt idx="382">
                  <c:v>11.503615536970926</c:v>
                </c:pt>
                <c:pt idx="383">
                  <c:v>11.566486233992148</c:v>
                </c:pt>
                <c:pt idx="384">
                  <c:v>11.593347792987093</c:v>
                </c:pt>
                <c:pt idx="385">
                  <c:v>11.674493081696912</c:v>
                </c:pt>
                <c:pt idx="386">
                  <c:v>11.732264212048673</c:v>
                </c:pt>
                <c:pt idx="387">
                  <c:v>11.824681206343854</c:v>
                </c:pt>
                <c:pt idx="388">
                  <c:v>11.849741993461208</c:v>
                </c:pt>
                <c:pt idx="389">
                  <c:v>11.937146556386988</c:v>
                </c:pt>
                <c:pt idx="390">
                  <c:v>12.003230854387215</c:v>
                </c:pt>
                <c:pt idx="391">
                  <c:v>12.055657286845069</c:v>
                </c:pt>
                <c:pt idx="392">
                  <c:v>12.135822229098487</c:v>
                </c:pt>
                <c:pt idx="393">
                  <c:v>12.160779311614291</c:v>
                </c:pt>
                <c:pt idx="394">
                  <c:v>12.247275811694394</c:v>
                </c:pt>
                <c:pt idx="395">
                  <c:v>12.329754485708136</c:v>
                </c:pt>
                <c:pt idx="396">
                  <c:v>12.383576597312366</c:v>
                </c:pt>
                <c:pt idx="397">
                  <c:v>12.417959315242701</c:v>
                </c:pt>
                <c:pt idx="398">
                  <c:v>12.483166363972046</c:v>
                </c:pt>
                <c:pt idx="399">
                  <c:v>12.587934438896351</c:v>
                </c:pt>
                <c:pt idx="400">
                  <c:v>12.662110235020076</c:v>
                </c:pt>
                <c:pt idx="401">
                  <c:v>12.715535705861527</c:v>
                </c:pt>
                <c:pt idx="402">
                  <c:v>12.778529889893377</c:v>
                </c:pt>
                <c:pt idx="403">
                  <c:v>12.849754659546946</c:v>
                </c:pt>
                <c:pt idx="404">
                  <c:v>12.857869631395179</c:v>
                </c:pt>
                <c:pt idx="405">
                  <c:v>12.962346109772646</c:v>
                </c:pt>
                <c:pt idx="406">
                  <c:v>13.014213140584115</c:v>
                </c:pt>
                <c:pt idx="407">
                  <c:v>13.111422477230295</c:v>
                </c:pt>
                <c:pt idx="408">
                  <c:v>13.117932190851761</c:v>
                </c:pt>
                <c:pt idx="409">
                  <c:v>13.228963118654903</c:v>
                </c:pt>
                <c:pt idx="410">
                  <c:v>13.281582693333174</c:v>
                </c:pt>
                <c:pt idx="411">
                  <c:v>13.304482383519524</c:v>
                </c:pt>
                <c:pt idx="412">
                  <c:v>13.41993905774968</c:v>
                </c:pt>
                <c:pt idx="413">
                  <c:v>13.470298565888381</c:v>
                </c:pt>
                <c:pt idx="414">
                  <c:v>13.50731004368032</c:v>
                </c:pt>
                <c:pt idx="415">
                  <c:v>13.613519097161831</c:v>
                </c:pt>
                <c:pt idx="416">
                  <c:v>13.628724208415655</c:v>
                </c:pt>
                <c:pt idx="417">
                  <c:v>13.750852213054628</c:v>
                </c:pt>
                <c:pt idx="418">
                  <c:v>13.773683753659409</c:v>
                </c:pt>
                <c:pt idx="419">
                  <c:v>13.854918289834384</c:v>
                </c:pt>
                <c:pt idx="420">
                  <c:v>13.920328275883648</c:v>
                </c:pt>
                <c:pt idx="421">
                  <c:v>13.992859235149076</c:v>
                </c:pt>
                <c:pt idx="422">
                  <c:v>14.044803059169276</c:v>
                </c:pt>
                <c:pt idx="423">
                  <c:v>14.088447033066409</c:v>
                </c:pt>
                <c:pt idx="424">
                  <c:v>14.153579251755396</c:v>
                </c:pt>
                <c:pt idx="425">
                  <c:v>14.255784394783849</c:v>
                </c:pt>
                <c:pt idx="426">
                  <c:v>14.301250511148304</c:v>
                </c:pt>
                <c:pt idx="427">
                  <c:v>14.368589217895781</c:v>
                </c:pt>
                <c:pt idx="428">
                  <c:v>14.434610144386674</c:v>
                </c:pt>
                <c:pt idx="429">
                  <c:v>14.50479083914701</c:v>
                </c:pt>
                <c:pt idx="430">
                  <c:v>14.539910909448729</c:v>
                </c:pt>
                <c:pt idx="431">
                  <c:v>14.634958452579323</c:v>
                </c:pt>
                <c:pt idx="432">
                  <c:v>14.692550988639834</c:v>
                </c:pt>
                <c:pt idx="433">
                  <c:v>14.760224407251975</c:v>
                </c:pt>
                <c:pt idx="434">
                  <c:v>14.780481514872164</c:v>
                </c:pt>
                <c:pt idx="435">
                  <c:v>14.85724666035577</c:v>
                </c:pt>
                <c:pt idx="436">
                  <c:v>14.960817460654493</c:v>
                </c:pt>
                <c:pt idx="437">
                  <c:v>15.003925192483681</c:v>
                </c:pt>
                <c:pt idx="438">
                  <c:v>15.081788387712507</c:v>
                </c:pt>
                <c:pt idx="439">
                  <c:v>15.10799928891938</c:v>
                </c:pt>
                <c:pt idx="440">
                  <c:v>15.220744680478411</c:v>
                </c:pt>
                <c:pt idx="441">
                  <c:v>15.278588702065544</c:v>
                </c:pt>
                <c:pt idx="442">
                  <c:v>15.305928916845918</c:v>
                </c:pt>
                <c:pt idx="443">
                  <c:v>15.380721514902245</c:v>
                </c:pt>
                <c:pt idx="444">
                  <c:v>15.427779279011251</c:v>
                </c:pt>
                <c:pt idx="445">
                  <c:v>15.517031063073556</c:v>
                </c:pt>
                <c:pt idx="446">
                  <c:v>15.568084471872094</c:v>
                </c:pt>
                <c:pt idx="447">
                  <c:v>15.648519902641073</c:v>
                </c:pt>
                <c:pt idx="448">
                  <c:v>15.683998509663159</c:v>
                </c:pt>
                <c:pt idx="449">
                  <c:v>15.75851928753185</c:v>
                </c:pt>
                <c:pt idx="450">
                  <c:v>15.803616325260048</c:v>
                </c:pt>
                <c:pt idx="451">
                  <c:v>15.911265528928318</c:v>
                </c:pt>
                <c:pt idx="452">
                  <c:v>15.957705472342134</c:v>
                </c:pt>
                <c:pt idx="453">
                  <c:v>16.016620186006797</c:v>
                </c:pt>
                <c:pt idx="454">
                  <c:v>16.11112765888663</c:v>
                </c:pt>
                <c:pt idx="455">
                  <c:v>16.176363015381703</c:v>
                </c:pt>
                <c:pt idx="456">
                  <c:v>16.221741474711742</c:v>
                </c:pt>
                <c:pt idx="457">
                  <c:v>16.300813490671295</c:v>
                </c:pt>
                <c:pt idx="458">
                  <c:v>16.328150473762339</c:v>
                </c:pt>
                <c:pt idx="459">
                  <c:v>16.394398036871664</c:v>
                </c:pt>
                <c:pt idx="460">
                  <c:v>16.480161650458388</c:v>
                </c:pt>
                <c:pt idx="461">
                  <c:v>16.525474227433435</c:v>
                </c:pt>
                <c:pt idx="462">
                  <c:v>16.574807259143984</c:v>
                </c:pt>
                <c:pt idx="463">
                  <c:v>16.635551626623503</c:v>
                </c:pt>
                <c:pt idx="464">
                  <c:v>16.717115418543365</c:v>
                </c:pt>
                <c:pt idx="465">
                  <c:v>16.797927303114424</c:v>
                </c:pt>
                <c:pt idx="466">
                  <c:v>16.873893116262249</c:v>
                </c:pt>
                <c:pt idx="467">
                  <c:v>16.920447533913062</c:v>
                </c:pt>
                <c:pt idx="468">
                  <c:v>16.964268299612279</c:v>
                </c:pt>
                <c:pt idx="469">
                  <c:v>17.040315711667834</c:v>
                </c:pt>
                <c:pt idx="470">
                  <c:v>17.101292999928187</c:v>
                </c:pt>
                <c:pt idx="471">
                  <c:v>17.147880716965506</c:v>
                </c:pt>
                <c:pt idx="472">
                  <c:v>17.267046116067807</c:v>
                </c:pt>
                <c:pt idx="473">
                  <c:v>17.301168027303454</c:v>
                </c:pt>
                <c:pt idx="474">
                  <c:v>17.366771571539054</c:v>
                </c:pt>
                <c:pt idx="475">
                  <c:v>17.458390335856564</c:v>
                </c:pt>
                <c:pt idx="476">
                  <c:v>17.513165857073194</c:v>
                </c:pt>
                <c:pt idx="477">
                  <c:v>17.578127410006275</c:v>
                </c:pt>
                <c:pt idx="478">
                  <c:v>17.650332187889685</c:v>
                </c:pt>
                <c:pt idx="479">
                  <c:v>17.658977262348632</c:v>
                </c:pt>
                <c:pt idx="480">
                  <c:v>17.749584986872406</c:v>
                </c:pt>
                <c:pt idx="481">
                  <c:v>17.81511573418209</c:v>
                </c:pt>
                <c:pt idx="482">
                  <c:v>17.88715531610864</c:v>
                </c:pt>
                <c:pt idx="483">
                  <c:v>17.921312220769309</c:v>
                </c:pt>
                <c:pt idx="484">
                  <c:v>17.977407813042731</c:v>
                </c:pt>
                <c:pt idx="485">
                  <c:v>18.064315800195633</c:v>
                </c:pt>
                <c:pt idx="486">
                  <c:v>18.143075759181539</c:v>
                </c:pt>
                <c:pt idx="487">
                  <c:v>18.185695629153798</c:v>
                </c:pt>
                <c:pt idx="488">
                  <c:v>18.283615179282521</c:v>
                </c:pt>
                <c:pt idx="489">
                  <c:v>18.348921061721846</c:v>
                </c:pt>
                <c:pt idx="490">
                  <c:v>18.407423220526294</c:v>
                </c:pt>
                <c:pt idx="491">
                  <c:v>18.425880094886264</c:v>
                </c:pt>
                <c:pt idx="492">
                  <c:v>18.534019993122204</c:v>
                </c:pt>
                <c:pt idx="493">
                  <c:v>18.57741583891805</c:v>
                </c:pt>
                <c:pt idx="494">
                  <c:v>18.6292358984829</c:v>
                </c:pt>
                <c:pt idx="495">
                  <c:v>18.723543341199761</c:v>
                </c:pt>
                <c:pt idx="496">
                  <c:v>18.794564030897469</c:v>
                </c:pt>
                <c:pt idx="497">
                  <c:v>18.817695188032857</c:v>
                </c:pt>
                <c:pt idx="498">
                  <c:v>18.935064441397568</c:v>
                </c:pt>
                <c:pt idx="499">
                  <c:v>18.964722543186674</c:v>
                </c:pt>
              </c:numCache>
            </c:numRef>
          </c:xVal>
          <c:yVal>
            <c:numRef>
              <c:f>SimData1!$N$9:$N$508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</c:ser>
        <c:ser>
          <c:idx val="3"/>
          <c:order val="3"/>
          <c:tx>
            <c:strRef>
              <c:f>SimData1!$O$8</c:f>
              <c:strCache>
                <c:ptCount val="1"/>
                <c:pt idx="0">
                  <c:v>GRK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SimData1!$O$9:$O$508</c:f>
              <c:numCache>
                <c:formatCode>General</c:formatCode>
                <c:ptCount val="500"/>
                <c:pt idx="0">
                  <c:v>-1.4960406693175643</c:v>
                </c:pt>
                <c:pt idx="1">
                  <c:v>-1.4880122975532557</c:v>
                </c:pt>
                <c:pt idx="2">
                  <c:v>-1.4851259350399904</c:v>
                </c:pt>
                <c:pt idx="3">
                  <c:v>-1.4763245873125399</c:v>
                </c:pt>
                <c:pt idx="4">
                  <c:v>-1.470818324196006</c:v>
                </c:pt>
                <c:pt idx="5">
                  <c:v>-1.4594838578827058</c:v>
                </c:pt>
                <c:pt idx="6">
                  <c:v>-1.4540903480586256</c:v>
                </c:pt>
                <c:pt idx="7">
                  <c:v>-1.4464945203311976</c:v>
                </c:pt>
                <c:pt idx="8">
                  <c:v>-1.4422057625217704</c:v>
                </c:pt>
                <c:pt idx="9">
                  <c:v>-1.4344969079179666</c:v>
                </c:pt>
                <c:pt idx="10">
                  <c:v>-1.425572852100268</c:v>
                </c:pt>
                <c:pt idx="11">
                  <c:v>-1.4164821741671736</c:v>
                </c:pt>
                <c:pt idx="12">
                  <c:v>-1.4111813968360847</c:v>
                </c:pt>
                <c:pt idx="13">
                  <c:v>-1.4046231860275353</c:v>
                </c:pt>
                <c:pt idx="14">
                  <c:v>-1.3964590451850623</c:v>
                </c:pt>
                <c:pt idx="15">
                  <c:v>-1.3918592663224241</c:v>
                </c:pt>
                <c:pt idx="16">
                  <c:v>-1.3845851893070813</c:v>
                </c:pt>
                <c:pt idx="17">
                  <c:v>-1.3744434556305551</c:v>
                </c:pt>
                <c:pt idx="18">
                  <c:v>-1.3673808443416462</c:v>
                </c:pt>
                <c:pt idx="19">
                  <c:v>-1.3622056227290054</c:v>
                </c:pt>
                <c:pt idx="20">
                  <c:v>-1.3574155900860663</c:v>
                </c:pt>
                <c:pt idx="21">
                  <c:v>-1.3514480272205851</c:v>
                </c:pt>
                <c:pt idx="22">
                  <c:v>-1.3456399279813063</c:v>
                </c:pt>
                <c:pt idx="23">
                  <c:v>-1.3358752639362963</c:v>
                </c:pt>
                <c:pt idx="24">
                  <c:v>-1.3279076977608986</c:v>
                </c:pt>
                <c:pt idx="25">
                  <c:v>-1.320575423974645</c:v>
                </c:pt>
                <c:pt idx="26">
                  <c:v>-1.3135600715368159</c:v>
                </c:pt>
                <c:pt idx="27">
                  <c:v>-1.3070579419640951</c:v>
                </c:pt>
                <c:pt idx="28">
                  <c:v>-1.3005329312804956</c:v>
                </c:pt>
                <c:pt idx="29">
                  <c:v>-1.2917198317804517</c:v>
                </c:pt>
                <c:pt idx="30">
                  <c:v>-1.2844717219851651</c:v>
                </c:pt>
                <c:pt idx="31">
                  <c:v>-1.2799549691052954</c:v>
                </c:pt>
                <c:pt idx="32">
                  <c:v>-1.2733405425099511</c:v>
                </c:pt>
                <c:pt idx="33">
                  <c:v>-1.2620628199814121</c:v>
                </c:pt>
                <c:pt idx="34">
                  <c:v>-1.2573748585039624</c:v>
                </c:pt>
                <c:pt idx="35">
                  <c:v>-1.2513555854168401</c:v>
                </c:pt>
                <c:pt idx="36">
                  <c:v>-1.2428325682834633</c:v>
                </c:pt>
                <c:pt idx="37">
                  <c:v>-1.234254486475199</c:v>
                </c:pt>
                <c:pt idx="38">
                  <c:v>-1.2304123177578981</c:v>
                </c:pt>
                <c:pt idx="39">
                  <c:v>-1.2266357311203566</c:v>
                </c:pt>
                <c:pt idx="40">
                  <c:v>-1.215305522819685</c:v>
                </c:pt>
                <c:pt idx="41">
                  <c:v>-1.2126598572155949</c:v>
                </c:pt>
                <c:pt idx="42">
                  <c:v>-1.1996144818693337</c:v>
                </c:pt>
                <c:pt idx="43">
                  <c:v>-1.1985905389719096</c:v>
                </c:pt>
                <c:pt idx="44">
                  <c:v>-1.1859054301515841</c:v>
                </c:pt>
                <c:pt idx="45">
                  <c:v>-1.1791267671910222</c:v>
                </c:pt>
                <c:pt idx="46">
                  <c:v>-1.175826496218616</c:v>
                </c:pt>
                <c:pt idx="47">
                  <c:v>-1.168142901532859</c:v>
                </c:pt>
                <c:pt idx="48">
                  <c:v>-1.1600295748628304</c:v>
                </c:pt>
                <c:pt idx="49">
                  <c:v>-1.150211452763547</c:v>
                </c:pt>
                <c:pt idx="50">
                  <c:v>-1.1461659036242113</c:v>
                </c:pt>
                <c:pt idx="51">
                  <c:v>-1.1422030685113689</c:v>
                </c:pt>
                <c:pt idx="52">
                  <c:v>-1.1312797078244614</c:v>
                </c:pt>
                <c:pt idx="53">
                  <c:v>-1.1251985781951412</c:v>
                </c:pt>
                <c:pt idx="54">
                  <c:v>-1.1179874095961282</c:v>
                </c:pt>
                <c:pt idx="55">
                  <c:v>-1.1145453231668105</c:v>
                </c:pt>
                <c:pt idx="56">
                  <c:v>-1.1058779942825456</c:v>
                </c:pt>
                <c:pt idx="57">
                  <c:v>-1.0969880799380585</c:v>
                </c:pt>
                <c:pt idx="58">
                  <c:v>-1.0916976349186975</c:v>
                </c:pt>
                <c:pt idx="59">
                  <c:v>-1.0805109666973811</c:v>
                </c:pt>
                <c:pt idx="60">
                  <c:v>-1.0748363978882562</c:v>
                </c:pt>
                <c:pt idx="61">
                  <c:v>-1.0727708923154859</c:v>
                </c:pt>
                <c:pt idx="62">
                  <c:v>-1.0650120334054736</c:v>
                </c:pt>
                <c:pt idx="63">
                  <c:v>-1.0575062450802186</c:v>
                </c:pt>
                <c:pt idx="64">
                  <c:v>-1.0466863291061614</c:v>
                </c:pt>
                <c:pt idx="65">
                  <c:v>-1.041298200458558</c:v>
                </c:pt>
                <c:pt idx="66">
                  <c:v>-1.0350536224760731</c:v>
                </c:pt>
                <c:pt idx="67">
                  <c:v>-1.0303461953123516</c:v>
                </c:pt>
                <c:pt idx="68">
                  <c:v>-1.0183548937739444</c:v>
                </c:pt>
                <c:pt idx="69">
                  <c:v>-1.0122790884259063</c:v>
                </c:pt>
                <c:pt idx="70">
                  <c:v>-1.0092792197469351</c:v>
                </c:pt>
                <c:pt idx="71">
                  <c:v>-1.0023422335283407</c:v>
                </c:pt>
                <c:pt idx="72">
                  <c:v>-0.9906099685660974</c:v>
                </c:pt>
                <c:pt idx="73">
                  <c:v>-0.98798488918812599</c:v>
                </c:pt>
                <c:pt idx="74">
                  <c:v>-0.97546060127092549</c:v>
                </c:pt>
                <c:pt idx="75">
                  <c:v>-0.97403707034143505</c:v>
                </c:pt>
                <c:pt idx="76">
                  <c:v>-0.96678168723652325</c:v>
                </c:pt>
                <c:pt idx="77">
                  <c:v>-0.95401004445491622</c:v>
                </c:pt>
                <c:pt idx="78">
                  <c:v>-0.95259031673668704</c:v>
                </c:pt>
                <c:pt idx="79">
                  <c:v>-0.94385983276366703</c:v>
                </c:pt>
                <c:pt idx="80">
                  <c:v>-0.93986299018585129</c:v>
                </c:pt>
                <c:pt idx="81">
                  <c:v>-0.92837434777857353</c:v>
                </c:pt>
                <c:pt idx="82">
                  <c:v>-0.92137356535435255</c:v>
                </c:pt>
                <c:pt idx="83">
                  <c:v>-0.91593746502369933</c:v>
                </c:pt>
                <c:pt idx="84">
                  <c:v>-0.90992720243940528</c:v>
                </c:pt>
                <c:pt idx="85">
                  <c:v>-0.89943597232173689</c:v>
                </c:pt>
                <c:pt idx="86">
                  <c:v>-0.89425588794075728</c:v>
                </c:pt>
                <c:pt idx="87">
                  <c:v>-0.88621219941769047</c:v>
                </c:pt>
                <c:pt idx="88">
                  <c:v>-0.88065478384604379</c:v>
                </c:pt>
                <c:pt idx="89">
                  <c:v>-0.87296440234703132</c:v>
                </c:pt>
                <c:pt idx="90">
                  <c:v>-0.86976597414116974</c:v>
                </c:pt>
                <c:pt idx="91">
                  <c:v>-0.86070959801265878</c:v>
                </c:pt>
                <c:pt idx="92">
                  <c:v>-0.85257193485955318</c:v>
                </c:pt>
                <c:pt idx="93">
                  <c:v>-0.84570537964541281</c:v>
                </c:pt>
                <c:pt idx="94">
                  <c:v>-0.83901472753351158</c:v>
                </c:pt>
                <c:pt idx="95">
                  <c:v>-0.83134516670291514</c:v>
                </c:pt>
                <c:pt idx="96">
                  <c:v>-0.82132001978923974</c:v>
                </c:pt>
                <c:pt idx="97">
                  <c:v>-0.81845864217423259</c:v>
                </c:pt>
                <c:pt idx="98">
                  <c:v>-0.80859523346077122</c:v>
                </c:pt>
                <c:pt idx="99">
                  <c:v>-0.80594603036222756</c:v>
                </c:pt>
                <c:pt idx="100">
                  <c:v>-0.79611313464801881</c:v>
                </c:pt>
                <c:pt idx="101">
                  <c:v>-0.79092983969381747</c:v>
                </c:pt>
                <c:pt idx="102">
                  <c:v>-0.78246536885485107</c:v>
                </c:pt>
                <c:pt idx="103">
                  <c:v>-0.77552349209750893</c:v>
                </c:pt>
                <c:pt idx="104">
                  <c:v>-0.76969827391741574</c:v>
                </c:pt>
                <c:pt idx="105">
                  <c:v>-0.75852478119641242</c:v>
                </c:pt>
                <c:pt idx="106">
                  <c:v>-0.75247888872710911</c:v>
                </c:pt>
                <c:pt idx="107">
                  <c:v>-0.74925834126389934</c:v>
                </c:pt>
                <c:pt idx="108">
                  <c:v>-0.74042059316315179</c:v>
                </c:pt>
                <c:pt idx="109">
                  <c:v>-0.73482053644822543</c:v>
                </c:pt>
                <c:pt idx="110">
                  <c:v>-0.7298499864276361</c:v>
                </c:pt>
                <c:pt idx="111">
                  <c:v>-0.72191668349215088</c:v>
                </c:pt>
                <c:pt idx="112">
                  <c:v>-0.71523433093843369</c:v>
                </c:pt>
                <c:pt idx="113">
                  <c:v>-0.7029388252529658</c:v>
                </c:pt>
                <c:pt idx="114">
                  <c:v>-0.69934415730758515</c:v>
                </c:pt>
                <c:pt idx="115">
                  <c:v>-0.69042407321092902</c:v>
                </c:pt>
                <c:pt idx="116">
                  <c:v>-0.68509068566950959</c:v>
                </c:pt>
                <c:pt idx="117">
                  <c:v>-0.6803955388174463</c:v>
                </c:pt>
                <c:pt idx="118">
                  <c:v>-0.66905355197773753</c:v>
                </c:pt>
                <c:pt idx="119">
                  <c:v>-0.66008798697997606</c:v>
                </c:pt>
                <c:pt idx="120">
                  <c:v>-0.6543441917769659</c:v>
                </c:pt>
                <c:pt idx="121">
                  <c:v>-0.6473652695787846</c:v>
                </c:pt>
                <c:pt idx="122">
                  <c:v>-0.64060830812314695</c:v>
                </c:pt>
                <c:pt idx="123">
                  <c:v>-0.63374020130278097</c:v>
                </c:pt>
                <c:pt idx="124">
                  <c:v>-0.62742798375292785</c:v>
                </c:pt>
                <c:pt idx="125">
                  <c:v>-0.62263471097356171</c:v>
                </c:pt>
                <c:pt idx="126">
                  <c:v>-0.61322541489053228</c:v>
                </c:pt>
                <c:pt idx="127">
                  <c:v>-0.60620755879033528</c:v>
                </c:pt>
                <c:pt idx="128">
                  <c:v>-0.60223842875366351</c:v>
                </c:pt>
                <c:pt idx="129">
                  <c:v>-0.59023828833678471</c:v>
                </c:pt>
                <c:pt idx="130">
                  <c:v>-0.58874951954761778</c:v>
                </c:pt>
                <c:pt idx="131">
                  <c:v>-0.57630791799406922</c:v>
                </c:pt>
                <c:pt idx="132">
                  <c:v>-0.57381479506919242</c:v>
                </c:pt>
                <c:pt idx="133">
                  <c:v>-0.56717262129262658</c:v>
                </c:pt>
                <c:pt idx="134">
                  <c:v>-0.55751237375040397</c:v>
                </c:pt>
                <c:pt idx="135">
                  <c:v>-0.55384357875776113</c:v>
                </c:pt>
                <c:pt idx="136">
                  <c:v>-0.54435161209909289</c:v>
                </c:pt>
                <c:pt idx="137">
                  <c:v>-0.53718081835532505</c:v>
                </c:pt>
                <c:pt idx="138">
                  <c:v>-0.52804091814665621</c:v>
                </c:pt>
                <c:pt idx="139">
                  <c:v>-0.52344473113441481</c:v>
                </c:pt>
                <c:pt idx="140">
                  <c:v>-0.51384401919704525</c:v>
                </c:pt>
                <c:pt idx="141">
                  <c:v>-0.50786479282972408</c:v>
                </c:pt>
                <c:pt idx="142">
                  <c:v>-0.50530335800639981</c:v>
                </c:pt>
                <c:pt idx="143">
                  <c:v>-0.49400637784555945</c:v>
                </c:pt>
                <c:pt idx="144">
                  <c:v>-0.49032913359464092</c:v>
                </c:pt>
                <c:pt idx="145">
                  <c:v>-0.47820442355739212</c:v>
                </c:pt>
                <c:pt idx="146">
                  <c:v>-0.47120985445218855</c:v>
                </c:pt>
                <c:pt idx="147">
                  <c:v>-0.46957551642549267</c:v>
                </c:pt>
                <c:pt idx="148">
                  <c:v>-0.4627177362532493</c:v>
                </c:pt>
                <c:pt idx="149">
                  <c:v>-0.45325409954857521</c:v>
                </c:pt>
                <c:pt idx="150">
                  <c:v>-0.44374920783178018</c:v>
                </c:pt>
                <c:pt idx="151">
                  <c:v>-0.43689963483005578</c:v>
                </c:pt>
                <c:pt idx="152">
                  <c:v>-0.43584365121697455</c:v>
                </c:pt>
                <c:pt idx="153">
                  <c:v>-0.42672781308440388</c:v>
                </c:pt>
                <c:pt idx="154">
                  <c:v>-0.41622371151157744</c:v>
                </c:pt>
                <c:pt idx="155">
                  <c:v>-0.41348809768854689</c:v>
                </c:pt>
                <c:pt idx="156">
                  <c:v>-0.40269953759513055</c:v>
                </c:pt>
                <c:pt idx="157">
                  <c:v>-0.39889398366300344</c:v>
                </c:pt>
                <c:pt idx="158">
                  <c:v>-0.39224813526102165</c:v>
                </c:pt>
                <c:pt idx="159">
                  <c:v>-0.38500094629300219</c:v>
                </c:pt>
                <c:pt idx="160">
                  <c:v>-0.37704649946428859</c:v>
                </c:pt>
                <c:pt idx="161">
                  <c:v>-0.36714063626531313</c:v>
                </c:pt>
                <c:pt idx="162">
                  <c:v>-0.36591928280155095</c:v>
                </c:pt>
                <c:pt idx="163">
                  <c:v>-0.35293315992387742</c:v>
                </c:pt>
                <c:pt idx="164">
                  <c:v>-0.3512644341818163</c:v>
                </c:pt>
                <c:pt idx="165">
                  <c:v>-0.34126177112477252</c:v>
                </c:pt>
                <c:pt idx="166">
                  <c:v>-0.3349555455895743</c:v>
                </c:pt>
                <c:pt idx="167">
                  <c:v>-0.32902990002600596</c:v>
                </c:pt>
                <c:pt idx="168">
                  <c:v>-0.32171778523933559</c:v>
                </c:pt>
                <c:pt idx="169">
                  <c:v>-0.31495884598912882</c:v>
                </c:pt>
                <c:pt idx="170">
                  <c:v>-0.30633716624846064</c:v>
                </c:pt>
                <c:pt idx="171">
                  <c:v>-0.30118284518470406</c:v>
                </c:pt>
                <c:pt idx="172">
                  <c:v>-0.29058374451792734</c:v>
                </c:pt>
                <c:pt idx="173">
                  <c:v>-0.2875982754505686</c:v>
                </c:pt>
                <c:pt idx="174">
                  <c:v>-0.27980451651907812</c:v>
                </c:pt>
                <c:pt idx="175">
                  <c:v>-0.27278243368239274</c:v>
                </c:pt>
                <c:pt idx="176">
                  <c:v>-0.26483123529890107</c:v>
                </c:pt>
                <c:pt idx="177">
                  <c:v>-0.25622521029325451</c:v>
                </c:pt>
                <c:pt idx="178">
                  <c:v>-0.24983746698118248</c:v>
                </c:pt>
                <c:pt idx="179">
                  <c:v>-0.24172222633360119</c:v>
                </c:pt>
                <c:pt idx="180">
                  <c:v>-0.2383747629527635</c:v>
                </c:pt>
                <c:pt idx="181">
                  <c:v>-0.22648404236873243</c:v>
                </c:pt>
                <c:pt idx="182">
                  <c:v>-0.22391523628882037</c:v>
                </c:pt>
                <c:pt idx="183">
                  <c:v>-0.21805203947521856</c:v>
                </c:pt>
                <c:pt idx="184">
                  <c:v>-0.20791162282082665</c:v>
                </c:pt>
                <c:pt idx="185">
                  <c:v>-0.20012727317843737</c:v>
                </c:pt>
                <c:pt idx="186">
                  <c:v>-0.19276734236415116</c:v>
                </c:pt>
                <c:pt idx="187">
                  <c:v>-0.18994703309209049</c:v>
                </c:pt>
                <c:pt idx="188">
                  <c:v>-0.17788600110543662</c:v>
                </c:pt>
                <c:pt idx="189">
                  <c:v>-0.1743588093564481</c:v>
                </c:pt>
                <c:pt idx="190">
                  <c:v>-0.16533769289895206</c:v>
                </c:pt>
                <c:pt idx="191">
                  <c:v>-0.15892376368320349</c:v>
                </c:pt>
                <c:pt idx="192">
                  <c:v>-0.1510758070941367</c:v>
                </c:pt>
                <c:pt idx="193">
                  <c:v>-0.14734887044113032</c:v>
                </c:pt>
                <c:pt idx="194">
                  <c:v>-0.13905002121844068</c:v>
                </c:pt>
                <c:pt idx="195">
                  <c:v>-0.1297694958601765</c:v>
                </c:pt>
                <c:pt idx="196">
                  <c:v>-0.12225764595163491</c:v>
                </c:pt>
                <c:pt idx="197">
                  <c:v>-0.12034916382560334</c:v>
                </c:pt>
                <c:pt idx="198">
                  <c:v>-0.10981957834932299</c:v>
                </c:pt>
                <c:pt idx="199">
                  <c:v>-0.10510360648212869</c:v>
                </c:pt>
                <c:pt idx="200">
                  <c:v>-9.4807501613049405E-2</c:v>
                </c:pt>
                <c:pt idx="201">
                  <c:v>-8.7622137112478127E-2</c:v>
                </c:pt>
                <c:pt idx="202">
                  <c:v>-8.1719071470068405E-2</c:v>
                </c:pt>
                <c:pt idx="203">
                  <c:v>-7.2272126693178507E-2</c:v>
                </c:pt>
                <c:pt idx="204">
                  <c:v>-6.6289843279532246E-2</c:v>
                </c:pt>
                <c:pt idx="205">
                  <c:v>-5.8320427841626721E-2</c:v>
                </c:pt>
                <c:pt idx="206">
                  <c:v>-5.5603342799480426E-2</c:v>
                </c:pt>
                <c:pt idx="207">
                  <c:v>-5.0044347502418596E-2</c:v>
                </c:pt>
                <c:pt idx="208">
                  <c:v>-4.3643507480155996E-2</c:v>
                </c:pt>
                <c:pt idx="209">
                  <c:v>-3.0862772018843687E-2</c:v>
                </c:pt>
                <c:pt idx="210">
                  <c:v>-2.3388842393191611E-2</c:v>
                </c:pt>
                <c:pt idx="211">
                  <c:v>-2.2868085857220999E-2</c:v>
                </c:pt>
                <c:pt idx="212">
                  <c:v>-1.496750041460615E-2</c:v>
                </c:pt>
                <c:pt idx="213">
                  <c:v>-7.5110354802470081E-3</c:v>
                </c:pt>
                <c:pt idx="214">
                  <c:v>5.9858143045410372E-4</c:v>
                </c:pt>
                <c:pt idx="215">
                  <c:v>9.9919223954996195E-3</c:v>
                </c:pt>
                <c:pt idx="216">
                  <c:v>1.7640493689339953E-2</c:v>
                </c:pt>
                <c:pt idx="217">
                  <c:v>2.1482164719964558E-2</c:v>
                </c:pt>
                <c:pt idx="218">
                  <c:v>3.1033428308560262E-2</c:v>
                </c:pt>
                <c:pt idx="219">
                  <c:v>3.9679144872980299E-2</c:v>
                </c:pt>
                <c:pt idx="220">
                  <c:v>4.4097423033834682E-2</c:v>
                </c:pt>
                <c:pt idx="221">
                  <c:v>5.1280328884254933E-2</c:v>
                </c:pt>
                <c:pt idx="222">
                  <c:v>5.7965552367629902E-2</c:v>
                </c:pt>
                <c:pt idx="223">
                  <c:v>6.2222867824978101E-2</c:v>
                </c:pt>
                <c:pt idx="224">
                  <c:v>7.2695710655737544E-2</c:v>
                </c:pt>
                <c:pt idx="225">
                  <c:v>7.772811061614604E-2</c:v>
                </c:pt>
                <c:pt idx="226">
                  <c:v>8.4769811976588061E-2</c:v>
                </c:pt>
                <c:pt idx="227">
                  <c:v>8.9955710722441573E-2</c:v>
                </c:pt>
                <c:pt idx="228">
                  <c:v>0.10130424216704226</c:v>
                </c:pt>
                <c:pt idx="229">
                  <c:v>0.1053686781770673</c:v>
                </c:pt>
                <c:pt idx="230">
                  <c:v>0.11216934842509119</c:v>
                </c:pt>
                <c:pt idx="231">
                  <c:v>0.12369545614928024</c:v>
                </c:pt>
                <c:pt idx="232">
                  <c:v>0.1248922264135357</c:v>
                </c:pt>
                <c:pt idx="233">
                  <c:v>0.13258780637866963</c:v>
                </c:pt>
                <c:pt idx="234">
                  <c:v>0.14132510873771165</c:v>
                </c:pt>
                <c:pt idx="235">
                  <c:v>0.14820718500133889</c:v>
                </c:pt>
                <c:pt idx="236">
                  <c:v>0.15780490388867974</c:v>
                </c:pt>
                <c:pt idx="237">
                  <c:v>0.16249502342633182</c:v>
                </c:pt>
                <c:pt idx="238">
                  <c:v>0.17054973799330009</c:v>
                </c:pt>
                <c:pt idx="239">
                  <c:v>0.1771248540381265</c:v>
                </c:pt>
                <c:pt idx="240">
                  <c:v>0.18673924787384455</c:v>
                </c:pt>
                <c:pt idx="241">
                  <c:v>0.19088122464932211</c:v>
                </c:pt>
                <c:pt idx="242">
                  <c:v>0.19488278730684683</c:v>
                </c:pt>
                <c:pt idx="243">
                  <c:v>0.20731728691272644</c:v>
                </c:pt>
                <c:pt idx="244">
                  <c:v>0.21093026314953711</c:v>
                </c:pt>
                <c:pt idx="245">
                  <c:v>0.21829387355039431</c:v>
                </c:pt>
                <c:pt idx="246">
                  <c:v>0.22352506230043989</c:v>
                </c:pt>
                <c:pt idx="247">
                  <c:v>0.23405215095305376</c:v>
                </c:pt>
                <c:pt idx="248">
                  <c:v>0.24144574664041496</c:v>
                </c:pt>
                <c:pt idx="249">
                  <c:v>0.24345739668138044</c:v>
                </c:pt>
                <c:pt idx="250">
                  <c:v>21.503752467464771</c:v>
                </c:pt>
                <c:pt idx="251">
                  <c:v>21.514702344194706</c:v>
                </c:pt>
                <c:pt idx="252">
                  <c:v>21.522283449136317</c:v>
                </c:pt>
                <c:pt idx="253">
                  <c:v>21.539168584792773</c:v>
                </c:pt>
                <c:pt idx="254">
                  <c:v>21.548907284394186</c:v>
                </c:pt>
                <c:pt idx="255">
                  <c:v>21.557991411674127</c:v>
                </c:pt>
                <c:pt idx="256">
                  <c:v>21.563015940631022</c:v>
                </c:pt>
                <c:pt idx="257">
                  <c:v>21.573926914643266</c:v>
                </c:pt>
                <c:pt idx="258">
                  <c:v>21.58455736329676</c:v>
                </c:pt>
                <c:pt idx="259">
                  <c:v>21.598335407052996</c:v>
                </c:pt>
                <c:pt idx="260">
                  <c:v>21.600461128091712</c:v>
                </c:pt>
                <c:pt idx="261">
                  <c:v>21.613582405882291</c:v>
                </c:pt>
                <c:pt idx="262">
                  <c:v>21.627143339552017</c:v>
                </c:pt>
                <c:pt idx="263">
                  <c:v>21.636271244501792</c:v>
                </c:pt>
                <c:pt idx="264">
                  <c:v>21.640334175048114</c:v>
                </c:pt>
                <c:pt idx="265">
                  <c:v>21.65955331646806</c:v>
                </c:pt>
                <c:pt idx="266">
                  <c:v>21.665735694436055</c:v>
                </c:pt>
                <c:pt idx="267">
                  <c:v>21.673177226026006</c:v>
                </c:pt>
                <c:pt idx="268">
                  <c:v>21.686739057295117</c:v>
                </c:pt>
                <c:pt idx="269">
                  <c:v>21.693262327402905</c:v>
                </c:pt>
                <c:pt idx="270">
                  <c:v>21.70337681769627</c:v>
                </c:pt>
                <c:pt idx="271">
                  <c:v>21.712502771013021</c:v>
                </c:pt>
                <c:pt idx="272">
                  <c:v>21.726355284989488</c:v>
                </c:pt>
                <c:pt idx="273">
                  <c:v>21.736215642786334</c:v>
                </c:pt>
                <c:pt idx="274">
                  <c:v>21.742972034452979</c:v>
                </c:pt>
                <c:pt idx="275">
                  <c:v>21.754021187769013</c:v>
                </c:pt>
                <c:pt idx="276">
                  <c:v>21.765316230620073</c:v>
                </c:pt>
                <c:pt idx="277">
                  <c:v>21.774076406273398</c:v>
                </c:pt>
                <c:pt idx="278">
                  <c:v>21.785709214863257</c:v>
                </c:pt>
                <c:pt idx="279">
                  <c:v>21.799807959874435</c:v>
                </c:pt>
                <c:pt idx="280">
                  <c:v>21.804511793341277</c:v>
                </c:pt>
                <c:pt idx="281">
                  <c:v>21.818296633319235</c:v>
                </c:pt>
                <c:pt idx="282">
                  <c:v>21.821736567114009</c:v>
                </c:pt>
                <c:pt idx="283">
                  <c:v>21.831048033019353</c:v>
                </c:pt>
                <c:pt idx="284">
                  <c:v>21.849941883358948</c:v>
                </c:pt>
                <c:pt idx="285">
                  <c:v>21.851039485603891</c:v>
                </c:pt>
                <c:pt idx="286">
                  <c:v>21.869846127232762</c:v>
                </c:pt>
                <c:pt idx="287">
                  <c:v>21.874581826863121</c:v>
                </c:pt>
                <c:pt idx="288">
                  <c:v>21.888676832888901</c:v>
                </c:pt>
                <c:pt idx="289">
                  <c:v>21.892390183282814</c:v>
                </c:pt>
                <c:pt idx="290">
                  <c:v>21.904543738082999</c:v>
                </c:pt>
                <c:pt idx="291">
                  <c:v>21.914236196286851</c:v>
                </c:pt>
                <c:pt idx="292">
                  <c:v>21.924054906306683</c:v>
                </c:pt>
                <c:pt idx="293">
                  <c:v>21.931461833376982</c:v>
                </c:pt>
                <c:pt idx="294">
                  <c:v>21.946897865294332</c:v>
                </c:pt>
                <c:pt idx="295">
                  <c:v>21.953615695617248</c:v>
                </c:pt>
                <c:pt idx="296">
                  <c:v>21.968256809634394</c:v>
                </c:pt>
                <c:pt idx="297">
                  <c:v>21.973517425718715</c:v>
                </c:pt>
                <c:pt idx="298">
                  <c:v>21.98437891766611</c:v>
                </c:pt>
                <c:pt idx="299">
                  <c:v>21.997945049594282</c:v>
                </c:pt>
                <c:pt idx="300">
                  <c:v>22.00533516923274</c:v>
                </c:pt>
                <c:pt idx="301">
                  <c:v>22.015599918456232</c:v>
                </c:pt>
                <c:pt idx="302">
                  <c:v>22.029130441079452</c:v>
                </c:pt>
                <c:pt idx="303">
                  <c:v>22.03115568307123</c:v>
                </c:pt>
                <c:pt idx="304">
                  <c:v>22.047134932645942</c:v>
                </c:pt>
                <c:pt idx="305">
                  <c:v>22.057321611768469</c:v>
                </c:pt>
                <c:pt idx="306">
                  <c:v>22.067382298881423</c:v>
                </c:pt>
                <c:pt idx="307">
                  <c:v>22.074620104922182</c:v>
                </c:pt>
                <c:pt idx="308">
                  <c:v>22.088796147721112</c:v>
                </c:pt>
                <c:pt idx="309">
                  <c:v>22.090349955568442</c:v>
                </c:pt>
                <c:pt idx="310">
                  <c:v>22.105686645315956</c:v>
                </c:pt>
                <c:pt idx="311">
                  <c:v>22.116381076873488</c:v>
                </c:pt>
                <c:pt idx="312">
                  <c:v>22.127978411689114</c:v>
                </c:pt>
                <c:pt idx="313">
                  <c:v>22.138821677490718</c:v>
                </c:pt>
                <c:pt idx="314">
                  <c:v>22.146557503761983</c:v>
                </c:pt>
                <c:pt idx="315">
                  <c:v>22.154390043561406</c:v>
                </c:pt>
                <c:pt idx="316">
                  <c:v>22.16865341702076</c:v>
                </c:pt>
                <c:pt idx="317">
                  <c:v>22.172364699936765</c:v>
                </c:pt>
                <c:pt idx="318">
                  <c:v>22.181174039789891</c:v>
                </c:pt>
                <c:pt idx="319">
                  <c:v>22.198273866171007</c:v>
                </c:pt>
                <c:pt idx="320">
                  <c:v>22.203703368884948</c:v>
                </c:pt>
                <c:pt idx="321">
                  <c:v>22.215534868785422</c:v>
                </c:pt>
                <c:pt idx="322">
                  <c:v>22.221487056883941</c:v>
                </c:pt>
                <c:pt idx="323">
                  <c:v>22.236071905483062</c:v>
                </c:pt>
                <c:pt idx="324">
                  <c:v>22.24871009789495</c:v>
                </c:pt>
                <c:pt idx="325">
                  <c:v>22.25194152746386</c:v>
                </c:pt>
                <c:pt idx="326">
                  <c:v>22.26585427971515</c:v>
                </c:pt>
                <c:pt idx="327">
                  <c:v>22.270396596147496</c:v>
                </c:pt>
                <c:pt idx="328">
                  <c:v>22.281503665648493</c:v>
                </c:pt>
                <c:pt idx="329">
                  <c:v>22.297768982577601</c:v>
                </c:pt>
                <c:pt idx="330">
                  <c:v>22.307060209343948</c:v>
                </c:pt>
                <c:pt idx="331">
                  <c:v>22.313431714086388</c:v>
                </c:pt>
                <c:pt idx="332">
                  <c:v>22.324259749711469</c:v>
                </c:pt>
                <c:pt idx="333">
                  <c:v>22.338308085977864</c:v>
                </c:pt>
                <c:pt idx="334">
                  <c:v>22.344575874710412</c:v>
                </c:pt>
                <c:pt idx="335">
                  <c:v>22.352185440977038</c:v>
                </c:pt>
                <c:pt idx="336">
                  <c:v>22.365291313760892</c:v>
                </c:pt>
                <c:pt idx="337">
                  <c:v>22.379806305569563</c:v>
                </c:pt>
                <c:pt idx="338">
                  <c:v>22.381180764891539</c:v>
                </c:pt>
                <c:pt idx="339">
                  <c:v>22.392113842580851</c:v>
                </c:pt>
                <c:pt idx="340">
                  <c:v>22.406636241835923</c:v>
                </c:pt>
                <c:pt idx="341">
                  <c:v>22.411257763295225</c:v>
                </c:pt>
                <c:pt idx="342">
                  <c:v>22.42546190882971</c:v>
                </c:pt>
                <c:pt idx="343">
                  <c:v>22.436112657239661</c:v>
                </c:pt>
                <c:pt idx="344">
                  <c:v>22.446259455432159</c:v>
                </c:pt>
                <c:pt idx="345">
                  <c:v>22.457795330489851</c:v>
                </c:pt>
                <c:pt idx="346">
                  <c:v>22.464776908362722</c:v>
                </c:pt>
                <c:pt idx="347">
                  <c:v>22.475352822244666</c:v>
                </c:pt>
                <c:pt idx="348">
                  <c:v>22.486626849273275</c:v>
                </c:pt>
                <c:pt idx="349">
                  <c:v>22.493886798090355</c:v>
                </c:pt>
                <c:pt idx="350">
                  <c:v>22.505100683212742</c:v>
                </c:pt>
                <c:pt idx="351">
                  <c:v>22.517870903074819</c:v>
                </c:pt>
                <c:pt idx="352">
                  <c:v>22.524835793123277</c:v>
                </c:pt>
                <c:pt idx="353">
                  <c:v>22.53142812476284</c:v>
                </c:pt>
                <c:pt idx="354">
                  <c:v>22.546791916439687</c:v>
                </c:pt>
                <c:pt idx="355">
                  <c:v>22.558681302517911</c:v>
                </c:pt>
                <c:pt idx="356">
                  <c:v>22.566215971231603</c:v>
                </c:pt>
                <c:pt idx="357">
                  <c:v>22.570221752297293</c:v>
                </c:pt>
                <c:pt idx="358">
                  <c:v>22.582504026957864</c:v>
                </c:pt>
                <c:pt idx="359">
                  <c:v>22.59356781772647</c:v>
                </c:pt>
                <c:pt idx="360">
                  <c:v>22.608825679041285</c:v>
                </c:pt>
                <c:pt idx="361">
                  <c:v>22.610871307104496</c:v>
                </c:pt>
                <c:pt idx="362">
                  <c:v>22.62450133760079</c:v>
                </c:pt>
                <c:pt idx="363">
                  <c:v>22.63111814288192</c:v>
                </c:pt>
                <c:pt idx="364">
                  <c:v>22.641796119487591</c:v>
                </c:pt>
                <c:pt idx="365">
                  <c:v>22.659503483946075</c:v>
                </c:pt>
                <c:pt idx="366">
                  <c:v>22.661553328190404</c:v>
                </c:pt>
                <c:pt idx="367">
                  <c:v>22.674548347126535</c:v>
                </c:pt>
                <c:pt idx="368">
                  <c:v>22.685521390314623</c:v>
                </c:pt>
                <c:pt idx="369">
                  <c:v>22.699488346277896</c:v>
                </c:pt>
                <c:pt idx="370">
                  <c:v>22.708774471305738</c:v>
                </c:pt>
                <c:pt idx="371">
                  <c:v>22.712415779157983</c:v>
                </c:pt>
                <c:pt idx="372">
                  <c:v>22.723192212574009</c:v>
                </c:pt>
                <c:pt idx="373">
                  <c:v>22.730063110651706</c:v>
                </c:pt>
                <c:pt idx="374">
                  <c:v>22.745600490684314</c:v>
                </c:pt>
                <c:pt idx="375">
                  <c:v>22.757670855102401</c:v>
                </c:pt>
                <c:pt idx="376">
                  <c:v>22.76898310663632</c:v>
                </c:pt>
                <c:pt idx="377">
                  <c:v>22.771354701140091</c:v>
                </c:pt>
                <c:pt idx="378">
                  <c:v>22.782029195644736</c:v>
                </c:pt>
                <c:pt idx="379">
                  <c:v>22.799226164740055</c:v>
                </c:pt>
                <c:pt idx="380">
                  <c:v>22.805581375882277</c:v>
                </c:pt>
                <c:pt idx="381">
                  <c:v>22.819434480978494</c:v>
                </c:pt>
                <c:pt idx="382">
                  <c:v>22.826895886340285</c:v>
                </c:pt>
                <c:pt idx="383">
                  <c:v>22.838229608994649</c:v>
                </c:pt>
                <c:pt idx="384">
                  <c:v>22.844507267671979</c:v>
                </c:pt>
                <c:pt idx="385">
                  <c:v>22.856000975875364</c:v>
                </c:pt>
                <c:pt idx="386">
                  <c:v>22.868303948584138</c:v>
                </c:pt>
                <c:pt idx="387">
                  <c:v>22.872269948802046</c:v>
                </c:pt>
                <c:pt idx="388">
                  <c:v>22.889745348211061</c:v>
                </c:pt>
                <c:pt idx="389">
                  <c:v>22.898208069012327</c:v>
                </c:pt>
                <c:pt idx="390">
                  <c:v>22.902397172880434</c:v>
                </c:pt>
                <c:pt idx="391">
                  <c:v>22.919587352615551</c:v>
                </c:pt>
                <c:pt idx="392">
                  <c:v>22.927012247168438</c:v>
                </c:pt>
                <c:pt idx="393">
                  <c:v>22.938906827872952</c:v>
                </c:pt>
                <c:pt idx="394">
                  <c:v>22.946277011920703</c:v>
                </c:pt>
                <c:pt idx="395">
                  <c:v>22.951118521053036</c:v>
                </c:pt>
                <c:pt idx="396">
                  <c:v>22.968625292589216</c:v>
                </c:pt>
                <c:pt idx="397">
                  <c:v>22.979373154569956</c:v>
                </c:pt>
                <c:pt idx="398">
                  <c:v>22.988402468510451</c:v>
                </c:pt>
                <c:pt idx="399">
                  <c:v>22.999444579395668</c:v>
                </c:pt>
                <c:pt idx="400">
                  <c:v>23.003260829106413</c:v>
                </c:pt>
                <c:pt idx="401">
                  <c:v>23.014944025190605</c:v>
                </c:pt>
                <c:pt idx="402">
                  <c:v>23.020006682957089</c:v>
                </c:pt>
                <c:pt idx="403">
                  <c:v>23.034979945538705</c:v>
                </c:pt>
                <c:pt idx="404">
                  <c:v>23.040825324018208</c:v>
                </c:pt>
                <c:pt idx="405">
                  <c:v>23.052687936802894</c:v>
                </c:pt>
                <c:pt idx="406">
                  <c:v>23.064037030377577</c:v>
                </c:pt>
                <c:pt idx="407">
                  <c:v>23.070969630673723</c:v>
                </c:pt>
                <c:pt idx="408">
                  <c:v>23.086135649994567</c:v>
                </c:pt>
                <c:pt idx="409">
                  <c:v>23.093625038314524</c:v>
                </c:pt>
                <c:pt idx="410">
                  <c:v>23.108869860705823</c:v>
                </c:pt>
                <c:pt idx="411">
                  <c:v>23.119573490831662</c:v>
                </c:pt>
                <c:pt idx="412">
                  <c:v>23.122753641483854</c:v>
                </c:pt>
                <c:pt idx="413">
                  <c:v>23.136353280321455</c:v>
                </c:pt>
                <c:pt idx="414">
                  <c:v>23.143369800530284</c:v>
                </c:pt>
                <c:pt idx="415">
                  <c:v>23.15854468002571</c:v>
                </c:pt>
                <c:pt idx="416">
                  <c:v>23.162040940549797</c:v>
                </c:pt>
                <c:pt idx="417">
                  <c:v>23.176221816859339</c:v>
                </c:pt>
                <c:pt idx="418">
                  <c:v>23.184414328729662</c:v>
                </c:pt>
                <c:pt idx="419">
                  <c:v>23.195644419228088</c:v>
                </c:pt>
                <c:pt idx="420">
                  <c:v>23.209701987744072</c:v>
                </c:pt>
                <c:pt idx="421">
                  <c:v>23.21486370318928</c:v>
                </c:pt>
                <c:pt idx="422">
                  <c:v>23.224475525489161</c:v>
                </c:pt>
                <c:pt idx="423">
                  <c:v>23.233509778920123</c:v>
                </c:pt>
                <c:pt idx="424">
                  <c:v>23.249871388806085</c:v>
                </c:pt>
                <c:pt idx="425">
                  <c:v>23.25378603158747</c:v>
                </c:pt>
                <c:pt idx="426">
                  <c:v>23.262048855453102</c:v>
                </c:pt>
                <c:pt idx="427">
                  <c:v>23.27055973077011</c:v>
                </c:pt>
                <c:pt idx="428">
                  <c:v>23.28152455408652</c:v>
                </c:pt>
                <c:pt idx="429">
                  <c:v>23.29560458268508</c:v>
                </c:pt>
                <c:pt idx="430">
                  <c:v>23.306592481155104</c:v>
                </c:pt>
                <c:pt idx="431">
                  <c:v>23.310800182783009</c:v>
                </c:pt>
                <c:pt idx="432">
                  <c:v>23.327317188783738</c:v>
                </c:pt>
                <c:pt idx="433">
                  <c:v>23.336122825849642</c:v>
                </c:pt>
                <c:pt idx="434">
                  <c:v>23.343759627052439</c:v>
                </c:pt>
                <c:pt idx="435">
                  <c:v>23.354749352605062</c:v>
                </c:pt>
                <c:pt idx="436">
                  <c:v>23.369751908904533</c:v>
                </c:pt>
                <c:pt idx="437">
                  <c:v>23.376988758230212</c:v>
                </c:pt>
                <c:pt idx="438">
                  <c:v>23.387412666302598</c:v>
                </c:pt>
                <c:pt idx="439">
                  <c:v>23.396615874279878</c:v>
                </c:pt>
                <c:pt idx="440">
                  <c:v>23.408234576606311</c:v>
                </c:pt>
                <c:pt idx="441">
                  <c:v>23.41927711575789</c:v>
                </c:pt>
                <c:pt idx="442">
                  <c:v>23.428563025261386</c:v>
                </c:pt>
                <c:pt idx="443">
                  <c:v>23.439613802794682</c:v>
                </c:pt>
                <c:pt idx="444">
                  <c:v>23.440381690724191</c:v>
                </c:pt>
                <c:pt idx="445">
                  <c:v>23.454539144915891</c:v>
                </c:pt>
                <c:pt idx="446">
                  <c:v>23.462882792491353</c:v>
                </c:pt>
                <c:pt idx="447">
                  <c:v>23.477816120510404</c:v>
                </c:pt>
                <c:pt idx="448">
                  <c:v>23.489972603679806</c:v>
                </c:pt>
                <c:pt idx="449">
                  <c:v>23.497153348804051</c:v>
                </c:pt>
                <c:pt idx="450">
                  <c:v>23.505441116480142</c:v>
                </c:pt>
                <c:pt idx="451">
                  <c:v>23.516314032854471</c:v>
                </c:pt>
                <c:pt idx="452">
                  <c:v>23.525891101995615</c:v>
                </c:pt>
                <c:pt idx="453">
                  <c:v>23.53596769635195</c:v>
                </c:pt>
                <c:pt idx="454">
                  <c:v>23.540877507420053</c:v>
                </c:pt>
                <c:pt idx="455">
                  <c:v>23.556956132920384</c:v>
                </c:pt>
                <c:pt idx="456">
                  <c:v>23.56880316853638</c:v>
                </c:pt>
                <c:pt idx="457">
                  <c:v>23.578758781987656</c:v>
                </c:pt>
                <c:pt idx="458">
                  <c:v>23.582271111933309</c:v>
                </c:pt>
                <c:pt idx="459">
                  <c:v>23.599139336396945</c:v>
                </c:pt>
                <c:pt idx="460">
                  <c:v>23.608864112800358</c:v>
                </c:pt>
                <c:pt idx="461">
                  <c:v>23.611186139767149</c:v>
                </c:pt>
                <c:pt idx="462">
                  <c:v>23.620368381868808</c:v>
                </c:pt>
                <c:pt idx="463">
                  <c:v>23.631276492760293</c:v>
                </c:pt>
                <c:pt idx="464">
                  <c:v>23.647148071312454</c:v>
                </c:pt>
                <c:pt idx="465">
                  <c:v>23.654387939145401</c:v>
                </c:pt>
                <c:pt idx="466">
                  <c:v>23.661941552552847</c:v>
                </c:pt>
                <c:pt idx="467">
                  <c:v>23.675872178532806</c:v>
                </c:pt>
                <c:pt idx="468">
                  <c:v>23.687211455760323</c:v>
                </c:pt>
                <c:pt idx="469">
                  <c:v>23.69674918867873</c:v>
                </c:pt>
                <c:pt idx="470">
                  <c:v>23.706787151464951</c:v>
                </c:pt>
                <c:pt idx="471">
                  <c:v>23.712652408330996</c:v>
                </c:pt>
                <c:pt idx="472">
                  <c:v>23.725841253560482</c:v>
                </c:pt>
                <c:pt idx="473">
                  <c:v>23.738967272206725</c:v>
                </c:pt>
                <c:pt idx="474">
                  <c:v>23.740637354087411</c:v>
                </c:pt>
                <c:pt idx="475">
                  <c:v>23.752498658349911</c:v>
                </c:pt>
                <c:pt idx="476">
                  <c:v>23.763985649843239</c:v>
                </c:pt>
                <c:pt idx="477">
                  <c:v>23.770556928246798</c:v>
                </c:pt>
                <c:pt idx="478">
                  <c:v>23.781366547030807</c:v>
                </c:pt>
                <c:pt idx="479">
                  <c:v>23.79123877342095</c:v>
                </c:pt>
                <c:pt idx="480">
                  <c:v>23.804496755628648</c:v>
                </c:pt>
                <c:pt idx="481">
                  <c:v>23.813989843825215</c:v>
                </c:pt>
                <c:pt idx="482">
                  <c:v>23.824157392857934</c:v>
                </c:pt>
                <c:pt idx="483">
                  <c:v>23.836557688575645</c:v>
                </c:pt>
                <c:pt idx="484">
                  <c:v>23.844117547895618</c:v>
                </c:pt>
                <c:pt idx="485">
                  <c:v>23.85287729883791</c:v>
                </c:pt>
                <c:pt idx="486">
                  <c:v>23.866960095196777</c:v>
                </c:pt>
                <c:pt idx="487">
                  <c:v>23.873907065506902</c:v>
                </c:pt>
                <c:pt idx="488">
                  <c:v>23.884306944981859</c:v>
                </c:pt>
                <c:pt idx="489">
                  <c:v>23.897629375997031</c:v>
                </c:pt>
                <c:pt idx="490">
                  <c:v>23.906249978468665</c:v>
                </c:pt>
                <c:pt idx="491">
                  <c:v>23.913111079985139</c:v>
                </c:pt>
                <c:pt idx="492">
                  <c:v>23.923706892193241</c:v>
                </c:pt>
                <c:pt idx="493">
                  <c:v>23.93542671480084</c:v>
                </c:pt>
                <c:pt idx="494">
                  <c:v>23.940719551691664</c:v>
                </c:pt>
                <c:pt idx="495">
                  <c:v>23.951159677254264</c:v>
                </c:pt>
                <c:pt idx="496">
                  <c:v>23.961068039176883</c:v>
                </c:pt>
                <c:pt idx="497">
                  <c:v>23.975068783981882</c:v>
                </c:pt>
                <c:pt idx="498">
                  <c:v>23.989838998681872</c:v>
                </c:pt>
                <c:pt idx="499">
                  <c:v>23.994353436219715</c:v>
                </c:pt>
              </c:numCache>
            </c:numRef>
          </c:xVal>
          <c:yVal>
            <c:numRef>
              <c:f>SimData1!$P$9:$P$508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SimData1!$Q$8</c:f>
              <c:strCache>
                <c:ptCount val="1"/>
                <c:pt idx="0">
                  <c:v>Bernoulli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SimData1!$Q$9:$Q$508</c:f>
              <c:numCache>
                <c:formatCode>General</c:formatCode>
                <c:ptCount val="500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0.23</c:v>
                </c:pt>
                <c:pt idx="7">
                  <c:v>0.23</c:v>
                </c:pt>
                <c:pt idx="8">
                  <c:v>0.23</c:v>
                </c:pt>
                <c:pt idx="9">
                  <c:v>0.23</c:v>
                </c:pt>
                <c:pt idx="10">
                  <c:v>0.23</c:v>
                </c:pt>
                <c:pt idx="11">
                  <c:v>0.23</c:v>
                </c:pt>
                <c:pt idx="12">
                  <c:v>0.23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0.23</c:v>
                </c:pt>
                <c:pt idx="18">
                  <c:v>0.23</c:v>
                </c:pt>
                <c:pt idx="19">
                  <c:v>0.23</c:v>
                </c:pt>
                <c:pt idx="20">
                  <c:v>0.23</c:v>
                </c:pt>
                <c:pt idx="21">
                  <c:v>0.23</c:v>
                </c:pt>
                <c:pt idx="22">
                  <c:v>0.23</c:v>
                </c:pt>
                <c:pt idx="23">
                  <c:v>0.23</c:v>
                </c:pt>
                <c:pt idx="24">
                  <c:v>0.23</c:v>
                </c:pt>
                <c:pt idx="25">
                  <c:v>0.23</c:v>
                </c:pt>
                <c:pt idx="26">
                  <c:v>0.23</c:v>
                </c:pt>
                <c:pt idx="27">
                  <c:v>0.23</c:v>
                </c:pt>
                <c:pt idx="28">
                  <c:v>0.23</c:v>
                </c:pt>
                <c:pt idx="29">
                  <c:v>0.23</c:v>
                </c:pt>
                <c:pt idx="30">
                  <c:v>0.23</c:v>
                </c:pt>
                <c:pt idx="31">
                  <c:v>0.23</c:v>
                </c:pt>
                <c:pt idx="32">
                  <c:v>0.23</c:v>
                </c:pt>
                <c:pt idx="33">
                  <c:v>0.23</c:v>
                </c:pt>
                <c:pt idx="34">
                  <c:v>0.23</c:v>
                </c:pt>
                <c:pt idx="35">
                  <c:v>0.23</c:v>
                </c:pt>
                <c:pt idx="36">
                  <c:v>0.23</c:v>
                </c:pt>
                <c:pt idx="37">
                  <c:v>0.23</c:v>
                </c:pt>
                <c:pt idx="38">
                  <c:v>0.23</c:v>
                </c:pt>
                <c:pt idx="39">
                  <c:v>0.23</c:v>
                </c:pt>
                <c:pt idx="40">
                  <c:v>0.23</c:v>
                </c:pt>
                <c:pt idx="41">
                  <c:v>0.23</c:v>
                </c:pt>
                <c:pt idx="42">
                  <c:v>0.23</c:v>
                </c:pt>
                <c:pt idx="43">
                  <c:v>0.23</c:v>
                </c:pt>
                <c:pt idx="44">
                  <c:v>0.23</c:v>
                </c:pt>
                <c:pt idx="45">
                  <c:v>0.23</c:v>
                </c:pt>
                <c:pt idx="46">
                  <c:v>0.23</c:v>
                </c:pt>
                <c:pt idx="47">
                  <c:v>0.23</c:v>
                </c:pt>
                <c:pt idx="48">
                  <c:v>0.23</c:v>
                </c:pt>
                <c:pt idx="49">
                  <c:v>0.23</c:v>
                </c:pt>
                <c:pt idx="50">
                  <c:v>0.23</c:v>
                </c:pt>
                <c:pt idx="51">
                  <c:v>0.23</c:v>
                </c:pt>
                <c:pt idx="52">
                  <c:v>0.23</c:v>
                </c:pt>
                <c:pt idx="53">
                  <c:v>0.23</c:v>
                </c:pt>
                <c:pt idx="54">
                  <c:v>0.23</c:v>
                </c:pt>
                <c:pt idx="55">
                  <c:v>0.23</c:v>
                </c:pt>
                <c:pt idx="56">
                  <c:v>0.23</c:v>
                </c:pt>
                <c:pt idx="57">
                  <c:v>0.23</c:v>
                </c:pt>
                <c:pt idx="58">
                  <c:v>0.23</c:v>
                </c:pt>
                <c:pt idx="59">
                  <c:v>0.23</c:v>
                </c:pt>
                <c:pt idx="60">
                  <c:v>0.23</c:v>
                </c:pt>
                <c:pt idx="61">
                  <c:v>0.23</c:v>
                </c:pt>
                <c:pt idx="62">
                  <c:v>0.23</c:v>
                </c:pt>
                <c:pt idx="63">
                  <c:v>0.23</c:v>
                </c:pt>
                <c:pt idx="64">
                  <c:v>0.23</c:v>
                </c:pt>
                <c:pt idx="65">
                  <c:v>0.23</c:v>
                </c:pt>
                <c:pt idx="66">
                  <c:v>0.23</c:v>
                </c:pt>
                <c:pt idx="67">
                  <c:v>0.23</c:v>
                </c:pt>
                <c:pt idx="68">
                  <c:v>0.23</c:v>
                </c:pt>
                <c:pt idx="69">
                  <c:v>0.23</c:v>
                </c:pt>
                <c:pt idx="70">
                  <c:v>0.23</c:v>
                </c:pt>
                <c:pt idx="71">
                  <c:v>0.23</c:v>
                </c:pt>
                <c:pt idx="72">
                  <c:v>0.23</c:v>
                </c:pt>
                <c:pt idx="73">
                  <c:v>0.23</c:v>
                </c:pt>
                <c:pt idx="74">
                  <c:v>0.23</c:v>
                </c:pt>
                <c:pt idx="75">
                  <c:v>0.23</c:v>
                </c:pt>
                <c:pt idx="76">
                  <c:v>0.23</c:v>
                </c:pt>
                <c:pt idx="77">
                  <c:v>0.23</c:v>
                </c:pt>
                <c:pt idx="78">
                  <c:v>0.23</c:v>
                </c:pt>
                <c:pt idx="79">
                  <c:v>0.23</c:v>
                </c:pt>
                <c:pt idx="80">
                  <c:v>0.23</c:v>
                </c:pt>
                <c:pt idx="81">
                  <c:v>0.23</c:v>
                </c:pt>
                <c:pt idx="82">
                  <c:v>0.23</c:v>
                </c:pt>
                <c:pt idx="83">
                  <c:v>0.23</c:v>
                </c:pt>
                <c:pt idx="84">
                  <c:v>0.23</c:v>
                </c:pt>
                <c:pt idx="85">
                  <c:v>0.23</c:v>
                </c:pt>
                <c:pt idx="86">
                  <c:v>0.23</c:v>
                </c:pt>
                <c:pt idx="87">
                  <c:v>0.23</c:v>
                </c:pt>
                <c:pt idx="88">
                  <c:v>0.23</c:v>
                </c:pt>
                <c:pt idx="89">
                  <c:v>0.23</c:v>
                </c:pt>
                <c:pt idx="90">
                  <c:v>0.23</c:v>
                </c:pt>
                <c:pt idx="91">
                  <c:v>0.23</c:v>
                </c:pt>
                <c:pt idx="92">
                  <c:v>0.23</c:v>
                </c:pt>
                <c:pt idx="93">
                  <c:v>0.23</c:v>
                </c:pt>
                <c:pt idx="94">
                  <c:v>0.23</c:v>
                </c:pt>
                <c:pt idx="95">
                  <c:v>0.23</c:v>
                </c:pt>
                <c:pt idx="96">
                  <c:v>0.23</c:v>
                </c:pt>
                <c:pt idx="97">
                  <c:v>0.23</c:v>
                </c:pt>
                <c:pt idx="98">
                  <c:v>0.23</c:v>
                </c:pt>
                <c:pt idx="99">
                  <c:v>0.23</c:v>
                </c:pt>
                <c:pt idx="100">
                  <c:v>0.23</c:v>
                </c:pt>
                <c:pt idx="101">
                  <c:v>0.23</c:v>
                </c:pt>
                <c:pt idx="102">
                  <c:v>0.23</c:v>
                </c:pt>
                <c:pt idx="103">
                  <c:v>0.23</c:v>
                </c:pt>
                <c:pt idx="104">
                  <c:v>0.23</c:v>
                </c:pt>
                <c:pt idx="105">
                  <c:v>0.23</c:v>
                </c:pt>
                <c:pt idx="106">
                  <c:v>0.23</c:v>
                </c:pt>
                <c:pt idx="107">
                  <c:v>0.23</c:v>
                </c:pt>
                <c:pt idx="108">
                  <c:v>0.23</c:v>
                </c:pt>
                <c:pt idx="109">
                  <c:v>0.23</c:v>
                </c:pt>
                <c:pt idx="110">
                  <c:v>0.23</c:v>
                </c:pt>
                <c:pt idx="111">
                  <c:v>0.23</c:v>
                </c:pt>
                <c:pt idx="112">
                  <c:v>0.23</c:v>
                </c:pt>
                <c:pt idx="113">
                  <c:v>0.23</c:v>
                </c:pt>
                <c:pt idx="114">
                  <c:v>0.23</c:v>
                </c:pt>
                <c:pt idx="115">
                  <c:v>0.23</c:v>
                </c:pt>
                <c:pt idx="116">
                  <c:v>0.23</c:v>
                </c:pt>
                <c:pt idx="117">
                  <c:v>0.23</c:v>
                </c:pt>
                <c:pt idx="118">
                  <c:v>0.23</c:v>
                </c:pt>
                <c:pt idx="119">
                  <c:v>0.23</c:v>
                </c:pt>
                <c:pt idx="120">
                  <c:v>0.23</c:v>
                </c:pt>
                <c:pt idx="121">
                  <c:v>0.23</c:v>
                </c:pt>
                <c:pt idx="122">
                  <c:v>0.23</c:v>
                </c:pt>
                <c:pt idx="123">
                  <c:v>0.23</c:v>
                </c:pt>
                <c:pt idx="124">
                  <c:v>0.23</c:v>
                </c:pt>
                <c:pt idx="125">
                  <c:v>0.23</c:v>
                </c:pt>
                <c:pt idx="126">
                  <c:v>0.23</c:v>
                </c:pt>
                <c:pt idx="127">
                  <c:v>0.23</c:v>
                </c:pt>
                <c:pt idx="128">
                  <c:v>0.23</c:v>
                </c:pt>
                <c:pt idx="129">
                  <c:v>0.23</c:v>
                </c:pt>
                <c:pt idx="130">
                  <c:v>0.23</c:v>
                </c:pt>
                <c:pt idx="131">
                  <c:v>0.23</c:v>
                </c:pt>
                <c:pt idx="132">
                  <c:v>0.23</c:v>
                </c:pt>
                <c:pt idx="133">
                  <c:v>0.23</c:v>
                </c:pt>
                <c:pt idx="134">
                  <c:v>0.23</c:v>
                </c:pt>
                <c:pt idx="135">
                  <c:v>0.23</c:v>
                </c:pt>
                <c:pt idx="136">
                  <c:v>0.23</c:v>
                </c:pt>
                <c:pt idx="137">
                  <c:v>0.23</c:v>
                </c:pt>
                <c:pt idx="138">
                  <c:v>0.23</c:v>
                </c:pt>
                <c:pt idx="139">
                  <c:v>0.23</c:v>
                </c:pt>
                <c:pt idx="140">
                  <c:v>0.23</c:v>
                </c:pt>
                <c:pt idx="141">
                  <c:v>0.23</c:v>
                </c:pt>
                <c:pt idx="142">
                  <c:v>0.23</c:v>
                </c:pt>
                <c:pt idx="143">
                  <c:v>0.23</c:v>
                </c:pt>
                <c:pt idx="144">
                  <c:v>0.23</c:v>
                </c:pt>
                <c:pt idx="145">
                  <c:v>0.23</c:v>
                </c:pt>
                <c:pt idx="146">
                  <c:v>0.23</c:v>
                </c:pt>
                <c:pt idx="147">
                  <c:v>0.23</c:v>
                </c:pt>
                <c:pt idx="148">
                  <c:v>0.23</c:v>
                </c:pt>
                <c:pt idx="149">
                  <c:v>0.23</c:v>
                </c:pt>
                <c:pt idx="150">
                  <c:v>0.23</c:v>
                </c:pt>
                <c:pt idx="151">
                  <c:v>0.23</c:v>
                </c:pt>
                <c:pt idx="152">
                  <c:v>0.23</c:v>
                </c:pt>
                <c:pt idx="153">
                  <c:v>0.23</c:v>
                </c:pt>
                <c:pt idx="154">
                  <c:v>0.23</c:v>
                </c:pt>
                <c:pt idx="155">
                  <c:v>0.23</c:v>
                </c:pt>
                <c:pt idx="156">
                  <c:v>0.23</c:v>
                </c:pt>
                <c:pt idx="157">
                  <c:v>0.23</c:v>
                </c:pt>
                <c:pt idx="158">
                  <c:v>0.23</c:v>
                </c:pt>
                <c:pt idx="159">
                  <c:v>0.23</c:v>
                </c:pt>
                <c:pt idx="160">
                  <c:v>0.23</c:v>
                </c:pt>
                <c:pt idx="161">
                  <c:v>0.23</c:v>
                </c:pt>
                <c:pt idx="162">
                  <c:v>0.23</c:v>
                </c:pt>
                <c:pt idx="163">
                  <c:v>0.23</c:v>
                </c:pt>
                <c:pt idx="164">
                  <c:v>0.23</c:v>
                </c:pt>
                <c:pt idx="165">
                  <c:v>0.23</c:v>
                </c:pt>
                <c:pt idx="166">
                  <c:v>0.23</c:v>
                </c:pt>
                <c:pt idx="167">
                  <c:v>0.23</c:v>
                </c:pt>
                <c:pt idx="168">
                  <c:v>0.23</c:v>
                </c:pt>
                <c:pt idx="169">
                  <c:v>0.23</c:v>
                </c:pt>
                <c:pt idx="170">
                  <c:v>0.23</c:v>
                </c:pt>
                <c:pt idx="171">
                  <c:v>0.23</c:v>
                </c:pt>
                <c:pt idx="172">
                  <c:v>0.23</c:v>
                </c:pt>
                <c:pt idx="173">
                  <c:v>0.23</c:v>
                </c:pt>
                <c:pt idx="174">
                  <c:v>0.23</c:v>
                </c:pt>
                <c:pt idx="175">
                  <c:v>0.23</c:v>
                </c:pt>
                <c:pt idx="176">
                  <c:v>0.23</c:v>
                </c:pt>
                <c:pt idx="177">
                  <c:v>0.23</c:v>
                </c:pt>
                <c:pt idx="178">
                  <c:v>0.23</c:v>
                </c:pt>
                <c:pt idx="179">
                  <c:v>0.23</c:v>
                </c:pt>
                <c:pt idx="180">
                  <c:v>0.23</c:v>
                </c:pt>
                <c:pt idx="181">
                  <c:v>0.23</c:v>
                </c:pt>
                <c:pt idx="182">
                  <c:v>0.23</c:v>
                </c:pt>
                <c:pt idx="183">
                  <c:v>0.23</c:v>
                </c:pt>
                <c:pt idx="184">
                  <c:v>0.23</c:v>
                </c:pt>
                <c:pt idx="185">
                  <c:v>0.23</c:v>
                </c:pt>
                <c:pt idx="186">
                  <c:v>0.23</c:v>
                </c:pt>
                <c:pt idx="187">
                  <c:v>0.23</c:v>
                </c:pt>
                <c:pt idx="188">
                  <c:v>0.23</c:v>
                </c:pt>
                <c:pt idx="189">
                  <c:v>0.23</c:v>
                </c:pt>
                <c:pt idx="190">
                  <c:v>0.23</c:v>
                </c:pt>
                <c:pt idx="191">
                  <c:v>0.23</c:v>
                </c:pt>
                <c:pt idx="192">
                  <c:v>0.23</c:v>
                </c:pt>
                <c:pt idx="193">
                  <c:v>0.23</c:v>
                </c:pt>
                <c:pt idx="194">
                  <c:v>0.23</c:v>
                </c:pt>
                <c:pt idx="195">
                  <c:v>0.23</c:v>
                </c:pt>
                <c:pt idx="196">
                  <c:v>0.23</c:v>
                </c:pt>
                <c:pt idx="197">
                  <c:v>0.23</c:v>
                </c:pt>
                <c:pt idx="198">
                  <c:v>0.23</c:v>
                </c:pt>
                <c:pt idx="199">
                  <c:v>0.23</c:v>
                </c:pt>
                <c:pt idx="200">
                  <c:v>0.23</c:v>
                </c:pt>
                <c:pt idx="201">
                  <c:v>0.23</c:v>
                </c:pt>
                <c:pt idx="202">
                  <c:v>0.23</c:v>
                </c:pt>
                <c:pt idx="203">
                  <c:v>0.23</c:v>
                </c:pt>
                <c:pt idx="204">
                  <c:v>0.23</c:v>
                </c:pt>
                <c:pt idx="205">
                  <c:v>0.23</c:v>
                </c:pt>
                <c:pt idx="206">
                  <c:v>0.23</c:v>
                </c:pt>
                <c:pt idx="207">
                  <c:v>0.23</c:v>
                </c:pt>
                <c:pt idx="208">
                  <c:v>0.23</c:v>
                </c:pt>
                <c:pt idx="209">
                  <c:v>0.23</c:v>
                </c:pt>
                <c:pt idx="210">
                  <c:v>0.23</c:v>
                </c:pt>
                <c:pt idx="211">
                  <c:v>0.23</c:v>
                </c:pt>
                <c:pt idx="212">
                  <c:v>0.23</c:v>
                </c:pt>
                <c:pt idx="213">
                  <c:v>0.23</c:v>
                </c:pt>
                <c:pt idx="214">
                  <c:v>0.23</c:v>
                </c:pt>
                <c:pt idx="215">
                  <c:v>0.23</c:v>
                </c:pt>
                <c:pt idx="216">
                  <c:v>0.23</c:v>
                </c:pt>
                <c:pt idx="217">
                  <c:v>0.23</c:v>
                </c:pt>
                <c:pt idx="218">
                  <c:v>0.23</c:v>
                </c:pt>
                <c:pt idx="219">
                  <c:v>0.23</c:v>
                </c:pt>
                <c:pt idx="220">
                  <c:v>0.23</c:v>
                </c:pt>
                <c:pt idx="221">
                  <c:v>0.23</c:v>
                </c:pt>
                <c:pt idx="222">
                  <c:v>0.23</c:v>
                </c:pt>
                <c:pt idx="223">
                  <c:v>0.23</c:v>
                </c:pt>
                <c:pt idx="224">
                  <c:v>0.23</c:v>
                </c:pt>
                <c:pt idx="225">
                  <c:v>0.23</c:v>
                </c:pt>
                <c:pt idx="226">
                  <c:v>0.23</c:v>
                </c:pt>
                <c:pt idx="227">
                  <c:v>0.23</c:v>
                </c:pt>
                <c:pt idx="228">
                  <c:v>0.23</c:v>
                </c:pt>
                <c:pt idx="229">
                  <c:v>0.23</c:v>
                </c:pt>
                <c:pt idx="230">
                  <c:v>0.23</c:v>
                </c:pt>
                <c:pt idx="231">
                  <c:v>0.23</c:v>
                </c:pt>
                <c:pt idx="232">
                  <c:v>0.23</c:v>
                </c:pt>
                <c:pt idx="233">
                  <c:v>0.23</c:v>
                </c:pt>
                <c:pt idx="234">
                  <c:v>0.23</c:v>
                </c:pt>
                <c:pt idx="235">
                  <c:v>0.23</c:v>
                </c:pt>
                <c:pt idx="236">
                  <c:v>0.23</c:v>
                </c:pt>
                <c:pt idx="237">
                  <c:v>0.23</c:v>
                </c:pt>
                <c:pt idx="238">
                  <c:v>0.23</c:v>
                </c:pt>
                <c:pt idx="239">
                  <c:v>0.23</c:v>
                </c:pt>
                <c:pt idx="240">
                  <c:v>0.23</c:v>
                </c:pt>
                <c:pt idx="241">
                  <c:v>0.23</c:v>
                </c:pt>
                <c:pt idx="242">
                  <c:v>0.23</c:v>
                </c:pt>
                <c:pt idx="243">
                  <c:v>0.23</c:v>
                </c:pt>
                <c:pt idx="244">
                  <c:v>0.23</c:v>
                </c:pt>
                <c:pt idx="245">
                  <c:v>0.23</c:v>
                </c:pt>
                <c:pt idx="246">
                  <c:v>0.23</c:v>
                </c:pt>
                <c:pt idx="247">
                  <c:v>0.23</c:v>
                </c:pt>
                <c:pt idx="248">
                  <c:v>0.23</c:v>
                </c:pt>
                <c:pt idx="249">
                  <c:v>0.23</c:v>
                </c:pt>
                <c:pt idx="250">
                  <c:v>0.23</c:v>
                </c:pt>
                <c:pt idx="251">
                  <c:v>0.23</c:v>
                </c:pt>
                <c:pt idx="252">
                  <c:v>0.23</c:v>
                </c:pt>
                <c:pt idx="253">
                  <c:v>0.23</c:v>
                </c:pt>
                <c:pt idx="254">
                  <c:v>0.23</c:v>
                </c:pt>
                <c:pt idx="255">
                  <c:v>0.23</c:v>
                </c:pt>
                <c:pt idx="256">
                  <c:v>0.23</c:v>
                </c:pt>
                <c:pt idx="257">
                  <c:v>0.23</c:v>
                </c:pt>
                <c:pt idx="258">
                  <c:v>0.23</c:v>
                </c:pt>
                <c:pt idx="259">
                  <c:v>0.23</c:v>
                </c:pt>
                <c:pt idx="260">
                  <c:v>0.23</c:v>
                </c:pt>
                <c:pt idx="261">
                  <c:v>0.23</c:v>
                </c:pt>
                <c:pt idx="262">
                  <c:v>0.23</c:v>
                </c:pt>
                <c:pt idx="263">
                  <c:v>0.23</c:v>
                </c:pt>
                <c:pt idx="264">
                  <c:v>0.23</c:v>
                </c:pt>
                <c:pt idx="265">
                  <c:v>0.23</c:v>
                </c:pt>
                <c:pt idx="266">
                  <c:v>0.23</c:v>
                </c:pt>
                <c:pt idx="267">
                  <c:v>0.23</c:v>
                </c:pt>
                <c:pt idx="268">
                  <c:v>0.23</c:v>
                </c:pt>
                <c:pt idx="269">
                  <c:v>0.23</c:v>
                </c:pt>
                <c:pt idx="270">
                  <c:v>0.23</c:v>
                </c:pt>
                <c:pt idx="271">
                  <c:v>0.23</c:v>
                </c:pt>
                <c:pt idx="272">
                  <c:v>0.23</c:v>
                </c:pt>
                <c:pt idx="273">
                  <c:v>0.23</c:v>
                </c:pt>
                <c:pt idx="274">
                  <c:v>0.23</c:v>
                </c:pt>
                <c:pt idx="275">
                  <c:v>0.23</c:v>
                </c:pt>
                <c:pt idx="276">
                  <c:v>0.23</c:v>
                </c:pt>
                <c:pt idx="277">
                  <c:v>0.23</c:v>
                </c:pt>
                <c:pt idx="278">
                  <c:v>0.23</c:v>
                </c:pt>
                <c:pt idx="279">
                  <c:v>0.23</c:v>
                </c:pt>
                <c:pt idx="280">
                  <c:v>0.23</c:v>
                </c:pt>
                <c:pt idx="281">
                  <c:v>0.23</c:v>
                </c:pt>
                <c:pt idx="282">
                  <c:v>0.23</c:v>
                </c:pt>
                <c:pt idx="283">
                  <c:v>0.23</c:v>
                </c:pt>
                <c:pt idx="284">
                  <c:v>0.23</c:v>
                </c:pt>
                <c:pt idx="285">
                  <c:v>0.23</c:v>
                </c:pt>
                <c:pt idx="286">
                  <c:v>0.23</c:v>
                </c:pt>
                <c:pt idx="287">
                  <c:v>0.23</c:v>
                </c:pt>
                <c:pt idx="288">
                  <c:v>0.23</c:v>
                </c:pt>
                <c:pt idx="289">
                  <c:v>0.23</c:v>
                </c:pt>
                <c:pt idx="290">
                  <c:v>0.23</c:v>
                </c:pt>
                <c:pt idx="291">
                  <c:v>0.23</c:v>
                </c:pt>
                <c:pt idx="292">
                  <c:v>0.23</c:v>
                </c:pt>
                <c:pt idx="293">
                  <c:v>0.23</c:v>
                </c:pt>
                <c:pt idx="294">
                  <c:v>0.23</c:v>
                </c:pt>
                <c:pt idx="295">
                  <c:v>0.23</c:v>
                </c:pt>
                <c:pt idx="296">
                  <c:v>0.23</c:v>
                </c:pt>
                <c:pt idx="297">
                  <c:v>0.23</c:v>
                </c:pt>
                <c:pt idx="298">
                  <c:v>0.23</c:v>
                </c:pt>
                <c:pt idx="299">
                  <c:v>0.23</c:v>
                </c:pt>
                <c:pt idx="300">
                  <c:v>0.23</c:v>
                </c:pt>
                <c:pt idx="301">
                  <c:v>0.23</c:v>
                </c:pt>
                <c:pt idx="302">
                  <c:v>0.23</c:v>
                </c:pt>
                <c:pt idx="303">
                  <c:v>0.23</c:v>
                </c:pt>
                <c:pt idx="304">
                  <c:v>0.23</c:v>
                </c:pt>
                <c:pt idx="305">
                  <c:v>0.23</c:v>
                </c:pt>
                <c:pt idx="306">
                  <c:v>0.23</c:v>
                </c:pt>
                <c:pt idx="307">
                  <c:v>0.23</c:v>
                </c:pt>
                <c:pt idx="308">
                  <c:v>0.23</c:v>
                </c:pt>
                <c:pt idx="309">
                  <c:v>0.23</c:v>
                </c:pt>
                <c:pt idx="310">
                  <c:v>0.23</c:v>
                </c:pt>
                <c:pt idx="311">
                  <c:v>0.23</c:v>
                </c:pt>
                <c:pt idx="312">
                  <c:v>0.23</c:v>
                </c:pt>
                <c:pt idx="313">
                  <c:v>0.23</c:v>
                </c:pt>
                <c:pt idx="314">
                  <c:v>0.23</c:v>
                </c:pt>
                <c:pt idx="315">
                  <c:v>0.23</c:v>
                </c:pt>
                <c:pt idx="316">
                  <c:v>0.23</c:v>
                </c:pt>
                <c:pt idx="317">
                  <c:v>0.23</c:v>
                </c:pt>
                <c:pt idx="318">
                  <c:v>0.23</c:v>
                </c:pt>
                <c:pt idx="319">
                  <c:v>0.23</c:v>
                </c:pt>
                <c:pt idx="320">
                  <c:v>0.23</c:v>
                </c:pt>
                <c:pt idx="321">
                  <c:v>0.23</c:v>
                </c:pt>
                <c:pt idx="322">
                  <c:v>0.23</c:v>
                </c:pt>
                <c:pt idx="323">
                  <c:v>0.23</c:v>
                </c:pt>
                <c:pt idx="324">
                  <c:v>0.23</c:v>
                </c:pt>
                <c:pt idx="325">
                  <c:v>0.23</c:v>
                </c:pt>
                <c:pt idx="326">
                  <c:v>0.23</c:v>
                </c:pt>
                <c:pt idx="327">
                  <c:v>0.23</c:v>
                </c:pt>
                <c:pt idx="328">
                  <c:v>0.23</c:v>
                </c:pt>
                <c:pt idx="329">
                  <c:v>0.23</c:v>
                </c:pt>
                <c:pt idx="330">
                  <c:v>0.23</c:v>
                </c:pt>
                <c:pt idx="331">
                  <c:v>0.23</c:v>
                </c:pt>
                <c:pt idx="332">
                  <c:v>0.23</c:v>
                </c:pt>
                <c:pt idx="333">
                  <c:v>0.23</c:v>
                </c:pt>
                <c:pt idx="334">
                  <c:v>0.23</c:v>
                </c:pt>
                <c:pt idx="335">
                  <c:v>0.23</c:v>
                </c:pt>
                <c:pt idx="336">
                  <c:v>0.23</c:v>
                </c:pt>
                <c:pt idx="337">
                  <c:v>0.23</c:v>
                </c:pt>
                <c:pt idx="338">
                  <c:v>0.23</c:v>
                </c:pt>
                <c:pt idx="339">
                  <c:v>0.23</c:v>
                </c:pt>
                <c:pt idx="340">
                  <c:v>0.23</c:v>
                </c:pt>
                <c:pt idx="341">
                  <c:v>0.23</c:v>
                </c:pt>
                <c:pt idx="342">
                  <c:v>0.23</c:v>
                </c:pt>
                <c:pt idx="343">
                  <c:v>0.23</c:v>
                </c:pt>
                <c:pt idx="344">
                  <c:v>0.23</c:v>
                </c:pt>
                <c:pt idx="345">
                  <c:v>0.23</c:v>
                </c:pt>
                <c:pt idx="346">
                  <c:v>0.23</c:v>
                </c:pt>
                <c:pt idx="347">
                  <c:v>0.23</c:v>
                </c:pt>
                <c:pt idx="348">
                  <c:v>0.23</c:v>
                </c:pt>
                <c:pt idx="349">
                  <c:v>0.23</c:v>
                </c:pt>
                <c:pt idx="350">
                  <c:v>0.23</c:v>
                </c:pt>
                <c:pt idx="351">
                  <c:v>0.23</c:v>
                </c:pt>
                <c:pt idx="352">
                  <c:v>0.23</c:v>
                </c:pt>
                <c:pt idx="353">
                  <c:v>0.23</c:v>
                </c:pt>
                <c:pt idx="354">
                  <c:v>0.23</c:v>
                </c:pt>
                <c:pt idx="355">
                  <c:v>0.23</c:v>
                </c:pt>
                <c:pt idx="356">
                  <c:v>0.23</c:v>
                </c:pt>
                <c:pt idx="357">
                  <c:v>0.23</c:v>
                </c:pt>
                <c:pt idx="358">
                  <c:v>0.23</c:v>
                </c:pt>
                <c:pt idx="359">
                  <c:v>0.23</c:v>
                </c:pt>
                <c:pt idx="360">
                  <c:v>0.23</c:v>
                </c:pt>
                <c:pt idx="361">
                  <c:v>0.23</c:v>
                </c:pt>
                <c:pt idx="362">
                  <c:v>0.23</c:v>
                </c:pt>
                <c:pt idx="363">
                  <c:v>0.23</c:v>
                </c:pt>
                <c:pt idx="364">
                  <c:v>0.23</c:v>
                </c:pt>
                <c:pt idx="365">
                  <c:v>0.23</c:v>
                </c:pt>
                <c:pt idx="366">
                  <c:v>0.23</c:v>
                </c:pt>
                <c:pt idx="367">
                  <c:v>0.23</c:v>
                </c:pt>
                <c:pt idx="368">
                  <c:v>0.23</c:v>
                </c:pt>
                <c:pt idx="369">
                  <c:v>0.23</c:v>
                </c:pt>
                <c:pt idx="370">
                  <c:v>0.23</c:v>
                </c:pt>
                <c:pt idx="371">
                  <c:v>0.23</c:v>
                </c:pt>
                <c:pt idx="372">
                  <c:v>0.23</c:v>
                </c:pt>
                <c:pt idx="373">
                  <c:v>0.23</c:v>
                </c:pt>
                <c:pt idx="374">
                  <c:v>0.23</c:v>
                </c:pt>
                <c:pt idx="375">
                  <c:v>0.23</c:v>
                </c:pt>
                <c:pt idx="376">
                  <c:v>0.23</c:v>
                </c:pt>
                <c:pt idx="377">
                  <c:v>0.23</c:v>
                </c:pt>
                <c:pt idx="378">
                  <c:v>0.23</c:v>
                </c:pt>
                <c:pt idx="379">
                  <c:v>0.23</c:v>
                </c:pt>
                <c:pt idx="380">
                  <c:v>0.23</c:v>
                </c:pt>
                <c:pt idx="381">
                  <c:v>0.23</c:v>
                </c:pt>
                <c:pt idx="382">
                  <c:v>0.23</c:v>
                </c:pt>
                <c:pt idx="383">
                  <c:v>0.23</c:v>
                </c:pt>
                <c:pt idx="384">
                  <c:v>0.23</c:v>
                </c:pt>
                <c:pt idx="385">
                  <c:v>0.23</c:v>
                </c:pt>
                <c:pt idx="386">
                  <c:v>0.23</c:v>
                </c:pt>
                <c:pt idx="387">
                  <c:v>0.23</c:v>
                </c:pt>
                <c:pt idx="388">
                  <c:v>0.23</c:v>
                </c:pt>
                <c:pt idx="389">
                  <c:v>0.23</c:v>
                </c:pt>
                <c:pt idx="390">
                  <c:v>0.23</c:v>
                </c:pt>
                <c:pt idx="391">
                  <c:v>0.23</c:v>
                </c:pt>
                <c:pt idx="392">
                  <c:v>0.23</c:v>
                </c:pt>
                <c:pt idx="393">
                  <c:v>0.23</c:v>
                </c:pt>
                <c:pt idx="394">
                  <c:v>0.23</c:v>
                </c:pt>
                <c:pt idx="395">
                  <c:v>0.23</c:v>
                </c:pt>
                <c:pt idx="396">
                  <c:v>0.23</c:v>
                </c:pt>
                <c:pt idx="397">
                  <c:v>0.23</c:v>
                </c:pt>
                <c:pt idx="398">
                  <c:v>0.23</c:v>
                </c:pt>
                <c:pt idx="399">
                  <c:v>0.23</c:v>
                </c:pt>
                <c:pt idx="400">
                  <c:v>0.23</c:v>
                </c:pt>
                <c:pt idx="401">
                  <c:v>0.23</c:v>
                </c:pt>
                <c:pt idx="402">
                  <c:v>0.23</c:v>
                </c:pt>
                <c:pt idx="403">
                  <c:v>0.23</c:v>
                </c:pt>
                <c:pt idx="404">
                  <c:v>0.23</c:v>
                </c:pt>
                <c:pt idx="405">
                  <c:v>0.23</c:v>
                </c:pt>
                <c:pt idx="406">
                  <c:v>0.23</c:v>
                </c:pt>
                <c:pt idx="407">
                  <c:v>0.23</c:v>
                </c:pt>
                <c:pt idx="408">
                  <c:v>0.23</c:v>
                </c:pt>
                <c:pt idx="409">
                  <c:v>0.23</c:v>
                </c:pt>
                <c:pt idx="410">
                  <c:v>0.23</c:v>
                </c:pt>
                <c:pt idx="411">
                  <c:v>0.23</c:v>
                </c:pt>
                <c:pt idx="412">
                  <c:v>0.23</c:v>
                </c:pt>
                <c:pt idx="413">
                  <c:v>0.23</c:v>
                </c:pt>
                <c:pt idx="414">
                  <c:v>0.23</c:v>
                </c:pt>
                <c:pt idx="415">
                  <c:v>0.23</c:v>
                </c:pt>
                <c:pt idx="416">
                  <c:v>0.23</c:v>
                </c:pt>
                <c:pt idx="417">
                  <c:v>0.23</c:v>
                </c:pt>
                <c:pt idx="418">
                  <c:v>0.23</c:v>
                </c:pt>
                <c:pt idx="419">
                  <c:v>0.23</c:v>
                </c:pt>
                <c:pt idx="420">
                  <c:v>0.23</c:v>
                </c:pt>
                <c:pt idx="421">
                  <c:v>0.23</c:v>
                </c:pt>
                <c:pt idx="422">
                  <c:v>0.23</c:v>
                </c:pt>
                <c:pt idx="423">
                  <c:v>0.23</c:v>
                </c:pt>
                <c:pt idx="424">
                  <c:v>0.23</c:v>
                </c:pt>
                <c:pt idx="425">
                  <c:v>0.23</c:v>
                </c:pt>
                <c:pt idx="426">
                  <c:v>0.23</c:v>
                </c:pt>
                <c:pt idx="427">
                  <c:v>0.23</c:v>
                </c:pt>
                <c:pt idx="428">
                  <c:v>0.23</c:v>
                </c:pt>
                <c:pt idx="429">
                  <c:v>0.23</c:v>
                </c:pt>
                <c:pt idx="430">
                  <c:v>0.23</c:v>
                </c:pt>
                <c:pt idx="431">
                  <c:v>0.23</c:v>
                </c:pt>
                <c:pt idx="432">
                  <c:v>0.23</c:v>
                </c:pt>
                <c:pt idx="433">
                  <c:v>0.23</c:v>
                </c:pt>
                <c:pt idx="434">
                  <c:v>0.23</c:v>
                </c:pt>
                <c:pt idx="435">
                  <c:v>0.23</c:v>
                </c:pt>
                <c:pt idx="436">
                  <c:v>0.23</c:v>
                </c:pt>
                <c:pt idx="437">
                  <c:v>0.23</c:v>
                </c:pt>
                <c:pt idx="438">
                  <c:v>0.23</c:v>
                </c:pt>
                <c:pt idx="439">
                  <c:v>0.23</c:v>
                </c:pt>
                <c:pt idx="440">
                  <c:v>0.23</c:v>
                </c:pt>
                <c:pt idx="441">
                  <c:v>0.23</c:v>
                </c:pt>
                <c:pt idx="442">
                  <c:v>0.23</c:v>
                </c:pt>
                <c:pt idx="443">
                  <c:v>0.23</c:v>
                </c:pt>
                <c:pt idx="444">
                  <c:v>0.23</c:v>
                </c:pt>
                <c:pt idx="445">
                  <c:v>0.23</c:v>
                </c:pt>
                <c:pt idx="446">
                  <c:v>0.23</c:v>
                </c:pt>
                <c:pt idx="447">
                  <c:v>0.23</c:v>
                </c:pt>
                <c:pt idx="448">
                  <c:v>0.23</c:v>
                </c:pt>
                <c:pt idx="449">
                  <c:v>0.23</c:v>
                </c:pt>
                <c:pt idx="450">
                  <c:v>0.23</c:v>
                </c:pt>
                <c:pt idx="451">
                  <c:v>0.23</c:v>
                </c:pt>
                <c:pt idx="452">
                  <c:v>0.23</c:v>
                </c:pt>
                <c:pt idx="453">
                  <c:v>0.23</c:v>
                </c:pt>
                <c:pt idx="454">
                  <c:v>0.23</c:v>
                </c:pt>
                <c:pt idx="455">
                  <c:v>0.23</c:v>
                </c:pt>
                <c:pt idx="456">
                  <c:v>0.23</c:v>
                </c:pt>
                <c:pt idx="457">
                  <c:v>0.23</c:v>
                </c:pt>
                <c:pt idx="458">
                  <c:v>0.23</c:v>
                </c:pt>
                <c:pt idx="459">
                  <c:v>0.23</c:v>
                </c:pt>
                <c:pt idx="460">
                  <c:v>0.23</c:v>
                </c:pt>
                <c:pt idx="461">
                  <c:v>0.23</c:v>
                </c:pt>
                <c:pt idx="462">
                  <c:v>0.23</c:v>
                </c:pt>
                <c:pt idx="463">
                  <c:v>0.23</c:v>
                </c:pt>
                <c:pt idx="464">
                  <c:v>0.23</c:v>
                </c:pt>
                <c:pt idx="465">
                  <c:v>0.23</c:v>
                </c:pt>
                <c:pt idx="466">
                  <c:v>0.23</c:v>
                </c:pt>
                <c:pt idx="467">
                  <c:v>0.23</c:v>
                </c:pt>
                <c:pt idx="468">
                  <c:v>0.23</c:v>
                </c:pt>
                <c:pt idx="469">
                  <c:v>0.23</c:v>
                </c:pt>
                <c:pt idx="470">
                  <c:v>0.23</c:v>
                </c:pt>
                <c:pt idx="471">
                  <c:v>0.23</c:v>
                </c:pt>
                <c:pt idx="472">
                  <c:v>0.23</c:v>
                </c:pt>
                <c:pt idx="473">
                  <c:v>0.23</c:v>
                </c:pt>
                <c:pt idx="474">
                  <c:v>0.23</c:v>
                </c:pt>
                <c:pt idx="475">
                  <c:v>0.23</c:v>
                </c:pt>
                <c:pt idx="476">
                  <c:v>0.23</c:v>
                </c:pt>
                <c:pt idx="477">
                  <c:v>0.23</c:v>
                </c:pt>
                <c:pt idx="478">
                  <c:v>0.23</c:v>
                </c:pt>
                <c:pt idx="479">
                  <c:v>0.23</c:v>
                </c:pt>
                <c:pt idx="480">
                  <c:v>0.23</c:v>
                </c:pt>
                <c:pt idx="481">
                  <c:v>0.23</c:v>
                </c:pt>
                <c:pt idx="482">
                  <c:v>0.23</c:v>
                </c:pt>
                <c:pt idx="483">
                  <c:v>0.23</c:v>
                </c:pt>
                <c:pt idx="484">
                  <c:v>0.23</c:v>
                </c:pt>
                <c:pt idx="485">
                  <c:v>0.23</c:v>
                </c:pt>
                <c:pt idx="486">
                  <c:v>0.23</c:v>
                </c:pt>
                <c:pt idx="487">
                  <c:v>0.23</c:v>
                </c:pt>
                <c:pt idx="488">
                  <c:v>0.23</c:v>
                </c:pt>
                <c:pt idx="489">
                  <c:v>0.23</c:v>
                </c:pt>
                <c:pt idx="490">
                  <c:v>0.23</c:v>
                </c:pt>
                <c:pt idx="491">
                  <c:v>0.23</c:v>
                </c:pt>
                <c:pt idx="492">
                  <c:v>0.23</c:v>
                </c:pt>
                <c:pt idx="493">
                  <c:v>0.23</c:v>
                </c:pt>
                <c:pt idx="494">
                  <c:v>0.23</c:v>
                </c:pt>
                <c:pt idx="495">
                  <c:v>0.23</c:v>
                </c:pt>
                <c:pt idx="496">
                  <c:v>0.23</c:v>
                </c:pt>
                <c:pt idx="497">
                  <c:v>0.23</c:v>
                </c:pt>
                <c:pt idx="498">
                  <c:v>0.23</c:v>
                </c:pt>
                <c:pt idx="499">
                  <c:v>0.23</c:v>
                </c:pt>
              </c:numCache>
            </c:numRef>
          </c:xVal>
          <c:yVal>
            <c:numRef>
              <c:f>SimData1!$R$9:$R$508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SimData1!$S$8</c:f>
              <c:strCache>
                <c:ptCount val="1"/>
                <c:pt idx="0">
                  <c:v>Discrete Uniform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xVal>
            <c:numRef>
              <c:f>SimData1!$S$9:$S$508</c:f>
              <c:numCache>
                <c:formatCode>General</c:formatCode>
                <c:ptCount val="50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9</c:v>
                </c:pt>
                <c:pt idx="320">
                  <c:v>9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9</c:v>
                </c:pt>
                <c:pt idx="331">
                  <c:v>9</c:v>
                </c:pt>
                <c:pt idx="332">
                  <c:v>9</c:v>
                </c:pt>
                <c:pt idx="333">
                  <c:v>9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  <c:pt idx="401">
                  <c:v>10</c:v>
                </c:pt>
                <c:pt idx="402">
                  <c:v>10</c:v>
                </c:pt>
                <c:pt idx="403">
                  <c:v>10</c:v>
                </c:pt>
                <c:pt idx="404">
                  <c:v>10</c:v>
                </c:pt>
                <c:pt idx="405">
                  <c:v>10</c:v>
                </c:pt>
                <c:pt idx="406">
                  <c:v>10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</c:numCache>
            </c:numRef>
          </c:xVal>
          <c:yVal>
            <c:numRef>
              <c:f>SimData1!$T$9:$T$508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axId val="49278976"/>
        <c:axId val="49280512"/>
      </c:scatterChart>
      <c:valAx>
        <c:axId val="49278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0512"/>
        <c:crosses val="autoZero"/>
        <c:crossBetween val="midCat"/>
      </c:valAx>
      <c:valAx>
        <c:axId val="492805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</a:t>
                </a:r>
              </a:p>
            </c:rich>
          </c:tx>
          <c:layout>
            <c:manualLayout>
              <c:xMode val="edge"/>
              <c:yMode val="edge"/>
              <c:x val="3.0058907377365513E-2"/>
              <c:y val="0.436607747435881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89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567695998908713E-2"/>
          <c:y val="0.89629608063929922"/>
          <c:w val="0.83104038043304651"/>
          <c:h val="9.03989609228477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&amp;F</c:oddFooter>
    </c:headerFooter>
    <c:pageMargins b="1" l="0.75" r="0.75" t="1" header="0.5" footer="0.5"/>
    <c:pageSetup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Model!$H$190</c:f>
          <c:strCache>
            <c:ptCount val="1"/>
            <c:pt idx="0">
              <c:v>CDF Approximations</c:v>
            </c:pt>
          </c:strCache>
        </c:strRef>
      </c:tx>
      <c:layout>
        <c:manualLayout>
          <c:xMode val="edge"/>
          <c:yMode val="edge"/>
          <c:x val="0.34741274335763855"/>
          <c:y val="3.623412766514570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5726735229823502E-2"/>
          <c:y val="0.23914524258996167"/>
          <c:w val="0.87134871847537443"/>
          <c:h val="0.50727778731203987"/>
        </c:manualLayout>
      </c:layout>
      <c:scatterChart>
        <c:scatterStyle val="smoothMarker"/>
        <c:ser>
          <c:idx val="0"/>
          <c:order val="0"/>
          <c:tx>
            <c:strRef>
              <c:f>Model!$I$191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Model!$I$200:$I$299</c:f>
              <c:numCache>
                <c:formatCode>0.000</c:formatCode>
                <c:ptCount val="100"/>
                <c:pt idx="0">
                  <c:v>2</c:v>
                </c:pt>
                <c:pt idx="1">
                  <c:v>2.1717171717171717</c:v>
                </c:pt>
                <c:pt idx="2">
                  <c:v>2.3434343434343434</c:v>
                </c:pt>
                <c:pt idx="3">
                  <c:v>2.5151515151515151</c:v>
                </c:pt>
                <c:pt idx="4">
                  <c:v>2.6868686868686869</c:v>
                </c:pt>
                <c:pt idx="5">
                  <c:v>2.8585858585858586</c:v>
                </c:pt>
                <c:pt idx="6">
                  <c:v>3.0303030303030303</c:v>
                </c:pt>
                <c:pt idx="7">
                  <c:v>3.202020202020202</c:v>
                </c:pt>
                <c:pt idx="8">
                  <c:v>3.3737373737373737</c:v>
                </c:pt>
                <c:pt idx="9">
                  <c:v>3.5454545454545454</c:v>
                </c:pt>
                <c:pt idx="10">
                  <c:v>3.7171717171717171</c:v>
                </c:pt>
                <c:pt idx="11">
                  <c:v>3.8888888888888888</c:v>
                </c:pt>
                <c:pt idx="12">
                  <c:v>4.0606060606060606</c:v>
                </c:pt>
                <c:pt idx="13">
                  <c:v>4.2323232323232327</c:v>
                </c:pt>
                <c:pt idx="14">
                  <c:v>4.4040404040404049</c:v>
                </c:pt>
                <c:pt idx="15">
                  <c:v>4.575757575757577</c:v>
                </c:pt>
                <c:pt idx="16">
                  <c:v>4.7474747474747492</c:v>
                </c:pt>
                <c:pt idx="17">
                  <c:v>4.9191919191919213</c:v>
                </c:pt>
                <c:pt idx="18">
                  <c:v>5.0909090909090935</c:v>
                </c:pt>
                <c:pt idx="19">
                  <c:v>5.2626262626262656</c:v>
                </c:pt>
                <c:pt idx="20">
                  <c:v>5.4343434343434378</c:v>
                </c:pt>
                <c:pt idx="21">
                  <c:v>5.60606060606061</c:v>
                </c:pt>
                <c:pt idx="22">
                  <c:v>5.7777777777777821</c:v>
                </c:pt>
                <c:pt idx="23">
                  <c:v>5.9494949494949543</c:v>
                </c:pt>
                <c:pt idx="24">
                  <c:v>6.1212121212121264</c:v>
                </c:pt>
                <c:pt idx="25">
                  <c:v>6.2929292929292986</c:v>
                </c:pt>
                <c:pt idx="26">
                  <c:v>6.4646464646464707</c:v>
                </c:pt>
                <c:pt idx="27">
                  <c:v>6.6363636363636429</c:v>
                </c:pt>
                <c:pt idx="28">
                  <c:v>6.8080808080808151</c:v>
                </c:pt>
                <c:pt idx="29">
                  <c:v>6.9797979797979872</c:v>
                </c:pt>
                <c:pt idx="30">
                  <c:v>7.1515151515151594</c:v>
                </c:pt>
                <c:pt idx="31">
                  <c:v>7.3232323232323315</c:v>
                </c:pt>
                <c:pt idx="32">
                  <c:v>7.4949494949495037</c:v>
                </c:pt>
                <c:pt idx="33">
                  <c:v>7.6666666666666758</c:v>
                </c:pt>
                <c:pt idx="34">
                  <c:v>7.838383838383848</c:v>
                </c:pt>
                <c:pt idx="35">
                  <c:v>8.0101010101010193</c:v>
                </c:pt>
                <c:pt idx="36">
                  <c:v>8.1818181818181905</c:v>
                </c:pt>
                <c:pt idx="37">
                  <c:v>8.3535353535353618</c:v>
                </c:pt>
                <c:pt idx="38">
                  <c:v>8.5252525252525331</c:v>
                </c:pt>
                <c:pt idx="39">
                  <c:v>8.6969696969697043</c:v>
                </c:pt>
                <c:pt idx="40">
                  <c:v>8.8686868686868756</c:v>
                </c:pt>
                <c:pt idx="41">
                  <c:v>9.0404040404040469</c:v>
                </c:pt>
                <c:pt idx="42">
                  <c:v>9.2121212121212182</c:v>
                </c:pt>
                <c:pt idx="43">
                  <c:v>9.3838383838383894</c:v>
                </c:pt>
                <c:pt idx="44">
                  <c:v>9.5555555555555607</c:v>
                </c:pt>
                <c:pt idx="45">
                  <c:v>9.727272727272732</c:v>
                </c:pt>
                <c:pt idx="46">
                  <c:v>9.8989898989899032</c:v>
                </c:pt>
                <c:pt idx="47">
                  <c:v>10.070707070707074</c:v>
                </c:pt>
                <c:pt idx="48">
                  <c:v>10.242424242424246</c:v>
                </c:pt>
                <c:pt idx="49">
                  <c:v>10.414141414141417</c:v>
                </c:pt>
                <c:pt idx="50">
                  <c:v>10.585858585858588</c:v>
                </c:pt>
                <c:pt idx="51">
                  <c:v>10.75757575757576</c:v>
                </c:pt>
                <c:pt idx="52">
                  <c:v>10.929292929292931</c:v>
                </c:pt>
                <c:pt idx="53">
                  <c:v>11.101010101010102</c:v>
                </c:pt>
                <c:pt idx="54">
                  <c:v>11.272727272727273</c:v>
                </c:pt>
                <c:pt idx="55">
                  <c:v>11.444444444444445</c:v>
                </c:pt>
                <c:pt idx="56">
                  <c:v>11.616161616161616</c:v>
                </c:pt>
                <c:pt idx="57">
                  <c:v>11.787878787878787</c:v>
                </c:pt>
                <c:pt idx="58">
                  <c:v>11.959595959595958</c:v>
                </c:pt>
                <c:pt idx="59">
                  <c:v>12.13131313131313</c:v>
                </c:pt>
                <c:pt idx="60">
                  <c:v>12.303030303030301</c:v>
                </c:pt>
                <c:pt idx="61">
                  <c:v>12.474747474747472</c:v>
                </c:pt>
                <c:pt idx="62">
                  <c:v>12.646464646464644</c:v>
                </c:pt>
                <c:pt idx="63">
                  <c:v>12.818181818181815</c:v>
                </c:pt>
                <c:pt idx="64">
                  <c:v>12.989898989898986</c:v>
                </c:pt>
                <c:pt idx="65">
                  <c:v>13.161616161616157</c:v>
                </c:pt>
                <c:pt idx="66">
                  <c:v>13.333333333333329</c:v>
                </c:pt>
                <c:pt idx="67">
                  <c:v>13.5050505050505</c:v>
                </c:pt>
                <c:pt idx="68">
                  <c:v>13.676767676767671</c:v>
                </c:pt>
                <c:pt idx="69">
                  <c:v>13.848484848484842</c:v>
                </c:pt>
                <c:pt idx="70">
                  <c:v>14.020202020202014</c:v>
                </c:pt>
                <c:pt idx="71">
                  <c:v>14.191919191919185</c:v>
                </c:pt>
                <c:pt idx="72">
                  <c:v>14.363636363636356</c:v>
                </c:pt>
                <c:pt idx="73">
                  <c:v>14.535353535353527</c:v>
                </c:pt>
                <c:pt idx="74">
                  <c:v>14.707070707070699</c:v>
                </c:pt>
                <c:pt idx="75">
                  <c:v>14.87878787878787</c:v>
                </c:pt>
                <c:pt idx="76">
                  <c:v>15.050505050505041</c:v>
                </c:pt>
                <c:pt idx="77">
                  <c:v>15.222222222222213</c:v>
                </c:pt>
                <c:pt idx="78">
                  <c:v>15.393939393939384</c:v>
                </c:pt>
                <c:pt idx="79">
                  <c:v>15.565656565656555</c:v>
                </c:pt>
                <c:pt idx="80">
                  <c:v>15.737373737373726</c:v>
                </c:pt>
                <c:pt idx="81">
                  <c:v>15.909090909090898</c:v>
                </c:pt>
                <c:pt idx="82">
                  <c:v>16.080808080808069</c:v>
                </c:pt>
                <c:pt idx="83">
                  <c:v>16.252525252525242</c:v>
                </c:pt>
                <c:pt idx="84">
                  <c:v>16.424242424242415</c:v>
                </c:pt>
                <c:pt idx="85">
                  <c:v>16.595959595959588</c:v>
                </c:pt>
                <c:pt idx="86">
                  <c:v>16.767676767676761</c:v>
                </c:pt>
                <c:pt idx="87">
                  <c:v>16.939393939393934</c:v>
                </c:pt>
                <c:pt idx="88">
                  <c:v>17.111111111111107</c:v>
                </c:pt>
                <c:pt idx="89">
                  <c:v>17.28282828282828</c:v>
                </c:pt>
                <c:pt idx="90">
                  <c:v>17.454545454545453</c:v>
                </c:pt>
                <c:pt idx="91">
                  <c:v>17.626262626262626</c:v>
                </c:pt>
                <c:pt idx="92">
                  <c:v>17.797979797979799</c:v>
                </c:pt>
                <c:pt idx="93">
                  <c:v>17.969696969696972</c:v>
                </c:pt>
                <c:pt idx="94">
                  <c:v>18.141414141414145</c:v>
                </c:pt>
                <c:pt idx="95">
                  <c:v>18.313131313131318</c:v>
                </c:pt>
                <c:pt idx="96">
                  <c:v>18.484848484848492</c:v>
                </c:pt>
                <c:pt idx="97">
                  <c:v>18.656565656565665</c:v>
                </c:pt>
                <c:pt idx="98">
                  <c:v>18.828282828282838</c:v>
                </c:pt>
                <c:pt idx="99">
                  <c:v>19.000000000000011</c:v>
                </c:pt>
              </c:numCache>
            </c:numRef>
          </c:xVal>
          <c:yVal>
            <c:numRef>
              <c:f>Model!$J$200:$J$299</c:f>
              <c:numCache>
                <c:formatCode>0.000</c:formatCode>
                <c:ptCount val="100"/>
                <c:pt idx="0">
                  <c:v>0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0.22222222222222221</c:v>
                </c:pt>
                <c:pt idx="4">
                  <c:v>0.22222222222222221</c:v>
                </c:pt>
                <c:pt idx="5">
                  <c:v>0.22222222222222221</c:v>
                </c:pt>
                <c:pt idx="6">
                  <c:v>0.22222222222222221</c:v>
                </c:pt>
                <c:pt idx="7">
                  <c:v>0.22222222222222221</c:v>
                </c:pt>
                <c:pt idx="8">
                  <c:v>0.22222222222222221</c:v>
                </c:pt>
                <c:pt idx="9">
                  <c:v>0.22222222222222221</c:v>
                </c:pt>
                <c:pt idx="10">
                  <c:v>0.22222222222222221</c:v>
                </c:pt>
                <c:pt idx="11">
                  <c:v>0.22222222222222221</c:v>
                </c:pt>
                <c:pt idx="12">
                  <c:v>0.22222222222222221</c:v>
                </c:pt>
                <c:pt idx="13">
                  <c:v>0.22222222222222221</c:v>
                </c:pt>
                <c:pt idx="14">
                  <c:v>0.22222222222222221</c:v>
                </c:pt>
                <c:pt idx="15">
                  <c:v>0.22222222222222221</c:v>
                </c:pt>
                <c:pt idx="16">
                  <c:v>0.22222222222222221</c:v>
                </c:pt>
                <c:pt idx="17">
                  <c:v>0.22222222222222221</c:v>
                </c:pt>
                <c:pt idx="18">
                  <c:v>0.33333333333333331</c:v>
                </c:pt>
                <c:pt idx="19">
                  <c:v>0.33333333333333331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0.33333333333333331</c:v>
                </c:pt>
                <c:pt idx="24">
                  <c:v>0.33333333333333331</c:v>
                </c:pt>
                <c:pt idx="25">
                  <c:v>0.33333333333333331</c:v>
                </c:pt>
                <c:pt idx="26">
                  <c:v>0.33333333333333331</c:v>
                </c:pt>
                <c:pt idx="27">
                  <c:v>0.44444444444444442</c:v>
                </c:pt>
                <c:pt idx="28">
                  <c:v>0.44444444444444442</c:v>
                </c:pt>
                <c:pt idx="29">
                  <c:v>0.44444444444444442</c:v>
                </c:pt>
                <c:pt idx="30">
                  <c:v>0.44444444444444442</c:v>
                </c:pt>
                <c:pt idx="31">
                  <c:v>0.44444444444444442</c:v>
                </c:pt>
                <c:pt idx="32">
                  <c:v>0.44444444444444442</c:v>
                </c:pt>
                <c:pt idx="33">
                  <c:v>0.44444444444444442</c:v>
                </c:pt>
                <c:pt idx="34">
                  <c:v>0.44444444444444442</c:v>
                </c:pt>
                <c:pt idx="35">
                  <c:v>0.44444444444444442</c:v>
                </c:pt>
                <c:pt idx="36">
                  <c:v>0.44444444444444442</c:v>
                </c:pt>
                <c:pt idx="37">
                  <c:v>0.44444444444444442</c:v>
                </c:pt>
                <c:pt idx="38">
                  <c:v>0.44444444444444442</c:v>
                </c:pt>
                <c:pt idx="39">
                  <c:v>0.44444444444444442</c:v>
                </c:pt>
                <c:pt idx="40">
                  <c:v>0.44444444444444442</c:v>
                </c:pt>
                <c:pt idx="41">
                  <c:v>0.55555555555555558</c:v>
                </c:pt>
                <c:pt idx="42">
                  <c:v>0.55555555555555558</c:v>
                </c:pt>
                <c:pt idx="43">
                  <c:v>0.55555555555555558</c:v>
                </c:pt>
                <c:pt idx="44">
                  <c:v>0.55555555555555558</c:v>
                </c:pt>
                <c:pt idx="45">
                  <c:v>0.55555555555555558</c:v>
                </c:pt>
                <c:pt idx="46">
                  <c:v>0.55555555555555558</c:v>
                </c:pt>
                <c:pt idx="47">
                  <c:v>0.66666666666666663</c:v>
                </c:pt>
                <c:pt idx="48">
                  <c:v>0.66666666666666663</c:v>
                </c:pt>
                <c:pt idx="49">
                  <c:v>0.66666666666666663</c:v>
                </c:pt>
                <c:pt idx="50">
                  <c:v>0.66666666666666663</c:v>
                </c:pt>
                <c:pt idx="51">
                  <c:v>0.66666666666666663</c:v>
                </c:pt>
                <c:pt idx="52">
                  <c:v>0.66666666666666663</c:v>
                </c:pt>
                <c:pt idx="53">
                  <c:v>0.77777777777777779</c:v>
                </c:pt>
                <c:pt idx="54">
                  <c:v>0.77777777777777779</c:v>
                </c:pt>
                <c:pt idx="55">
                  <c:v>0.77777777777777779</c:v>
                </c:pt>
                <c:pt idx="56">
                  <c:v>0.77777777777777779</c:v>
                </c:pt>
                <c:pt idx="57">
                  <c:v>0.77777777777777779</c:v>
                </c:pt>
                <c:pt idx="58">
                  <c:v>0.77777777777777779</c:v>
                </c:pt>
                <c:pt idx="59">
                  <c:v>0.77777777777777779</c:v>
                </c:pt>
                <c:pt idx="60">
                  <c:v>0.77777777777777779</c:v>
                </c:pt>
                <c:pt idx="61">
                  <c:v>0.77777777777777779</c:v>
                </c:pt>
                <c:pt idx="62">
                  <c:v>0.77777777777777779</c:v>
                </c:pt>
                <c:pt idx="63">
                  <c:v>0.77777777777777779</c:v>
                </c:pt>
                <c:pt idx="64">
                  <c:v>0.77777777777777779</c:v>
                </c:pt>
                <c:pt idx="65">
                  <c:v>0.77777777777777779</c:v>
                </c:pt>
                <c:pt idx="66">
                  <c:v>0.77777777777777779</c:v>
                </c:pt>
                <c:pt idx="67">
                  <c:v>0.77777777777777779</c:v>
                </c:pt>
                <c:pt idx="68">
                  <c:v>0.77777777777777779</c:v>
                </c:pt>
                <c:pt idx="69">
                  <c:v>0.77777777777777779</c:v>
                </c:pt>
                <c:pt idx="70">
                  <c:v>0.77777777777777779</c:v>
                </c:pt>
                <c:pt idx="71">
                  <c:v>0.77777777777777779</c:v>
                </c:pt>
                <c:pt idx="72">
                  <c:v>0.77777777777777779</c:v>
                </c:pt>
                <c:pt idx="73">
                  <c:v>0.77777777777777779</c:v>
                </c:pt>
                <c:pt idx="74">
                  <c:v>0.77777777777777779</c:v>
                </c:pt>
                <c:pt idx="75">
                  <c:v>0.77777777777777779</c:v>
                </c:pt>
                <c:pt idx="76">
                  <c:v>0.88888888888888884</c:v>
                </c:pt>
                <c:pt idx="77">
                  <c:v>0.88888888888888884</c:v>
                </c:pt>
                <c:pt idx="78">
                  <c:v>0.88888888888888884</c:v>
                </c:pt>
                <c:pt idx="79">
                  <c:v>0.88888888888888884</c:v>
                </c:pt>
                <c:pt idx="80">
                  <c:v>0.88888888888888884</c:v>
                </c:pt>
                <c:pt idx="81">
                  <c:v>0.88888888888888884</c:v>
                </c:pt>
                <c:pt idx="82">
                  <c:v>0.88888888888888884</c:v>
                </c:pt>
                <c:pt idx="83">
                  <c:v>0.88888888888888884</c:v>
                </c:pt>
                <c:pt idx="84">
                  <c:v>0.88888888888888884</c:v>
                </c:pt>
                <c:pt idx="85">
                  <c:v>0.88888888888888884</c:v>
                </c:pt>
                <c:pt idx="86">
                  <c:v>0.88888888888888884</c:v>
                </c:pt>
                <c:pt idx="87">
                  <c:v>0.88888888888888884</c:v>
                </c:pt>
                <c:pt idx="88">
                  <c:v>0.88888888888888884</c:v>
                </c:pt>
                <c:pt idx="89">
                  <c:v>0.88888888888888884</c:v>
                </c:pt>
                <c:pt idx="90">
                  <c:v>0.88888888888888884</c:v>
                </c:pt>
                <c:pt idx="91">
                  <c:v>0.88888888888888884</c:v>
                </c:pt>
                <c:pt idx="92">
                  <c:v>0.88888888888888884</c:v>
                </c:pt>
                <c:pt idx="93">
                  <c:v>0.88888888888888884</c:v>
                </c:pt>
                <c:pt idx="94">
                  <c:v>0.88888888888888884</c:v>
                </c:pt>
                <c:pt idx="95">
                  <c:v>0.88888888888888884</c:v>
                </c:pt>
                <c:pt idx="96">
                  <c:v>0.88888888888888884</c:v>
                </c:pt>
                <c:pt idx="97">
                  <c:v>0.88888888888888884</c:v>
                </c:pt>
                <c:pt idx="98">
                  <c:v>0.88888888888888884</c:v>
                </c:pt>
                <c:pt idx="99">
                  <c:v>1</c:v>
                </c:pt>
              </c:numCache>
            </c:numRef>
          </c:yVal>
        </c:ser>
        <c:ser>
          <c:idx val="1"/>
          <c:order val="1"/>
          <c:tx>
            <c:strRef>
              <c:f>Model!$K$191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Model!$K$200:$K$299</c:f>
              <c:numCache>
                <c:formatCode>0.000</c:formatCode>
                <c:ptCount val="100"/>
                <c:pt idx="0">
                  <c:v>-7</c:v>
                </c:pt>
                <c:pt idx="1">
                  <c:v>-6.6565656565656566</c:v>
                </c:pt>
                <c:pt idx="2">
                  <c:v>-6.3131313131313131</c:v>
                </c:pt>
                <c:pt idx="3">
                  <c:v>-5.9696969696969697</c:v>
                </c:pt>
                <c:pt idx="4">
                  <c:v>-5.6262626262626263</c:v>
                </c:pt>
                <c:pt idx="5">
                  <c:v>-5.2828282828282829</c:v>
                </c:pt>
                <c:pt idx="6">
                  <c:v>-4.9393939393939394</c:v>
                </c:pt>
                <c:pt idx="7">
                  <c:v>-4.595959595959596</c:v>
                </c:pt>
                <c:pt idx="8">
                  <c:v>-4.2525252525252526</c:v>
                </c:pt>
                <c:pt idx="9">
                  <c:v>-3.9090909090909092</c:v>
                </c:pt>
                <c:pt idx="10">
                  <c:v>-3.5656565656565657</c:v>
                </c:pt>
                <c:pt idx="11">
                  <c:v>-3.2222222222222223</c:v>
                </c:pt>
                <c:pt idx="12">
                  <c:v>-2.8787878787878789</c:v>
                </c:pt>
                <c:pt idx="13">
                  <c:v>-2.5353535353535355</c:v>
                </c:pt>
                <c:pt idx="14">
                  <c:v>-2.191919191919192</c:v>
                </c:pt>
                <c:pt idx="15">
                  <c:v>-1.8484848484848486</c:v>
                </c:pt>
                <c:pt idx="16">
                  <c:v>-1.5050505050505052</c:v>
                </c:pt>
                <c:pt idx="17">
                  <c:v>-1.1616161616161618</c:v>
                </c:pt>
                <c:pt idx="18">
                  <c:v>-0.81818181818181834</c:v>
                </c:pt>
                <c:pt idx="19">
                  <c:v>-0.47474747474747486</c:v>
                </c:pt>
                <c:pt idx="20">
                  <c:v>-0.13131313131313138</c:v>
                </c:pt>
                <c:pt idx="21">
                  <c:v>0.2121212121212121</c:v>
                </c:pt>
                <c:pt idx="22">
                  <c:v>0.55555555555555558</c:v>
                </c:pt>
                <c:pt idx="23">
                  <c:v>0.89898989898989901</c:v>
                </c:pt>
                <c:pt idx="24">
                  <c:v>1.2424242424242424</c:v>
                </c:pt>
                <c:pt idx="25">
                  <c:v>1.5858585858585859</c:v>
                </c:pt>
                <c:pt idx="26">
                  <c:v>1.9292929292929293</c:v>
                </c:pt>
                <c:pt idx="27">
                  <c:v>2.2727272727272729</c:v>
                </c:pt>
                <c:pt idx="28">
                  <c:v>2.6161616161616164</c:v>
                </c:pt>
                <c:pt idx="29">
                  <c:v>2.9595959595959598</c:v>
                </c:pt>
                <c:pt idx="30">
                  <c:v>3.3030303030303032</c:v>
                </c:pt>
                <c:pt idx="31">
                  <c:v>3.6464646464646466</c:v>
                </c:pt>
                <c:pt idx="32">
                  <c:v>3.9898989898989901</c:v>
                </c:pt>
                <c:pt idx="33">
                  <c:v>4.3333333333333339</c:v>
                </c:pt>
                <c:pt idx="34">
                  <c:v>4.6767676767676774</c:v>
                </c:pt>
                <c:pt idx="35">
                  <c:v>5.0202020202020208</c:v>
                </c:pt>
                <c:pt idx="36">
                  <c:v>5.3636363636363642</c:v>
                </c:pt>
                <c:pt idx="37">
                  <c:v>5.7070707070707076</c:v>
                </c:pt>
                <c:pt idx="38">
                  <c:v>6.0505050505050511</c:v>
                </c:pt>
                <c:pt idx="39">
                  <c:v>6.3939393939393945</c:v>
                </c:pt>
                <c:pt idx="40">
                  <c:v>6.7373737373737379</c:v>
                </c:pt>
                <c:pt idx="41">
                  <c:v>7.0808080808080813</c:v>
                </c:pt>
                <c:pt idx="42">
                  <c:v>7.4242424242424248</c:v>
                </c:pt>
                <c:pt idx="43">
                  <c:v>7.7676767676767682</c:v>
                </c:pt>
                <c:pt idx="44">
                  <c:v>8.1111111111111125</c:v>
                </c:pt>
                <c:pt idx="45">
                  <c:v>8.4545454545454568</c:v>
                </c:pt>
                <c:pt idx="46">
                  <c:v>8.7979797979798011</c:v>
                </c:pt>
                <c:pt idx="47">
                  <c:v>9.1414141414141454</c:v>
                </c:pt>
                <c:pt idx="48">
                  <c:v>9.4848484848484897</c:v>
                </c:pt>
                <c:pt idx="49">
                  <c:v>9.8282828282828341</c:v>
                </c:pt>
                <c:pt idx="50">
                  <c:v>10.171717171717178</c:v>
                </c:pt>
                <c:pt idx="51">
                  <c:v>10.515151515151523</c:v>
                </c:pt>
                <c:pt idx="52">
                  <c:v>10.858585858585867</c:v>
                </c:pt>
                <c:pt idx="53">
                  <c:v>11.202020202020211</c:v>
                </c:pt>
                <c:pt idx="54">
                  <c:v>11.545454545454556</c:v>
                </c:pt>
                <c:pt idx="55">
                  <c:v>11.8888888888889</c:v>
                </c:pt>
                <c:pt idx="56">
                  <c:v>12.232323232323244</c:v>
                </c:pt>
                <c:pt idx="57">
                  <c:v>12.575757575757589</c:v>
                </c:pt>
                <c:pt idx="58">
                  <c:v>12.919191919191933</c:v>
                </c:pt>
                <c:pt idx="59">
                  <c:v>13.262626262626277</c:v>
                </c:pt>
                <c:pt idx="60">
                  <c:v>13.606060606060622</c:v>
                </c:pt>
                <c:pt idx="61">
                  <c:v>13.949494949494966</c:v>
                </c:pt>
                <c:pt idx="62">
                  <c:v>14.29292929292931</c:v>
                </c:pt>
                <c:pt idx="63">
                  <c:v>14.636363636363654</c:v>
                </c:pt>
                <c:pt idx="64">
                  <c:v>14.979797979797999</c:v>
                </c:pt>
                <c:pt idx="65">
                  <c:v>15.323232323232343</c:v>
                </c:pt>
                <c:pt idx="66">
                  <c:v>15.666666666666687</c:v>
                </c:pt>
                <c:pt idx="67">
                  <c:v>16.010101010101032</c:v>
                </c:pt>
                <c:pt idx="68">
                  <c:v>16.353535353535374</c:v>
                </c:pt>
                <c:pt idx="69">
                  <c:v>16.696969696969717</c:v>
                </c:pt>
                <c:pt idx="70">
                  <c:v>17.040404040404059</c:v>
                </c:pt>
                <c:pt idx="71">
                  <c:v>17.383838383838402</c:v>
                </c:pt>
                <c:pt idx="72">
                  <c:v>17.727272727272744</c:v>
                </c:pt>
                <c:pt idx="73">
                  <c:v>18.070707070707087</c:v>
                </c:pt>
                <c:pt idx="74">
                  <c:v>18.414141414141429</c:v>
                </c:pt>
                <c:pt idx="75">
                  <c:v>18.757575757575772</c:v>
                </c:pt>
                <c:pt idx="76">
                  <c:v>19.101010101010115</c:v>
                </c:pt>
                <c:pt idx="77">
                  <c:v>19.444444444444457</c:v>
                </c:pt>
                <c:pt idx="78">
                  <c:v>19.7878787878788</c:v>
                </c:pt>
                <c:pt idx="79">
                  <c:v>20.131313131313142</c:v>
                </c:pt>
                <c:pt idx="80">
                  <c:v>20.474747474747485</c:v>
                </c:pt>
                <c:pt idx="81">
                  <c:v>20.818181818181827</c:v>
                </c:pt>
                <c:pt idx="82">
                  <c:v>21.16161616161617</c:v>
                </c:pt>
                <c:pt idx="83">
                  <c:v>21.505050505050512</c:v>
                </c:pt>
                <c:pt idx="84">
                  <c:v>21.848484848484855</c:v>
                </c:pt>
                <c:pt idx="85">
                  <c:v>22.191919191919197</c:v>
                </c:pt>
                <c:pt idx="86">
                  <c:v>22.53535353535354</c:v>
                </c:pt>
                <c:pt idx="87">
                  <c:v>22.878787878787882</c:v>
                </c:pt>
                <c:pt idx="88">
                  <c:v>23.222222222222225</c:v>
                </c:pt>
                <c:pt idx="89">
                  <c:v>23.565656565656568</c:v>
                </c:pt>
                <c:pt idx="90">
                  <c:v>23.90909090909091</c:v>
                </c:pt>
                <c:pt idx="91">
                  <c:v>24.252525252525253</c:v>
                </c:pt>
                <c:pt idx="92">
                  <c:v>24.595959595959595</c:v>
                </c:pt>
                <c:pt idx="93">
                  <c:v>24.939393939393938</c:v>
                </c:pt>
                <c:pt idx="94">
                  <c:v>25.28282828282828</c:v>
                </c:pt>
                <c:pt idx="95">
                  <c:v>25.626262626262623</c:v>
                </c:pt>
                <c:pt idx="96">
                  <c:v>25.969696969696965</c:v>
                </c:pt>
                <c:pt idx="97">
                  <c:v>26.313131313131308</c:v>
                </c:pt>
                <c:pt idx="98">
                  <c:v>26.65656565656565</c:v>
                </c:pt>
                <c:pt idx="99">
                  <c:v>26.999999999999993</c:v>
                </c:pt>
              </c:numCache>
            </c:numRef>
          </c:xVal>
          <c:yVal>
            <c:numRef>
              <c:f>Model!$L$200:$L$299</c:f>
              <c:numCache>
                <c:formatCode>0.000</c:formatCode>
                <c:ptCount val="100"/>
                <c:pt idx="0">
                  <c:v>2.7460205645305863E-4</c:v>
                </c:pt>
                <c:pt idx="1">
                  <c:v>3.9718423878725643E-4</c:v>
                </c:pt>
                <c:pt idx="2">
                  <c:v>5.6789672601221934E-4</c:v>
                </c:pt>
                <c:pt idx="3">
                  <c:v>8.0272417313080136E-4</c:v>
                </c:pt>
                <c:pt idx="4">
                  <c:v>1.1218010006520303E-3</c:v>
                </c:pt>
                <c:pt idx="5">
                  <c:v>1.5500771086560301E-3</c:v>
                </c:pt>
                <c:pt idx="6">
                  <c:v>2.1179567677355924E-3</c:v>
                </c:pt>
                <c:pt idx="7">
                  <c:v>2.8618610258701236E-3</c:v>
                </c:pt>
                <c:pt idx="8">
                  <c:v>3.8246551367621859E-3</c:v>
                </c:pt>
                <c:pt idx="9">
                  <c:v>5.0558766724568089E-3</c:v>
                </c:pt>
                <c:pt idx="10">
                  <c:v>6.6116986447505421E-3</c:v>
                </c:pt>
                <c:pt idx="11">
                  <c:v>8.5545665021894545E-3</c:v>
                </c:pt>
                <c:pt idx="12">
                  <c:v>1.0952459300675553E-2</c:v>
                </c:pt>
                <c:pt idx="13">
                  <c:v>1.387774407083712E-2</c:v>
                </c:pt>
                <c:pt idx="14">
                  <c:v>1.7405618024267457E-2</c:v>
                </c:pt>
                <c:pt idx="15">
                  <c:v>2.1612164422406877E-2</c:v>
                </c:pt>
                <c:pt idx="16">
                  <c:v>2.6572082402582537E-2</c:v>
                </c:pt>
                <c:pt idx="17">
                  <c:v>3.2356185728058921E-2</c:v>
                </c:pt>
                <c:pt idx="18">
                  <c:v>3.9028796676609551E-2</c:v>
                </c:pt>
                <c:pt idx="19">
                  <c:v>4.6645185341902158E-2</c:v>
                </c:pt>
                <c:pt idx="20">
                  <c:v>5.5249218076877007E-2</c:v>
                </c:pt>
                <c:pt idx="21">
                  <c:v>6.4871379084574229E-2</c:v>
                </c:pt>
                <c:pt idx="22">
                  <c:v>7.5527314961119224E-2</c:v>
                </c:pt>
                <c:pt idx="23">
                  <c:v>8.7217023584593656E-2</c:v>
                </c:pt>
                <c:pt idx="24">
                  <c:v>9.9924768042298079E-2</c:v>
                </c:pt>
                <c:pt idx="25">
                  <c:v>0.11361974672774444</c:v>
                </c:pt>
                <c:pt idx="26">
                  <c:v>0.12825749689450713</c:v>
                </c:pt>
                <c:pt idx="27">
                  <c:v>0.14378189976380673</c:v>
                </c:pt>
                <c:pt idx="28">
                  <c:v>0.16012768633761051</c:v>
                </c:pt>
                <c:pt idx="29">
                  <c:v>0.17722330613850121</c:v>
                </c:pt>
                <c:pt idx="30">
                  <c:v>0.19499395430966299</c:v>
                </c:pt>
                <c:pt idx="31">
                  <c:v>0.21336443338305613</c:v>
                </c:pt>
                <c:pt idx="32">
                  <c:v>0.23226178014840004</c:v>
                </c:pt>
                <c:pt idx="33">
                  <c:v>0.25161745897383186</c:v>
                </c:pt>
                <c:pt idx="34">
                  <c:v>0.27136895481959411</c:v>
                </c:pt>
                <c:pt idx="35">
                  <c:v>0.29146068381352913</c:v>
                </c:pt>
                <c:pt idx="36">
                  <c:v>0.31184408963717403</c:v>
                </c:pt>
                <c:pt idx="37">
                  <c:v>0.33247716819631506</c:v>
                </c:pt>
                <c:pt idx="38">
                  <c:v>0.35332331765216474</c:v>
                </c:pt>
                <c:pt idx="39">
                  <c:v>0.37434962218780249</c:v>
                </c:pt>
                <c:pt idx="40">
                  <c:v>0.39552482694519636</c:v>
                </c:pt>
                <c:pt idx="41">
                  <c:v>0.4168171083188919</c:v>
                </c:pt>
                <c:pt idx="42">
                  <c:v>0.43819207164500074</c:v>
                </c:pt>
                <c:pt idx="43">
                  <c:v>0.45961078733127586</c:v>
                </c:pt>
                <c:pt idx="44">
                  <c:v>0.48102837546982768</c:v>
                </c:pt>
                <c:pt idx="45">
                  <c:v>0.50239318724619775</c:v>
                </c:pt>
                <c:pt idx="46">
                  <c:v>0.52364668822861704</c:v>
                </c:pt>
                <c:pt idx="47">
                  <c:v>0.54472408342723411</c:v>
                </c:pt>
                <c:pt idx="48">
                  <c:v>0.56555557289986358</c:v>
                </c:pt>
                <c:pt idx="49">
                  <c:v>0.58606848103198528</c:v>
                </c:pt>
                <c:pt idx="50">
                  <c:v>0.60618966404399566</c:v>
                </c:pt>
                <c:pt idx="51">
                  <c:v>0.62584820779197947</c:v>
                </c:pt>
                <c:pt idx="52">
                  <c:v>0.64497845593831882</c:v>
                </c:pt>
                <c:pt idx="53">
                  <c:v>0.66352264275442008</c:v>
                </c:pt>
                <c:pt idx="54">
                  <c:v>0.68143317540430204</c:v>
                </c:pt>
                <c:pt idx="55">
                  <c:v>0.69867458674979732</c:v>
                </c:pt>
                <c:pt idx="56">
                  <c:v>0.71522457517897164</c:v>
                </c:pt>
                <c:pt idx="57">
                  <c:v>0.73107438750796494</c:v>
                </c:pt>
                <c:pt idx="58">
                  <c:v>0.74622844481445438</c:v>
                </c:pt>
                <c:pt idx="59">
                  <c:v>0.76070325683973106</c:v>
                </c:pt>
                <c:pt idx="60">
                  <c:v>0.77452573463171381</c:v>
                </c:pt>
                <c:pt idx="61">
                  <c:v>0.78773104749096001</c:v>
                </c:pt>
                <c:pt idx="62">
                  <c:v>0.80036019098902123</c:v>
                </c:pt>
                <c:pt idx="63">
                  <c:v>0.81245743771254486</c:v>
                </c:pt>
                <c:pt idx="64">
                  <c:v>0.82406783333131606</c:v>
                </c:pt>
                <c:pt idx="65">
                  <c:v>0.83523479991058502</c:v>
                </c:pt>
                <c:pt idx="66">
                  <c:v>0.84599808710619184</c:v>
                </c:pt>
                <c:pt idx="67">
                  <c:v>0.85639213253951096</c:v>
                </c:pt>
                <c:pt idx="68">
                  <c:v>0.86644470247507266</c:v>
                </c:pt>
                <c:pt idx="69">
                  <c:v>0.87617605868140402</c:v>
                </c:pt>
                <c:pt idx="70">
                  <c:v>0.8855985578723149</c:v>
                </c:pt>
                <c:pt idx="71">
                  <c:v>0.89471667565674506</c:v>
                </c:pt>
                <c:pt idx="72">
                  <c:v>0.9035274326621151</c:v>
                </c:pt>
                <c:pt idx="73">
                  <c:v>0.91202118834244983</c:v>
                </c:pt>
                <c:pt idx="74">
                  <c:v>0.9201827569276152</c:v>
                </c:pt>
                <c:pt idx="75">
                  <c:v>0.92799278934776275</c:v>
                </c:pt>
                <c:pt idx="76">
                  <c:v>0.93542934764803931</c:v>
                </c:pt>
                <c:pt idx="77">
                  <c:v>0.94246948219948323</c:v>
                </c:pt>
                <c:pt idx="78">
                  <c:v>0.949091040795497</c:v>
                </c:pt>
                <c:pt idx="79">
                  <c:v>0.95527422800687012</c:v>
                </c:pt>
                <c:pt idx="80">
                  <c:v>0.9610030362155888</c:v>
                </c:pt>
                <c:pt idx="81">
                  <c:v>0.96626646168480024</c:v>
                </c:pt>
                <c:pt idx="82">
                  <c:v>0.97105940186446249</c:v>
                </c:pt>
                <c:pt idx="83">
                  <c:v>0.97538319396828954</c:v>
                </c:pt>
                <c:pt idx="84">
                  <c:v>0.97924577895298826</c:v>
                </c:pt>
                <c:pt idx="85">
                  <c:v>0.98266150081625925</c:v>
                </c:pt>
                <c:pt idx="86">
                  <c:v>0.98565057590226468</c:v>
                </c:pt>
                <c:pt idx="87">
                  <c:v>0.98823828808184466</c:v>
                </c:pt>
                <c:pt idx="88">
                  <c:v>0.99045398117833727</c:v>
                </c:pt>
                <c:pt idx="89">
                  <c:v>0.9923299285312086</c:v>
                </c:pt>
                <c:pt idx="90">
                  <c:v>0.99390016073034482</c:v>
                </c:pt>
                <c:pt idx="91">
                  <c:v>0.99519932680869316</c:v>
                </c:pt>
                <c:pt idx="92">
                  <c:v>0.99626165279075685</c:v>
                </c:pt>
                <c:pt idx="93">
                  <c:v>0.99712004620572459</c:v>
                </c:pt>
                <c:pt idx="94">
                  <c:v>0.99780537795543323</c:v>
                </c:pt>
                <c:pt idx="95">
                  <c:v>0.9983459556931269</c:v>
                </c:pt>
                <c:pt idx="96">
                  <c:v>0.99876718725024616</c:v>
                </c:pt>
                <c:pt idx="97">
                  <c:v>0.99909141983947891</c:v>
                </c:pt>
                <c:pt idx="98">
                  <c:v>0.99933793145123317</c:v>
                </c:pt>
                <c:pt idx="99">
                  <c:v>0.99952304524023716</c:v>
                </c:pt>
              </c:numCache>
            </c:numRef>
          </c:yVal>
        </c:ser>
        <c:axId val="49310336"/>
        <c:axId val="49312128"/>
      </c:scatterChart>
      <c:valAx>
        <c:axId val="49310336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12128"/>
        <c:crosses val="autoZero"/>
        <c:crossBetween val="midCat"/>
      </c:valAx>
      <c:valAx>
        <c:axId val="493121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10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252901219172256"/>
          <c:y val="0.89860636609561351"/>
          <c:w val="0.1558662578307243"/>
          <c:h val="7.971508086332054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SimData2!$F$11</c:f>
          <c:strCache>
            <c:ptCount val="1"/>
            <c:pt idx="0">
              <c:v>PDF Distrinution</c:v>
            </c:pt>
          </c:strCache>
        </c:strRef>
      </c:tx>
      <c:layout>
        <c:manualLayout>
          <c:xMode val="edge"/>
          <c:yMode val="edge"/>
          <c:x val="0.37415144162878466"/>
          <c:y val="3.819427608046161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6812757433711553E-2"/>
          <c:y val="0.20624909083449272"/>
          <c:w val="0.86856584663825009"/>
          <c:h val="0.62256670011152426"/>
        </c:manualLayout>
      </c:layout>
      <c:scatterChart>
        <c:scatterStyle val="smoothMarker"/>
        <c:ser>
          <c:idx val="0"/>
          <c:order val="0"/>
          <c:tx>
            <c:strRef>
              <c:f>SimData2!$G$12</c:f>
              <c:strCache>
                <c:ptCount val="1"/>
                <c:pt idx="0">
                  <c:v>EXP Dist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SimData2!$G$21:$G$120</c:f>
              <c:numCache>
                <c:formatCode>0.000</c:formatCode>
                <c:ptCount val="100"/>
                <c:pt idx="0">
                  <c:v>-10.24853728485844</c:v>
                </c:pt>
                <c:pt idx="1">
                  <c:v>-9.4113000331863699</c:v>
                </c:pt>
                <c:pt idx="2">
                  <c:v>-8.5740627815143</c:v>
                </c:pt>
                <c:pt idx="3">
                  <c:v>-7.7368255298422293</c:v>
                </c:pt>
                <c:pt idx="4">
                  <c:v>-6.8995882781701585</c:v>
                </c:pt>
                <c:pt idx="5">
                  <c:v>-6.0623510264980878</c:v>
                </c:pt>
                <c:pt idx="6">
                  <c:v>-5.225113774826017</c:v>
                </c:pt>
                <c:pt idx="7">
                  <c:v>-4.3878765231539463</c:v>
                </c:pt>
                <c:pt idx="8">
                  <c:v>-3.5506392714818755</c:v>
                </c:pt>
                <c:pt idx="9">
                  <c:v>-2.7134020198098048</c:v>
                </c:pt>
                <c:pt idx="10">
                  <c:v>-1.8761647681377343</c:v>
                </c:pt>
                <c:pt idx="11">
                  <c:v>-1.0389275164656637</c:v>
                </c:pt>
                <c:pt idx="12">
                  <c:v>-0.2016902647935932</c:v>
                </c:pt>
                <c:pt idx="13">
                  <c:v>0.63554698687847733</c:v>
                </c:pt>
                <c:pt idx="14">
                  <c:v>1.4727842385505479</c:v>
                </c:pt>
                <c:pt idx="15">
                  <c:v>2.3100214902226184</c:v>
                </c:pt>
                <c:pt idx="16">
                  <c:v>3.1472587418946887</c:v>
                </c:pt>
                <c:pt idx="17">
                  <c:v>3.9844959935667594</c:v>
                </c:pt>
                <c:pt idx="18">
                  <c:v>4.8217332452388302</c:v>
                </c:pt>
                <c:pt idx="19">
                  <c:v>5.6589704969109009</c:v>
                </c:pt>
                <c:pt idx="20">
                  <c:v>6.4962077485829717</c:v>
                </c:pt>
                <c:pt idx="21">
                  <c:v>7.3334450002550424</c:v>
                </c:pt>
                <c:pt idx="22">
                  <c:v>8.1706822519271132</c:v>
                </c:pt>
                <c:pt idx="23">
                  <c:v>9.007919503599183</c:v>
                </c:pt>
                <c:pt idx="24">
                  <c:v>9.8451567552712529</c:v>
                </c:pt>
                <c:pt idx="25">
                  <c:v>10.682394006943323</c:v>
                </c:pt>
                <c:pt idx="26">
                  <c:v>11.519631258615393</c:v>
                </c:pt>
                <c:pt idx="27">
                  <c:v>12.356868510287462</c:v>
                </c:pt>
                <c:pt idx="28">
                  <c:v>13.194105761959532</c:v>
                </c:pt>
                <c:pt idx="29">
                  <c:v>14.031343013631602</c:v>
                </c:pt>
                <c:pt idx="30">
                  <c:v>14.868580265303672</c:v>
                </c:pt>
                <c:pt idx="31">
                  <c:v>15.705817516975742</c:v>
                </c:pt>
                <c:pt idx="32">
                  <c:v>16.543054768647814</c:v>
                </c:pt>
                <c:pt idx="33">
                  <c:v>17.380292020319885</c:v>
                </c:pt>
                <c:pt idx="34">
                  <c:v>18.217529271991957</c:v>
                </c:pt>
                <c:pt idx="35">
                  <c:v>19.054766523664028</c:v>
                </c:pt>
                <c:pt idx="36">
                  <c:v>19.8920037753361</c:v>
                </c:pt>
                <c:pt idx="37">
                  <c:v>20.729241027008172</c:v>
                </c:pt>
                <c:pt idx="38">
                  <c:v>21.566478278680243</c:v>
                </c:pt>
                <c:pt idx="39">
                  <c:v>22.403715530352315</c:v>
                </c:pt>
                <c:pt idx="40">
                  <c:v>23.240952782024387</c:v>
                </c:pt>
                <c:pt idx="41">
                  <c:v>24.078190033696458</c:v>
                </c:pt>
                <c:pt idx="42">
                  <c:v>24.91542728536853</c:v>
                </c:pt>
                <c:pt idx="43">
                  <c:v>25.752664537040602</c:v>
                </c:pt>
                <c:pt idx="44">
                  <c:v>26.589901788712673</c:v>
                </c:pt>
                <c:pt idx="45">
                  <c:v>27.427139040384745</c:v>
                </c:pt>
                <c:pt idx="46">
                  <c:v>28.264376292056816</c:v>
                </c:pt>
                <c:pt idx="47">
                  <c:v>29.101613543728888</c:v>
                </c:pt>
                <c:pt idx="48">
                  <c:v>29.93885079540096</c:v>
                </c:pt>
                <c:pt idx="49">
                  <c:v>30.776088047073031</c:v>
                </c:pt>
                <c:pt idx="50">
                  <c:v>31.613325298745103</c:v>
                </c:pt>
                <c:pt idx="51">
                  <c:v>32.450562550417175</c:v>
                </c:pt>
                <c:pt idx="52">
                  <c:v>33.287799802089246</c:v>
                </c:pt>
                <c:pt idx="53">
                  <c:v>34.125037053761318</c:v>
                </c:pt>
                <c:pt idx="54">
                  <c:v>34.96227430543339</c:v>
                </c:pt>
                <c:pt idx="55">
                  <c:v>35.799511557105461</c:v>
                </c:pt>
                <c:pt idx="56">
                  <c:v>36.636748808777533</c:v>
                </c:pt>
                <c:pt idx="57">
                  <c:v>37.473986060449604</c:v>
                </c:pt>
                <c:pt idx="58">
                  <c:v>38.311223312121676</c:v>
                </c:pt>
                <c:pt idx="59">
                  <c:v>39.148460563793748</c:v>
                </c:pt>
                <c:pt idx="60">
                  <c:v>39.985697815465819</c:v>
                </c:pt>
                <c:pt idx="61">
                  <c:v>40.822935067137891</c:v>
                </c:pt>
                <c:pt idx="62">
                  <c:v>41.660172318809963</c:v>
                </c:pt>
                <c:pt idx="63">
                  <c:v>42.497409570482034</c:v>
                </c:pt>
                <c:pt idx="64">
                  <c:v>43.334646822154106</c:v>
                </c:pt>
                <c:pt idx="65">
                  <c:v>44.171884073826178</c:v>
                </c:pt>
                <c:pt idx="66">
                  <c:v>45.009121325498249</c:v>
                </c:pt>
                <c:pt idx="67">
                  <c:v>45.846358577170321</c:v>
                </c:pt>
                <c:pt idx="68">
                  <c:v>46.683595828842392</c:v>
                </c:pt>
                <c:pt idx="69">
                  <c:v>47.520833080514464</c:v>
                </c:pt>
                <c:pt idx="70">
                  <c:v>48.358070332186536</c:v>
                </c:pt>
                <c:pt idx="71">
                  <c:v>49.195307583858607</c:v>
                </c:pt>
                <c:pt idx="72">
                  <c:v>50.032544835530679</c:v>
                </c:pt>
                <c:pt idx="73">
                  <c:v>50.869782087202751</c:v>
                </c:pt>
                <c:pt idx="74">
                  <c:v>51.707019338874822</c:v>
                </c:pt>
                <c:pt idx="75">
                  <c:v>52.544256590546894</c:v>
                </c:pt>
                <c:pt idx="76">
                  <c:v>53.381493842218966</c:v>
                </c:pt>
                <c:pt idx="77">
                  <c:v>54.218731093891037</c:v>
                </c:pt>
                <c:pt idx="78">
                  <c:v>55.055968345563109</c:v>
                </c:pt>
                <c:pt idx="79">
                  <c:v>55.89320559723518</c:v>
                </c:pt>
                <c:pt idx="80">
                  <c:v>56.730442848907252</c:v>
                </c:pt>
                <c:pt idx="81">
                  <c:v>57.567680100579324</c:v>
                </c:pt>
                <c:pt idx="82">
                  <c:v>58.404917352251395</c:v>
                </c:pt>
                <c:pt idx="83">
                  <c:v>59.242154603923467</c:v>
                </c:pt>
                <c:pt idx="84">
                  <c:v>60.079391855595539</c:v>
                </c:pt>
                <c:pt idx="85">
                  <c:v>60.91662910726761</c:v>
                </c:pt>
                <c:pt idx="86">
                  <c:v>61.753866358939682</c:v>
                </c:pt>
                <c:pt idx="87">
                  <c:v>62.591103610611754</c:v>
                </c:pt>
                <c:pt idx="88">
                  <c:v>63.428340862283825</c:v>
                </c:pt>
                <c:pt idx="89">
                  <c:v>64.265578113955897</c:v>
                </c:pt>
                <c:pt idx="90">
                  <c:v>65.102815365627961</c:v>
                </c:pt>
                <c:pt idx="91">
                  <c:v>65.940052617300026</c:v>
                </c:pt>
                <c:pt idx="92">
                  <c:v>66.77728986897209</c:v>
                </c:pt>
                <c:pt idx="93">
                  <c:v>67.614527120644155</c:v>
                </c:pt>
                <c:pt idx="94">
                  <c:v>68.451764372316219</c:v>
                </c:pt>
                <c:pt idx="95">
                  <c:v>69.289001623988284</c:v>
                </c:pt>
                <c:pt idx="96">
                  <c:v>70.126238875660349</c:v>
                </c:pt>
                <c:pt idx="97">
                  <c:v>70.963476127332413</c:v>
                </c:pt>
                <c:pt idx="98">
                  <c:v>71.800713379004478</c:v>
                </c:pt>
                <c:pt idx="99">
                  <c:v>72.637950630676542</c:v>
                </c:pt>
              </c:numCache>
            </c:numRef>
          </c:xVal>
          <c:yVal>
            <c:numRef>
              <c:f>SimData2!$H$21:$H$120</c:f>
              <c:numCache>
                <c:formatCode>0.000</c:formatCode>
                <c:ptCount val="100"/>
                <c:pt idx="0">
                  <c:v>1.1822106733753501E-4</c:v>
                </c:pt>
                <c:pt idx="1">
                  <c:v>2.5729941204522553E-4</c:v>
                </c:pt>
                <c:pt idx="2">
                  <c:v>5.2916574516367182E-4</c:v>
                </c:pt>
                <c:pt idx="3">
                  <c:v>1.0288664885704539E-3</c:v>
                </c:pt>
                <c:pt idx="4">
                  <c:v>1.8922582278947441E-3</c:v>
                </c:pt>
                <c:pt idx="5">
                  <c:v>3.294100176330641E-3</c:v>
                </c:pt>
                <c:pt idx="6">
                  <c:v>5.4319863433198393E-3</c:v>
                </c:pt>
                <c:pt idx="7">
                  <c:v>8.4925061809260662E-3</c:v>
                </c:pt>
                <c:pt idx="8">
                  <c:v>1.260170868033687E-2</c:v>
                </c:pt>
                <c:pt idx="9">
                  <c:v>1.7769910448966208E-2</c:v>
                </c:pt>
                <c:pt idx="10">
                  <c:v>2.3847872169951486E-2</c:v>
                </c:pt>
                <c:pt idx="11">
                  <c:v>3.051312643089996E-2</c:v>
                </c:pt>
                <c:pt idx="12">
                  <c:v>3.7298934141069627E-2</c:v>
                </c:pt>
                <c:pt idx="13">
                  <c:v>4.3664874907945427E-2</c:v>
                </c:pt>
                <c:pt idx="14">
                  <c:v>4.9092568504431375E-2</c:v>
                </c:pt>
                <c:pt idx="15">
                  <c:v>5.3179621835379706E-2</c:v>
                </c:pt>
                <c:pt idx="16">
                  <c:v>5.5704841204074602E-2</c:v>
                </c:pt>
                <c:pt idx="17">
                  <c:v>5.6648254291845501E-2</c:v>
                </c:pt>
                <c:pt idx="18">
                  <c:v>5.6165539589209536E-2</c:v>
                </c:pt>
                <c:pt idx="19">
                  <c:v>5.4530747143112415E-2</c:v>
                </c:pt>
                <c:pt idx="20">
                  <c:v>5.2068129219882915E-2</c:v>
                </c:pt>
                <c:pt idx="21">
                  <c:v>4.9092191168795492E-2</c:v>
                </c:pt>
                <c:pt idx="22">
                  <c:v>4.5867495189700909E-2</c:v>
                </c:pt>
                <c:pt idx="23">
                  <c:v>4.2590812369136498E-2</c:v>
                </c:pt>
                <c:pt idx="24">
                  <c:v>3.9391565645810915E-2</c:v>
                </c:pt>
                <c:pt idx="25">
                  <c:v>3.6343558138228566E-2</c:v>
                </c:pt>
                <c:pt idx="26">
                  <c:v>3.3481146885321958E-2</c:v>
                </c:pt>
                <c:pt idx="27">
                  <c:v>3.0814814032027852E-2</c:v>
                </c:pt>
                <c:pt idx="28">
                  <c:v>2.83432026242138E-2</c:v>
                </c:pt>
                <c:pt idx="29">
                  <c:v>2.6060489004732124E-2</c:v>
                </c:pt>
                <c:pt idx="30">
                  <c:v>2.3959365614023023E-2</c:v>
                </c:pt>
                <c:pt idx="31">
                  <c:v>2.203095256400095E-2</c:v>
                </c:pt>
                <c:pt idx="32">
                  <c:v>2.0263546656420304E-2</c:v>
                </c:pt>
                <c:pt idx="33">
                  <c:v>1.8642048536088907E-2</c:v>
                </c:pt>
                <c:pt idx="34">
                  <c:v>1.7149129453332031E-2</c:v>
                </c:pt>
                <c:pt idx="35">
                  <c:v>1.57680081809237E-2</c:v>
                </c:pt>
                <c:pt idx="36">
                  <c:v>1.4485679423481763E-2</c:v>
                </c:pt>
                <c:pt idx="37">
                  <c:v>1.3295083068975526E-2</c:v>
                </c:pt>
                <c:pt idx="38">
                  <c:v>1.2195158736694975E-2</c:v>
                </c:pt>
                <c:pt idx="39">
                  <c:v>1.1188675580438009E-2</c:v>
                </c:pt>
                <c:pt idx="40">
                  <c:v>1.0278641895823802E-2</c:v>
                </c:pt>
                <c:pt idx="41">
                  <c:v>9.4645890914189981E-3</c:v>
                </c:pt>
                <c:pt idx="42">
                  <c:v>8.7399905223032957E-3</c:v>
                </c:pt>
                <c:pt idx="43">
                  <c:v>8.0916429205533848E-3</c:v>
                </c:pt>
                <c:pt idx="44">
                  <c:v>7.5011971927798991E-3</c:v>
                </c:pt>
                <c:pt idx="45">
                  <c:v>6.9483568167971127E-3</c:v>
                </c:pt>
                <c:pt idx="46">
                  <c:v>6.4147606708786498E-3</c:v>
                </c:pt>
                <c:pt idx="47">
                  <c:v>5.887432615892055E-3</c:v>
                </c:pt>
                <c:pt idx="48">
                  <c:v>5.3609921574013846E-3</c:v>
                </c:pt>
                <c:pt idx="49">
                  <c:v>4.8384020798242769E-3</c:v>
                </c:pt>
                <c:pt idx="50">
                  <c:v>4.3304941510544041E-3</c:v>
                </c:pt>
                <c:pt idx="51">
                  <c:v>3.8545463829585606E-3</c:v>
                </c:pt>
                <c:pt idx="52">
                  <c:v>3.431836948390585E-3</c:v>
                </c:pt>
                <c:pt idx="53">
                  <c:v>3.083814760263611E-3</c:v>
                </c:pt>
                <c:pt idx="54">
                  <c:v>2.8268020011068167E-3</c:v>
                </c:pt>
                <c:pt idx="55">
                  <c:v>2.6660713952547542E-3</c:v>
                </c:pt>
                <c:pt idx="56">
                  <c:v>2.5912166308122526E-3</c:v>
                </c:pt>
                <c:pt idx="57">
                  <c:v>2.5751352320983805E-3</c:v>
                </c:pt>
                <c:pt idx="58">
                  <c:v>2.5781062276074456E-3</c:v>
                </c:pt>
                <c:pt idx="59">
                  <c:v>2.556531584957682E-3</c:v>
                </c:pt>
                <c:pt idx="60">
                  <c:v>2.4738074738526634E-3</c:v>
                </c:pt>
                <c:pt idx="61">
                  <c:v>2.309619989985902E-3</c:v>
                </c:pt>
                <c:pt idx="62">
                  <c:v>2.0644041045078964E-3</c:v>
                </c:pt>
                <c:pt idx="63">
                  <c:v>1.7575944377196337E-3</c:v>
                </c:pt>
                <c:pt idx="64">
                  <c:v>1.4207069275808217E-3</c:v>
                </c:pt>
                <c:pt idx="65">
                  <c:v>1.0880786071373978E-3</c:v>
                </c:pt>
                <c:pt idx="66">
                  <c:v>7.8852387527470022E-4</c:v>
                </c:pt>
                <c:pt idx="67">
                  <c:v>5.4024990655203681E-4</c:v>
                </c:pt>
                <c:pt idx="68">
                  <c:v>3.4975021009067328E-4</c:v>
                </c:pt>
                <c:pt idx="69">
                  <c:v>2.1389735138869801E-4</c:v>
                </c:pt>
                <c:pt idx="70">
                  <c:v>1.2366171579018822E-4</c:v>
                </c:pt>
                <c:pt idx="71">
                  <c:v>6.7903980134214774E-5</c:v>
                </c:pt>
                <c:pt idx="72">
                  <c:v>3.6250924903333196E-5</c:v>
                </c:pt>
                <c:pt idx="73">
                  <c:v>2.0756940393394024E-5</c:v>
                </c:pt>
                <c:pt idx="74">
                  <c:v>1.6559586589629116E-5</c:v>
                </c:pt>
                <c:pt idx="75">
                  <c:v>2.1931798305878634E-5</c:v>
                </c:pt>
                <c:pt idx="76">
                  <c:v>3.8055679026346802E-5</c:v>
                </c:pt>
                <c:pt idx="77">
                  <c:v>6.8616888404369759E-5</c:v>
                </c:pt>
                <c:pt idx="78">
                  <c:v>1.1908552518446605E-4</c:v>
                </c:pt>
                <c:pt idx="79">
                  <c:v>1.9543656318507399E-4</c:v>
                </c:pt>
                <c:pt idx="80">
                  <c:v>3.0216352010256457E-4</c:v>
                </c:pt>
                <c:pt idx="81">
                  <c:v>4.3977337336309838E-4</c:v>
                </c:pt>
                <c:pt idx="82">
                  <c:v>6.024157424335771E-4</c:v>
                </c:pt>
                <c:pt idx="83">
                  <c:v>7.7665763788548764E-4</c:v>
                </c:pt>
                <c:pt idx="84">
                  <c:v>9.4237948786320613E-4</c:v>
                </c:pt>
                <c:pt idx="85">
                  <c:v>1.0761784850406384E-3</c:v>
                </c:pt>
                <c:pt idx="86">
                  <c:v>1.1566579028007937E-3</c:v>
                </c:pt>
                <c:pt idx="87">
                  <c:v>1.1700048706048979E-3</c:v>
                </c:pt>
                <c:pt idx="88">
                  <c:v>1.1138649040158116E-3</c:v>
                </c:pt>
                <c:pt idx="89">
                  <c:v>9.9802054150884001E-4</c:v>
                </c:pt>
                <c:pt idx="90">
                  <c:v>8.4160546899328522E-4</c:v>
                </c:pt>
                <c:pt idx="91">
                  <c:v>6.6794349823925416E-4</c:v>
                </c:pt>
                <c:pt idx="92">
                  <c:v>4.9892241232111709E-4</c:v>
                </c:pt>
                <c:pt idx="93">
                  <c:v>3.5074251291547206E-4</c:v>
                </c:pt>
                <c:pt idx="94">
                  <c:v>2.3206300613559731E-4</c:v>
                </c:pt>
                <c:pt idx="95">
                  <c:v>1.4450588274367854E-4</c:v>
                </c:pt>
                <c:pt idx="96">
                  <c:v>8.4689047772305265E-5</c:v>
                </c:pt>
                <c:pt idx="97">
                  <c:v>4.6712281687397484E-5</c:v>
                </c:pt>
                <c:pt idx="98">
                  <c:v>2.4249178002090387E-5</c:v>
                </c:pt>
                <c:pt idx="99">
                  <c:v>1.1847455080274093E-5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SimData2!$G$12</c:f>
              <c:strCache>
                <c:ptCount val="1"/>
                <c:pt idx="0">
                  <c:v>EXP Dist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SimData2!$H$19</c:f>
                <c:numCache>
                  <c:formatCode>General</c:formatCode>
                  <c:ptCount val="1"/>
                  <c:pt idx="0">
                    <c:v>3.8581232241237932E-2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SimData2!$G$19</c:f>
              <c:numCache>
                <c:formatCode>0.000</c:formatCode>
                <c:ptCount val="1"/>
                <c:pt idx="0">
                  <c:v>10.063205064518593</c:v>
                </c:pt>
              </c:numCache>
            </c:numRef>
          </c:xVal>
          <c:yVal>
            <c:numRef>
              <c:f>SimData2!$H$19</c:f>
              <c:numCache>
                <c:formatCode>0.000</c:formatCode>
                <c:ptCount val="1"/>
                <c:pt idx="0">
                  <c:v>3.8581232241237932E-2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SimData2!$G$12</c:f>
              <c:strCache>
                <c:ptCount val="1"/>
                <c:pt idx="0">
                  <c:v>EXP Dist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SimData2!$H$20</c:f>
                <c:numCache>
                  <c:formatCode>General</c:formatCode>
                  <c:ptCount val="1"/>
                  <c:pt idx="0">
                    <c:v>2.5630250285348646E-3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SimData2!$G$20</c:f>
              <c:numCache>
                <c:formatCode>0.000</c:formatCode>
                <c:ptCount val="1"/>
                <c:pt idx="0">
                  <c:v>39.020540596962221</c:v>
                </c:pt>
              </c:numCache>
            </c:numRef>
          </c:xVal>
          <c:yVal>
            <c:numRef>
              <c:f>SimData2!$H$20</c:f>
              <c:numCache>
                <c:formatCode>0.000</c:formatCode>
                <c:ptCount val="1"/>
                <c:pt idx="0">
                  <c:v>2.5630250285348646E-3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SimData2!$G$12</c:f>
              <c:strCache>
                <c:ptCount val="1"/>
                <c:pt idx="0">
                  <c:v>EXP Dist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SimData2!$H$18</c:f>
                <c:numCache>
                  <c:formatCode>General</c:formatCode>
                  <c:ptCount val="1"/>
                  <c:pt idx="0">
                    <c:v>4.1016562486094151E-2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SimData2!$G$18</c:f>
              <c:numCache>
                <c:formatCode>0.000</c:formatCode>
                <c:ptCount val="1"/>
                <c:pt idx="0">
                  <c:v>0.27588483989350626</c:v>
                </c:pt>
              </c:numCache>
            </c:numRef>
          </c:xVal>
          <c:yVal>
            <c:numRef>
              <c:f>SimData2!$H$18</c:f>
              <c:numCache>
                <c:formatCode>0.000</c:formatCode>
                <c:ptCount val="1"/>
                <c:pt idx="0">
                  <c:v>4.1016562486094151E-2</c:v>
                </c:pt>
              </c:numCache>
            </c:numRef>
          </c:yVal>
          <c:smooth val="1"/>
        </c:ser>
        <c:axId val="49377664"/>
        <c:axId val="49379200"/>
      </c:scatterChart>
      <c:valAx>
        <c:axId val="49377664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9200"/>
        <c:crosses val="autoZero"/>
        <c:crossBetween val="midCat"/>
      </c:valAx>
      <c:valAx>
        <c:axId val="49379200"/>
        <c:scaling>
          <c:orientation val="minMax"/>
          <c:min val="0"/>
        </c:scaling>
        <c:delete val="1"/>
        <c:axPos val="l"/>
        <c:numFmt formatCode="0.000" sourceLinked="1"/>
        <c:tickLblPos val="none"/>
        <c:crossAx val="493776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926466818722858E-2"/>
          <c:y val="9.9305117809200191E-2"/>
          <c:w val="0.87429265441828252"/>
          <c:h val="0.7295106731368168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SimData2!$K$32:$K$46</c:f>
              <c:numCache>
                <c:formatCode>General</c:formatCode>
                <c:ptCount val="15"/>
                <c:pt idx="0" formatCode="0.000">
                  <c:v>5.8535372482186675E-2</c:v>
                </c:pt>
                <c:pt idx="1">
                  <c:v>4.5065598439717371</c:v>
                </c:pt>
                <c:pt idx="2">
                  <c:v>8.9545843154612879</c:v>
                </c:pt>
                <c:pt idx="3">
                  <c:v>13.402608786950839</c:v>
                </c:pt>
                <c:pt idx="4">
                  <c:v>17.850633258440389</c:v>
                </c:pt>
                <c:pt idx="5">
                  <c:v>22.298657729929939</c:v>
                </c:pt>
                <c:pt idx="6">
                  <c:v>26.746682201419489</c:v>
                </c:pt>
                <c:pt idx="7">
                  <c:v>31.194706672909039</c:v>
                </c:pt>
                <c:pt idx="8">
                  <c:v>35.642731144398589</c:v>
                </c:pt>
                <c:pt idx="9">
                  <c:v>40.090755615888142</c:v>
                </c:pt>
                <c:pt idx="10">
                  <c:v>44.538780087377695</c:v>
                </c:pt>
                <c:pt idx="11">
                  <c:v>48.986804558867249</c:v>
                </c:pt>
                <c:pt idx="12">
                  <c:v>53.434829030356802</c:v>
                </c:pt>
                <c:pt idx="13">
                  <c:v>57.882853501846355</c:v>
                </c:pt>
                <c:pt idx="14" formatCode="0.000">
                  <c:v>62.330877973335895</c:v>
                </c:pt>
              </c:numCache>
            </c:numRef>
          </c:cat>
          <c:val>
            <c:numRef>
              <c:f>SimData2!$L$32:$L$46</c:f>
              <c:numCache>
                <c:formatCode>General</c:formatCode>
                <c:ptCount val="15"/>
                <c:pt idx="0">
                  <c:v>0.01</c:v>
                </c:pt>
                <c:pt idx="1">
                  <c:v>0.35</c:v>
                </c:pt>
                <c:pt idx="2">
                  <c:v>0.23</c:v>
                </c:pt>
                <c:pt idx="3">
                  <c:v>0.14000000000000001</c:v>
                </c:pt>
                <c:pt idx="4">
                  <c:v>0.1</c:v>
                </c:pt>
                <c:pt idx="5">
                  <c:v>0.06</c:v>
                </c:pt>
                <c:pt idx="6">
                  <c:v>0.04</c:v>
                </c:pt>
                <c:pt idx="7">
                  <c:v>0.03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0.01</c:v>
                </c:pt>
              </c:numCache>
            </c:numRef>
          </c:val>
        </c:ser>
        <c:gapWidth val="0"/>
        <c:axId val="49407104"/>
        <c:axId val="49408640"/>
      </c:barChart>
      <c:catAx>
        <c:axId val="49407104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08640"/>
        <c:crosses val="autoZero"/>
        <c:auto val="1"/>
        <c:lblAlgn val="ctr"/>
        <c:lblOffset val="100"/>
        <c:tickLblSkip val="2"/>
        <c:tickMarkSkip val="1"/>
      </c:catAx>
      <c:valAx>
        <c:axId val="494086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0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38100</xdr:rowOff>
    </xdr:from>
    <xdr:to>
      <xdr:col>15</xdr:col>
      <xdr:colOff>590550</xdr:colOff>
      <xdr:row>41</xdr:row>
      <xdr:rowOff>38100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189</xdr:row>
      <xdr:rowOff>0</xdr:rowOff>
    </xdr:from>
    <xdr:to>
      <xdr:col>21</xdr:col>
      <xdr:colOff>247650</xdr:colOff>
      <xdr:row>206</xdr:row>
      <xdr:rowOff>123825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199</xdr:row>
      <xdr:rowOff>85725</xdr:rowOff>
    </xdr:from>
    <xdr:to>
      <xdr:col>7</xdr:col>
      <xdr:colOff>238125</xdr:colOff>
      <xdr:row>229</xdr:row>
      <xdr:rowOff>114300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0432375"/>
          <a:ext cx="4572000" cy="46005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4</xdr:col>
      <xdr:colOff>66675</xdr:colOff>
      <xdr:row>191</xdr:row>
      <xdr:rowOff>142875</xdr:rowOff>
    </xdr:from>
    <xdr:to>
      <xdr:col>10</xdr:col>
      <xdr:colOff>114300</xdr:colOff>
      <xdr:row>192</xdr:row>
      <xdr:rowOff>38100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 flipV="1">
          <a:off x="2571750" y="29260800"/>
          <a:ext cx="370522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285750</xdr:colOff>
      <xdr:row>193</xdr:row>
      <xdr:rowOff>85725</xdr:rowOff>
    </xdr:from>
    <xdr:to>
      <xdr:col>11</xdr:col>
      <xdr:colOff>161925</xdr:colOff>
      <xdr:row>199</xdr:row>
      <xdr:rowOff>38100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81225" y="29508450"/>
          <a:ext cx="475297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142875</xdr:colOff>
      <xdr:row>193</xdr:row>
      <xdr:rowOff>66675</xdr:rowOff>
    </xdr:from>
    <xdr:to>
      <xdr:col>11</xdr:col>
      <xdr:colOff>257175</xdr:colOff>
      <xdr:row>297</xdr:row>
      <xdr:rowOff>114300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647950" y="29489400"/>
          <a:ext cx="4381500" cy="1590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85725</xdr:rowOff>
    </xdr:from>
    <xdr:to>
      <xdr:col>17</xdr:col>
      <xdr:colOff>219075</xdr:colOff>
      <xdr:row>22</xdr:row>
      <xdr:rowOff>19050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28</xdr:row>
      <xdr:rowOff>114300</xdr:rowOff>
    </xdr:from>
    <xdr:to>
      <xdr:col>18</xdr:col>
      <xdr:colOff>0</xdr:colOff>
      <xdr:row>46</xdr:row>
      <xdr:rowOff>38100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9"/>
  <sheetViews>
    <sheetView tabSelected="1" zoomScale="130" zoomScaleNormal="130" workbookViewId="0">
      <selection activeCell="A3" sqref="A3"/>
    </sheetView>
  </sheetViews>
  <sheetFormatPr defaultRowHeight="12"/>
  <cols>
    <col min="1" max="1" width="10.140625" customWidth="1"/>
  </cols>
  <sheetData>
    <row r="1" spans="1:3">
      <c r="A1" s="1" t="str">
        <f ca="1">_xll.WBNAME()</f>
        <v>Probability Distribution Demo.xlsx</v>
      </c>
    </row>
    <row r="2" spans="1:3">
      <c r="A2" t="s">
        <v>0</v>
      </c>
    </row>
    <row r="3" spans="1:3">
      <c r="A3" t="s">
        <v>137</v>
      </c>
    </row>
    <row r="4" spans="1:3">
      <c r="A4" t="s">
        <v>28</v>
      </c>
    </row>
    <row r="5" spans="1:3">
      <c r="A5" s="1" t="s">
        <v>1</v>
      </c>
    </row>
    <row r="8" spans="1:3">
      <c r="A8" s="1" t="s">
        <v>2</v>
      </c>
    </row>
    <row r="9" spans="1:3">
      <c r="B9" t="s">
        <v>3</v>
      </c>
      <c r="C9" t="s">
        <v>4</v>
      </c>
    </row>
    <row r="10" spans="1:3">
      <c r="B10">
        <v>2</v>
      </c>
      <c r="C10">
        <v>10</v>
      </c>
    </row>
    <row r="11" spans="1:3">
      <c r="A11" t="s">
        <v>5</v>
      </c>
    </row>
    <row r="12" spans="1:3">
      <c r="A12" t="s">
        <v>22</v>
      </c>
      <c r="B12">
        <f ca="1">_xll.UNIFORM(B10,C10)</f>
        <v>7.013916015625</v>
      </c>
      <c r="C12" s="1" t="str">
        <f ca="1">_xll.VFORMULA(B12)</f>
        <v>=UNIFORM(B10,C10)</v>
      </c>
    </row>
    <row r="13" spans="1:3">
      <c r="A13" t="s">
        <v>6</v>
      </c>
    </row>
    <row r="14" spans="1:3">
      <c r="A14" t="s">
        <v>22</v>
      </c>
      <c r="B14">
        <f ca="1">B10+(C10-B10)*_xll.UNIFORM(0,1)</f>
        <v>8.737060546875</v>
      </c>
      <c r="C14" s="1" t="str">
        <f ca="1">_xll.VFORMULA(B14)</f>
        <v>=B10+(C10-B10)*UNIFORM(0,1)</v>
      </c>
    </row>
    <row r="17" spans="1:3">
      <c r="A17" s="1" t="s">
        <v>7</v>
      </c>
    </row>
    <row r="18" spans="1:3">
      <c r="B18" t="s">
        <v>8</v>
      </c>
      <c r="C18" t="s">
        <v>9</v>
      </c>
    </row>
    <row r="19" spans="1:3">
      <c r="B19">
        <v>10</v>
      </c>
      <c r="C19">
        <v>3</v>
      </c>
    </row>
    <row r="20" spans="1:3">
      <c r="A20" t="s">
        <v>5</v>
      </c>
    </row>
    <row r="21" spans="1:3">
      <c r="A21" t="s">
        <v>97</v>
      </c>
      <c r="B21">
        <f ca="1">_xll.NORM(B19,C19)</f>
        <v>7.4519735047074818</v>
      </c>
      <c r="C21" s="1" t="str">
        <f ca="1">_xll.VFORMULA(B21)</f>
        <v>=NORM(B19,C19)</v>
      </c>
    </row>
    <row r="22" spans="1:3">
      <c r="A22" t="s">
        <v>6</v>
      </c>
    </row>
    <row r="23" spans="1:3">
      <c r="A23" t="s">
        <v>97</v>
      </c>
      <c r="B23">
        <f ca="1">B19+C19*_xll.NORM(0,1)</f>
        <v>11.217706678798962</v>
      </c>
      <c r="C23" s="1" t="str">
        <f ca="1">_xll.VFORMULA(B23)</f>
        <v>=B19+C19*NORM(0,1)</v>
      </c>
    </row>
    <row r="26" spans="1:3">
      <c r="A26" s="1" t="s">
        <v>10</v>
      </c>
    </row>
    <row r="27" spans="1:3">
      <c r="A27" s="1"/>
      <c r="B27" t="s">
        <v>11</v>
      </c>
      <c r="C27" t="s">
        <v>12</v>
      </c>
    </row>
    <row r="28" spans="1:3">
      <c r="A28" s="1"/>
      <c r="B28" s="7">
        <v>2</v>
      </c>
      <c r="C28" s="2">
        <v>0</v>
      </c>
    </row>
    <row r="29" spans="1:3">
      <c r="A29" s="1"/>
      <c r="B29" s="7">
        <v>2.5</v>
      </c>
      <c r="C29" s="2">
        <v>0.125</v>
      </c>
    </row>
    <row r="30" spans="1:3">
      <c r="A30" s="1"/>
      <c r="B30" s="7">
        <v>5</v>
      </c>
      <c r="C30" s="2">
        <v>0.25</v>
      </c>
    </row>
    <row r="31" spans="1:3">
      <c r="A31" s="1"/>
      <c r="B31" s="7">
        <v>6.5</v>
      </c>
      <c r="C31" s="2">
        <v>0.375</v>
      </c>
    </row>
    <row r="32" spans="1:3">
      <c r="B32" s="7">
        <v>9</v>
      </c>
      <c r="C32" s="2">
        <v>0.5</v>
      </c>
    </row>
    <row r="33" spans="1:14">
      <c r="B33" s="7">
        <v>10</v>
      </c>
      <c r="C33" s="2">
        <v>0.625</v>
      </c>
    </row>
    <row r="34" spans="1:14">
      <c r="B34" s="7">
        <v>11</v>
      </c>
      <c r="C34" s="2">
        <v>0.75</v>
      </c>
    </row>
    <row r="35" spans="1:14">
      <c r="B35" s="7">
        <v>15</v>
      </c>
      <c r="C35" s="2">
        <v>0.875</v>
      </c>
    </row>
    <row r="36" spans="1:14">
      <c r="B36" s="7">
        <v>19</v>
      </c>
      <c r="C36" s="2">
        <v>1</v>
      </c>
    </row>
    <row r="37" spans="1:14">
      <c r="A37" t="s">
        <v>5</v>
      </c>
    </row>
    <row r="38" spans="1:14">
      <c r="A38" t="s">
        <v>98</v>
      </c>
      <c r="B38">
        <f ca="1">_xll.EMP(B28:B36,C28:C36)</f>
        <v>17.3779296875</v>
      </c>
      <c r="C38" s="1" t="str">
        <f ca="1">_xll.VFORMULA(B38)</f>
        <v>=EMP(B28:B36,C28:C36)</v>
      </c>
    </row>
    <row r="39" spans="1:14">
      <c r="A39" t="str">
        <f>A38</f>
        <v xml:space="preserve">Empirical  </v>
      </c>
      <c r="B39">
        <f ca="1">_xll.EMPIRICAL(B28:B36,C28:C36)</f>
        <v>10.775146484375</v>
      </c>
      <c r="C39" s="1" t="str">
        <f ca="1">_xll.VFORMULA(B39)</f>
        <v>=EMPIRICAL(B28:B36,C28:C36)</v>
      </c>
    </row>
    <row r="41" spans="1:14">
      <c r="A41" s="1" t="s">
        <v>120</v>
      </c>
    </row>
    <row r="42" spans="1:14">
      <c r="B42" t="s">
        <v>3</v>
      </c>
      <c r="C42" t="s">
        <v>13</v>
      </c>
      <c r="D42" t="s">
        <v>4</v>
      </c>
    </row>
    <row r="43" spans="1:14">
      <c r="B43">
        <v>2</v>
      </c>
      <c r="C43">
        <v>9</v>
      </c>
      <c r="D43">
        <v>19</v>
      </c>
    </row>
    <row r="44" spans="1:14">
      <c r="A44" t="str">
        <f>A37</f>
        <v>Direct method of simulation</v>
      </c>
    </row>
    <row r="45" spans="1:14">
      <c r="A45" t="s">
        <v>99</v>
      </c>
      <c r="B45">
        <f ca="1">_xll.GRK(B43,C43,D43)</f>
        <v>14.045532758644375</v>
      </c>
      <c r="C45" s="1" t="str">
        <f ca="1">_xll.VFORMULA(B45)</f>
        <v>=GRK(B43,C43,D43)</v>
      </c>
      <c r="G45" s="6" t="s">
        <v>21</v>
      </c>
      <c r="H45" s="5"/>
      <c r="I45" s="5"/>
      <c r="J45" s="5"/>
      <c r="K45" s="5"/>
      <c r="L45" s="5"/>
      <c r="M45" s="5"/>
      <c r="N45" s="5"/>
    </row>
    <row r="46" spans="1:14">
      <c r="A46" t="s">
        <v>105</v>
      </c>
      <c r="B46">
        <f ca="1">_xll.GRKS(B43,C43,D43)</f>
        <v>4.6062639695678396</v>
      </c>
      <c r="C46" s="1" t="str">
        <f ca="1">_xll.VFORMULA(B46)</f>
        <v>=GRKS(B43,C43,D43)</v>
      </c>
      <c r="H46" t="s">
        <v>22</v>
      </c>
      <c r="I46" t="s">
        <v>23</v>
      </c>
      <c r="J46" t="s">
        <v>24</v>
      </c>
      <c r="K46" t="s">
        <v>25</v>
      </c>
      <c r="L46" t="s">
        <v>26</v>
      </c>
      <c r="M46" t="s">
        <v>27</v>
      </c>
    </row>
    <row r="47" spans="1:14">
      <c r="G47" t="s">
        <v>8</v>
      </c>
      <c r="H47">
        <f>SimData1!B3</f>
        <v>10.00125173432799</v>
      </c>
      <c r="I47">
        <f>SimData1!C3</f>
        <v>6.0001023219173497</v>
      </c>
      <c r="J47">
        <f>SimData1!D3</f>
        <v>8.6885779982440035</v>
      </c>
      <c r="K47">
        <f>SimData1!E3</f>
        <v>11.062628283527605</v>
      </c>
      <c r="L47">
        <f>SimData1!F3</f>
        <v>0.23000000000000098</v>
      </c>
      <c r="M47">
        <f>SimData1!G3</f>
        <v>7.16</v>
      </c>
    </row>
    <row r="48" spans="1:14">
      <c r="A48" s="1" t="s">
        <v>16</v>
      </c>
      <c r="G48" t="s">
        <v>17</v>
      </c>
      <c r="H48">
        <f>SimData1!B4</f>
        <v>3.0048981826848289</v>
      </c>
      <c r="I48">
        <f>SimData1!C4</f>
        <v>2.3114908127832314</v>
      </c>
      <c r="J48">
        <f>SimData1!D4</f>
        <v>4.628806560212694</v>
      </c>
      <c r="K48">
        <f>SimData1!E4</f>
        <v>11.715856916510687</v>
      </c>
      <c r="L48">
        <f>SimData1!F4</f>
        <v>9.7241805129414928E-16</v>
      </c>
      <c r="M48">
        <f>SimData1!G4</f>
        <v>3.4892333683773571</v>
      </c>
    </row>
    <row r="49" spans="1:13">
      <c r="B49" t="s">
        <v>14</v>
      </c>
      <c r="G49" t="s">
        <v>18</v>
      </c>
      <c r="H49">
        <f>SimData1!B5</f>
        <v>30.045220963401096</v>
      </c>
      <c r="I49">
        <f>SimData1!C5</f>
        <v>38.52418990155801</v>
      </c>
      <c r="J49">
        <f>SimData1!D5</f>
        <v>53.274615951519273</v>
      </c>
      <c r="K49">
        <f>SimData1!E5</f>
        <v>105.90482312377563</v>
      </c>
      <c r="L49">
        <f>SimData1!F5</f>
        <v>4.2279045708441089E-13</v>
      </c>
      <c r="M49">
        <f>SimData1!G5</f>
        <v>48.732309614208894</v>
      </c>
    </row>
    <row r="50" spans="1:13">
      <c r="B50">
        <v>0.23</v>
      </c>
      <c r="G50" t="s">
        <v>3</v>
      </c>
      <c r="H50">
        <f>SimData1!B6</f>
        <v>0.73219156403563801</v>
      </c>
      <c r="I50">
        <f>SimData1!C6</f>
        <v>2.0145099543515848</v>
      </c>
      <c r="J50">
        <f>SimData1!D6</f>
        <v>2.004804312483595</v>
      </c>
      <c r="K50">
        <f>SimData1!E6</f>
        <v>-1.4960406693175643</v>
      </c>
      <c r="L50">
        <f>SimData1!F6</f>
        <v>0.23</v>
      </c>
      <c r="M50">
        <f>SimData1!G6</f>
        <v>2</v>
      </c>
    </row>
    <row r="51" spans="1:13">
      <c r="A51" t="s">
        <v>5</v>
      </c>
      <c r="G51" t="s">
        <v>4</v>
      </c>
      <c r="H51">
        <f>SimData1!B7</f>
        <v>19.754793248829095</v>
      </c>
      <c r="I51">
        <f>SimData1!C7</f>
        <v>9.9869767314500599</v>
      </c>
      <c r="J51">
        <f>SimData1!D7</f>
        <v>18.964722543186674</v>
      </c>
      <c r="K51">
        <f>SimData1!E7</f>
        <v>23.994353436219715</v>
      </c>
      <c r="L51">
        <f>SimData1!F7</f>
        <v>0.23</v>
      </c>
      <c r="M51">
        <f>SimData1!G7</f>
        <v>12</v>
      </c>
    </row>
    <row r="52" spans="1:13">
      <c r="A52" t="s">
        <v>100</v>
      </c>
      <c r="B52">
        <f ca="1">_xll.BERNOULLI(B50)</f>
        <v>0</v>
      </c>
      <c r="C52" s="1" t="str">
        <f ca="1">_xll.VFORMULA(B52)</f>
        <v>=BERNOULLI(B50)</v>
      </c>
    </row>
    <row r="53" spans="1:13">
      <c r="A53" t="s">
        <v>6</v>
      </c>
    </row>
    <row r="54" spans="1:13">
      <c r="A54" t="s">
        <v>22</v>
      </c>
      <c r="B54">
        <f ca="1">_xll.UNIFORM(0,1)</f>
        <v>0.42620849609375</v>
      </c>
      <c r="C54" s="1" t="str">
        <f ca="1">_xll.VFORMULA(B54)</f>
        <v>=UNIFORM(0,1)</v>
      </c>
    </row>
    <row r="55" spans="1:13">
      <c r="A55" t="s">
        <v>100</v>
      </c>
      <c r="B55">
        <f ca="1">IF(B54&lt;=B50,1,0)</f>
        <v>0</v>
      </c>
      <c r="C55" s="1" t="str">
        <f ca="1">_xll.VFORMULA(B55)</f>
        <v>=IF(B54&lt;=B50,1,0)</v>
      </c>
    </row>
    <row r="56" spans="1:13">
      <c r="J56" t="s">
        <v>95</v>
      </c>
    </row>
    <row r="57" spans="1:13">
      <c r="I57" t="s">
        <v>23</v>
      </c>
      <c r="J57">
        <f ca="1">B21</f>
        <v>7.4519735047074818</v>
      </c>
    </row>
    <row r="58" spans="1:13">
      <c r="A58" s="1" t="s">
        <v>15</v>
      </c>
      <c r="I58" t="s">
        <v>22</v>
      </c>
      <c r="J58">
        <f ca="1">B12</f>
        <v>7.013916015625</v>
      </c>
    </row>
    <row r="59" spans="1:13">
      <c r="A59" s="1" t="s">
        <v>34</v>
      </c>
      <c r="I59" t="s">
        <v>24</v>
      </c>
      <c r="J59">
        <f ca="1">B38</f>
        <v>17.3779296875</v>
      </c>
    </row>
    <row r="60" spans="1:13">
      <c r="B60" t="s">
        <v>11</v>
      </c>
      <c r="D60" t="s">
        <v>29</v>
      </c>
      <c r="I60" t="s">
        <v>25</v>
      </c>
      <c r="J60">
        <f ca="1">B45</f>
        <v>14.045532758644375</v>
      </c>
    </row>
    <row r="61" spans="1:13">
      <c r="B61">
        <v>2</v>
      </c>
      <c r="D61" t="s">
        <v>101</v>
      </c>
      <c r="E61">
        <f ca="1">_xll.RANDSORT(B61:B66)</f>
        <v>2</v>
      </c>
      <c r="F61" s="1" t="str">
        <f ca="1">_xll.VFORMULA(E61)</f>
        <v>=RANDSORT(B61:B66)</v>
      </c>
      <c r="I61" t="s">
        <v>26</v>
      </c>
      <c r="J61">
        <f>B50</f>
        <v>0.23</v>
      </c>
    </row>
    <row r="62" spans="1:13">
      <c r="B62">
        <v>4</v>
      </c>
      <c r="D62" t="s">
        <v>102</v>
      </c>
      <c r="E62">
        <f ca="1">_xll.DEMPIRICAL(B61:B66)</f>
        <v>4</v>
      </c>
      <c r="F62" s="1" t="str">
        <f ca="1">_xll.VFORMULA(E62)</f>
        <v>=DEMPIRICAL(B61:B66)</v>
      </c>
      <c r="I62" t="s">
        <v>27</v>
      </c>
      <c r="J62">
        <f ca="1">E62</f>
        <v>4</v>
      </c>
    </row>
    <row r="63" spans="1:13">
      <c r="B63">
        <v>6</v>
      </c>
      <c r="F63" s="1"/>
    </row>
    <row r="64" spans="1:13">
      <c r="B64">
        <v>9</v>
      </c>
      <c r="F64" s="1"/>
    </row>
    <row r="65" spans="1:9">
      <c r="B65">
        <v>10</v>
      </c>
      <c r="F65" s="1"/>
    </row>
    <row r="66" spans="1:9">
      <c r="B66">
        <v>12</v>
      </c>
      <c r="F66" s="1"/>
    </row>
    <row r="67" spans="1:9">
      <c r="F67" s="1"/>
    </row>
    <row r="68" spans="1:9">
      <c r="F68" s="1"/>
      <c r="I68" s="1" t="s">
        <v>92</v>
      </c>
    </row>
    <row r="69" spans="1:9">
      <c r="A69" s="1" t="s">
        <v>30</v>
      </c>
      <c r="F69" s="1"/>
      <c r="I69" s="1" t="s">
        <v>93</v>
      </c>
    </row>
    <row r="70" spans="1:9">
      <c r="A70" t="s">
        <v>8</v>
      </c>
      <c r="B70" t="s">
        <v>9</v>
      </c>
      <c r="C70" t="s">
        <v>3</v>
      </c>
      <c r="D70" t="s">
        <v>4</v>
      </c>
      <c r="F70" t="s">
        <v>40</v>
      </c>
      <c r="G70" s="1"/>
    </row>
    <row r="71" spans="1:9">
      <c r="A71">
        <v>10</v>
      </c>
      <c r="B71">
        <v>3</v>
      </c>
      <c r="C71">
        <v>5</v>
      </c>
      <c r="E71" t="s">
        <v>103</v>
      </c>
      <c r="F71">
        <f ca="1">_xll.TNORM(A71,B71,C71)</f>
        <v>8.840079451621218</v>
      </c>
      <c r="G71" s="1" t="str">
        <f ca="1">_xll.VFORMULA(F71)</f>
        <v>=TNORM(A71,B71,C71)</v>
      </c>
    </row>
    <row r="72" spans="1:9">
      <c r="G72" s="1"/>
    </row>
    <row r="73" spans="1:9">
      <c r="A73">
        <v>10</v>
      </c>
      <c r="B73">
        <v>3</v>
      </c>
      <c r="C73">
        <v>5</v>
      </c>
      <c r="D73">
        <v>14</v>
      </c>
      <c r="E73" t="s">
        <v>103</v>
      </c>
      <c r="F73">
        <f ca="1">_xll.TNORM(A73,B73,C73,D73)</f>
        <v>10.905426916442805</v>
      </c>
      <c r="G73" s="1" t="str">
        <f ca="1">_xll.VFORMULA(F73)</f>
        <v>=TNORM(A73,B73,C73,D73)</v>
      </c>
    </row>
    <row r="74" spans="1:9">
      <c r="G74" s="1"/>
    </row>
    <row r="75" spans="1:9">
      <c r="A75">
        <v>10</v>
      </c>
      <c r="B75">
        <v>3</v>
      </c>
      <c r="D75">
        <v>14</v>
      </c>
      <c r="E75" t="s">
        <v>103</v>
      </c>
      <c r="F75">
        <f ca="1">_xll.TNORM(A75,B75,,D75)</f>
        <v>7.2322011637070123</v>
      </c>
      <c r="G75" s="1" t="str">
        <f ca="1">_xll.VFORMULA(F75)</f>
        <v>=TNORM(A75,B75,,D75)</v>
      </c>
    </row>
    <row r="76" spans="1:9">
      <c r="F76" s="1"/>
    </row>
    <row r="77" spans="1:9">
      <c r="F77" s="1"/>
    </row>
    <row r="78" spans="1:9">
      <c r="A78" s="1" t="s">
        <v>31</v>
      </c>
      <c r="F78" s="1"/>
    </row>
    <row r="79" spans="1:9">
      <c r="A79" t="s">
        <v>11</v>
      </c>
      <c r="B79" t="s">
        <v>12</v>
      </c>
      <c r="D79" t="s">
        <v>32</v>
      </c>
      <c r="E79" t="s">
        <v>33</v>
      </c>
      <c r="F79" s="1"/>
    </row>
    <row r="80" spans="1:9">
      <c r="A80" s="7">
        <v>2</v>
      </c>
      <c r="B80" s="2">
        <v>0</v>
      </c>
      <c r="D80">
        <v>3</v>
      </c>
      <c r="E80">
        <v>17</v>
      </c>
      <c r="F80" s="1"/>
    </row>
    <row r="81" spans="1:6">
      <c r="A81" s="7">
        <v>2.5</v>
      </c>
      <c r="B81" s="2">
        <v>0.125</v>
      </c>
      <c r="F81" s="1"/>
    </row>
    <row r="82" spans="1:6">
      <c r="A82" s="7">
        <v>5</v>
      </c>
      <c r="B82" s="2">
        <v>0.25</v>
      </c>
      <c r="D82" t="s">
        <v>104</v>
      </c>
      <c r="E82">
        <f ca="1">_xll.TEMPIRICAL(A80:A88,B80:B88,D80,E80)</f>
        <v>6.952880859375</v>
      </c>
      <c r="F82" s="1" t="str">
        <f ca="1">_xll.VFORMULA(E82)</f>
        <v>=TEMPIRICAL(A80:A88,B80:B88,D80,E80)</v>
      </c>
    </row>
    <row r="83" spans="1:6">
      <c r="A83" s="7">
        <v>6.5</v>
      </c>
      <c r="B83" s="2">
        <v>0.375</v>
      </c>
    </row>
    <row r="84" spans="1:6">
      <c r="A84" s="7">
        <v>9</v>
      </c>
      <c r="B84" s="2">
        <v>0.5</v>
      </c>
    </row>
    <row r="85" spans="1:6">
      <c r="A85" s="7">
        <v>10</v>
      </c>
      <c r="B85" s="2">
        <v>0.625</v>
      </c>
    </row>
    <row r="86" spans="1:6">
      <c r="A86" s="7">
        <v>11</v>
      </c>
      <c r="B86" s="2">
        <v>0.75</v>
      </c>
    </row>
    <row r="87" spans="1:6">
      <c r="A87" s="7">
        <v>15</v>
      </c>
      <c r="B87" s="2">
        <v>0.875</v>
      </c>
    </row>
    <row r="88" spans="1:6">
      <c r="A88" s="7">
        <v>19</v>
      </c>
      <c r="B88" s="2">
        <v>1</v>
      </c>
    </row>
    <row r="90" spans="1:6">
      <c r="A90" s="1" t="s">
        <v>35</v>
      </c>
    </row>
    <row r="91" spans="1:6">
      <c r="A91" t="s">
        <v>3</v>
      </c>
      <c r="B91" t="s">
        <v>36</v>
      </c>
      <c r="C91" t="s">
        <v>4</v>
      </c>
      <c r="D91" t="s">
        <v>39</v>
      </c>
      <c r="E91" t="s">
        <v>37</v>
      </c>
      <c r="F91" t="s">
        <v>38</v>
      </c>
    </row>
    <row r="92" spans="1:6">
      <c r="A92">
        <v>20</v>
      </c>
      <c r="B92">
        <v>45</v>
      </c>
      <c r="C92">
        <v>60</v>
      </c>
      <c r="D92">
        <f ca="1">_xll.UNIFORM()</f>
        <v>0.516998291015625</v>
      </c>
      <c r="E92">
        <v>2</v>
      </c>
      <c r="F92">
        <v>2</v>
      </c>
    </row>
    <row r="93" spans="1:6">
      <c r="D93" t="s">
        <v>105</v>
      </c>
      <c r="E93">
        <f ca="1">_xll.GRKS(A92,B92,C92,D92,E92,F92)</f>
        <v>45.31965968159755</v>
      </c>
      <c r="F93" s="1" t="str">
        <f ca="1">_xll.VFORMULA(E93)</f>
        <v>=GRKS(A92,B92,C92,D92,E92,F92)</v>
      </c>
    </row>
    <row r="95" spans="1:6">
      <c r="F95" s="1"/>
    </row>
    <row r="96" spans="1:6">
      <c r="A96" s="1" t="s">
        <v>41</v>
      </c>
      <c r="F96" s="1"/>
    </row>
    <row r="97" spans="1:6">
      <c r="A97" t="s">
        <v>3</v>
      </c>
      <c r="B97" t="s">
        <v>13</v>
      </c>
      <c r="C97" t="s">
        <v>4</v>
      </c>
      <c r="D97" t="s">
        <v>39</v>
      </c>
      <c r="F97" s="1"/>
    </row>
    <row r="98" spans="1:6">
      <c r="A98">
        <v>3</v>
      </c>
      <c r="B98">
        <v>10</v>
      </c>
      <c r="C98">
        <v>18</v>
      </c>
      <c r="D98">
        <f ca="1">_xll.UNIFORM()</f>
        <v>0.982940673828125</v>
      </c>
    </row>
    <row r="99" spans="1:6">
      <c r="D99" t="s">
        <v>106</v>
      </c>
      <c r="E99">
        <f ca="1">_xll.TRIANGLE(A98,B98,C98,D98)</f>
        <v>16.569224287099825</v>
      </c>
      <c r="F99" s="1" t="str">
        <f ca="1">_xll.VFORMULA(E99)</f>
        <v>=TRIANGLE(A98,B98,C98,D98)</v>
      </c>
    </row>
    <row r="100" spans="1:6">
      <c r="F100" s="1"/>
    </row>
    <row r="101" spans="1:6">
      <c r="A101" s="1" t="s">
        <v>42</v>
      </c>
      <c r="F101" s="1"/>
    </row>
    <row r="102" spans="1:6">
      <c r="A102" t="s">
        <v>43</v>
      </c>
      <c r="B102" t="s">
        <v>44</v>
      </c>
      <c r="C102" t="s">
        <v>39</v>
      </c>
      <c r="F102" s="1"/>
    </row>
    <row r="103" spans="1:6">
      <c r="A103">
        <v>10</v>
      </c>
      <c r="B103">
        <v>0.2</v>
      </c>
      <c r="C103">
        <f ca="1">_xll.UNIFORM()</f>
        <v>3.509521484375E-2</v>
      </c>
      <c r="D103" t="s">
        <v>107</v>
      </c>
      <c r="E103">
        <f ca="1">_xll.BINOMINV(A103,B103,C103)</f>
        <v>0</v>
      </c>
      <c r="F103" s="1" t="str">
        <f ca="1">_xll.VFORMULA(E103)</f>
        <v>=BINOMINV(A103,B103,C103)</v>
      </c>
    </row>
    <row r="104" spans="1:6">
      <c r="F104" s="1"/>
    </row>
    <row r="105" spans="1:6">
      <c r="F105" s="1"/>
    </row>
    <row r="106" spans="1:6">
      <c r="A106" s="1" t="s">
        <v>45</v>
      </c>
      <c r="F106" s="1"/>
    </row>
    <row r="107" spans="1:6">
      <c r="A107" t="s">
        <v>46</v>
      </c>
      <c r="B107" t="s">
        <v>44</v>
      </c>
      <c r="C107" t="s">
        <v>39</v>
      </c>
      <c r="F107" s="1"/>
    </row>
    <row r="108" spans="1:6">
      <c r="A108">
        <v>5</v>
      </c>
      <c r="B108">
        <v>0.2</v>
      </c>
      <c r="C108">
        <f ca="1">_xll.UNIFORM()</f>
        <v>0.89013671875</v>
      </c>
      <c r="D108" t="s">
        <v>108</v>
      </c>
      <c r="E108">
        <f ca="1">_xll.NEGBINOMINV(A108,B108,C108)</f>
        <v>32</v>
      </c>
      <c r="F108" s="1" t="str">
        <f ca="1">_xll.VFORMULA(E108)</f>
        <v>=NEGBINOMINV(A108,B108,C108)</v>
      </c>
    </row>
    <row r="109" spans="1:6">
      <c r="F109" s="1"/>
    </row>
    <row r="110" spans="1:6">
      <c r="F110" s="1"/>
    </row>
    <row r="111" spans="1:6">
      <c r="A111" s="1" t="s">
        <v>47</v>
      </c>
      <c r="F111" s="1"/>
    </row>
    <row r="112" spans="1:6">
      <c r="A112" t="s">
        <v>48</v>
      </c>
      <c r="B112" t="s">
        <v>39</v>
      </c>
      <c r="F112" s="1"/>
    </row>
    <row r="113" spans="1:6">
      <c r="A113">
        <v>4</v>
      </c>
      <c r="B113">
        <f ca="1">_xll.UNIFORM()</f>
        <v>0.83465576171875</v>
      </c>
      <c r="D113" t="s">
        <v>109</v>
      </c>
      <c r="E113">
        <f ca="1">_xll.POISSONINV(A113,B113)</f>
        <v>6</v>
      </c>
      <c r="F113" s="1" t="str">
        <f ca="1">_xll.VFORMULA(E113)</f>
        <v>=POISSONINV(A113,B113)</v>
      </c>
    </row>
    <row r="114" spans="1:6">
      <c r="F114" s="1"/>
    </row>
    <row r="115" spans="1:6">
      <c r="F115" s="1"/>
    </row>
    <row r="116" spans="1:6">
      <c r="A116" s="1" t="s">
        <v>49</v>
      </c>
      <c r="F116" s="1"/>
    </row>
    <row r="117" spans="1:6">
      <c r="A117" t="s">
        <v>44</v>
      </c>
      <c r="B117" t="s">
        <v>39</v>
      </c>
      <c r="F117" s="1"/>
    </row>
    <row r="118" spans="1:6">
      <c r="A118">
        <v>0.4</v>
      </c>
      <c r="B118">
        <f ca="1">_xll.UNIFORM()</f>
        <v>0.271881103515625</v>
      </c>
      <c r="D118" t="s">
        <v>110</v>
      </c>
      <c r="E118">
        <f ca="1">_xll.GEOMINV(A118,B118)</f>
        <v>1</v>
      </c>
      <c r="F118" s="1" t="str">
        <f ca="1">_xll.VFORMULA(E118)</f>
        <v>=GEOMINV(A118,B118)</v>
      </c>
    </row>
    <row r="119" spans="1:6">
      <c r="F119" s="1"/>
    </row>
    <row r="120" spans="1:6">
      <c r="F120" s="1"/>
    </row>
    <row r="121" spans="1:6">
      <c r="A121" s="1" t="s">
        <v>50</v>
      </c>
      <c r="F121" s="1"/>
    </row>
    <row r="122" spans="1:6">
      <c r="A122" t="s">
        <v>43</v>
      </c>
      <c r="B122" t="s">
        <v>51</v>
      </c>
      <c r="C122" t="s">
        <v>52</v>
      </c>
      <c r="D122" t="s">
        <v>39</v>
      </c>
      <c r="F122" s="1"/>
    </row>
    <row r="123" spans="1:6">
      <c r="A123">
        <v>100</v>
      </c>
      <c r="B123">
        <v>30</v>
      </c>
      <c r="C123">
        <v>5</v>
      </c>
      <c r="D123">
        <f ca="1">_xll.UNIFORM()</f>
        <v>0.3677978515625</v>
      </c>
      <c r="F123" s="1"/>
    </row>
    <row r="124" spans="1:6">
      <c r="D124" t="s">
        <v>111</v>
      </c>
      <c r="E124">
        <f ca="1">_xll.HYPERGEOMINV(A123,B123,C123,D123)</f>
        <v>1</v>
      </c>
      <c r="F124" s="1" t="str">
        <f ca="1">_xll.VFORMULA(E124)</f>
        <v>=HYPERGEOMINV(A123,B123,C123,D123)</v>
      </c>
    </row>
    <row r="125" spans="1:6">
      <c r="F125" s="1"/>
    </row>
    <row r="126" spans="1:6">
      <c r="A126" s="1" t="s">
        <v>53</v>
      </c>
      <c r="F126" s="1"/>
    </row>
    <row r="127" spans="1:6">
      <c r="A127" t="s">
        <v>54</v>
      </c>
      <c r="B127" t="s">
        <v>55</v>
      </c>
      <c r="C127" t="s">
        <v>39</v>
      </c>
      <c r="F127" s="1"/>
    </row>
    <row r="128" spans="1:6">
      <c r="A128">
        <v>10</v>
      </c>
      <c r="B128">
        <v>1</v>
      </c>
      <c r="C128">
        <f ca="1">_xll.UNIFORM()</f>
        <v>0.83941650390625</v>
      </c>
      <c r="D128" t="s">
        <v>112</v>
      </c>
      <c r="E128">
        <f ca="1">_xll.CAUCHY(A128,B128,C128)</f>
        <v>11.811121112287305</v>
      </c>
      <c r="F128" s="1" t="str">
        <f ca="1">_xll.VFORMULA(E128)</f>
        <v>=CAUCHY(A128,B128,C128)</v>
      </c>
    </row>
    <row r="129" spans="1:6">
      <c r="F129" s="1"/>
    </row>
    <row r="130" spans="1:6">
      <c r="F130" s="1"/>
    </row>
    <row r="131" spans="1:6">
      <c r="A131" s="1" t="s">
        <v>56</v>
      </c>
      <c r="F131" s="1"/>
    </row>
    <row r="132" spans="1:6">
      <c r="B132" t="s">
        <v>11</v>
      </c>
      <c r="D132" t="s">
        <v>113</v>
      </c>
      <c r="E132">
        <f ca="1">_xll.BOOTSTRAPPER(B133:B137,0)</f>
        <v>6</v>
      </c>
      <c r="F132" s="1" t="str">
        <f ca="1">_xll.VFORMULA(E132)</f>
        <v>=BOOTSTRAPPER(B133:B137,0)</v>
      </c>
    </row>
    <row r="133" spans="1:6">
      <c r="B133">
        <v>2</v>
      </c>
      <c r="F133" s="1"/>
    </row>
    <row r="134" spans="1:6">
      <c r="B134">
        <v>4</v>
      </c>
      <c r="F134" s="1"/>
    </row>
    <row r="135" spans="1:6">
      <c r="B135">
        <v>6</v>
      </c>
      <c r="F135" s="1"/>
    </row>
    <row r="136" spans="1:6">
      <c r="B136">
        <v>8</v>
      </c>
      <c r="F136" s="1"/>
    </row>
    <row r="137" spans="1:6">
      <c r="B137">
        <v>12</v>
      </c>
      <c r="F137" s="1"/>
    </row>
    <row r="138" spans="1:6">
      <c r="F138" s="1"/>
    </row>
    <row r="139" spans="1:6">
      <c r="F139" s="1"/>
    </row>
    <row r="140" spans="1:6">
      <c r="A140" s="1" t="s">
        <v>57</v>
      </c>
      <c r="F140" s="1"/>
    </row>
    <row r="141" spans="1:6">
      <c r="A141" t="s">
        <v>39</v>
      </c>
      <c r="B141" t="s">
        <v>58</v>
      </c>
      <c r="C141" t="s">
        <v>59</v>
      </c>
      <c r="D141" t="s">
        <v>3</v>
      </c>
      <c r="E141" t="s">
        <v>4</v>
      </c>
      <c r="F141" s="1"/>
    </row>
    <row r="142" spans="1:6">
      <c r="A142">
        <f ca="1">_xll.UNIFORM()</f>
        <v>0.500885009765625</v>
      </c>
      <c r="B142">
        <v>10</v>
      </c>
      <c r="C142">
        <v>3</v>
      </c>
      <c r="D142">
        <v>2</v>
      </c>
      <c r="E142">
        <v>15</v>
      </c>
      <c r="F142" s="1"/>
    </row>
    <row r="143" spans="1:6">
      <c r="D143" t="s">
        <v>59</v>
      </c>
      <c r="E143">
        <f ca="1">BETAINV(A142,B142,C142,D142,E142)</f>
        <v>12.18641996383667</v>
      </c>
      <c r="F143" s="1" t="str">
        <f ca="1">_xll.VFORMULA(E143)</f>
        <v>=BETAINV(A142,B142,C142,D142,E142)</v>
      </c>
    </row>
    <row r="144" spans="1:6">
      <c r="F144" s="1"/>
    </row>
    <row r="145" spans="1:6">
      <c r="F145" s="1"/>
    </row>
    <row r="146" spans="1:6">
      <c r="A146" s="1" t="s">
        <v>60</v>
      </c>
      <c r="F146" s="1"/>
    </row>
    <row r="147" spans="1:6">
      <c r="A147" t="s">
        <v>39</v>
      </c>
      <c r="B147" t="s">
        <v>8</v>
      </c>
      <c r="F147" s="1"/>
    </row>
    <row r="148" spans="1:6">
      <c r="A148">
        <f ca="1">_xll.UNIFORM()</f>
        <v>0.921356201171875</v>
      </c>
      <c r="B148">
        <v>10</v>
      </c>
      <c r="D148" t="s">
        <v>114</v>
      </c>
      <c r="E148">
        <f ca="1">CHIINV(A148,B148)</f>
        <v>4.5111650814065438</v>
      </c>
      <c r="F148" s="1" t="str">
        <f ca="1">_xll.VFORMULA(E148)</f>
        <v>=CHIINV(A148,B148)</v>
      </c>
    </row>
    <row r="149" spans="1:6">
      <c r="F149" s="1"/>
    </row>
    <row r="150" spans="1:6">
      <c r="F150" s="1"/>
    </row>
    <row r="151" spans="1:6">
      <c r="A151" s="1" t="s">
        <v>61</v>
      </c>
      <c r="F151" s="1"/>
    </row>
    <row r="152" spans="1:6">
      <c r="A152" t="s">
        <v>39</v>
      </c>
      <c r="B152" t="s">
        <v>58</v>
      </c>
      <c r="C152" t="s">
        <v>59</v>
      </c>
      <c r="F152" s="1"/>
    </row>
    <row r="153" spans="1:6">
      <c r="A153">
        <f ca="1">_xll.UNIFORM()</f>
        <v>0.5672607421875</v>
      </c>
      <c r="B153">
        <v>10</v>
      </c>
      <c r="C153">
        <v>1</v>
      </c>
      <c r="D153" t="s">
        <v>115</v>
      </c>
      <c r="E153">
        <f ca="1">GAMMAINV(A153,B153,C153)</f>
        <v>10.203526817172776</v>
      </c>
      <c r="F153" s="1" t="str">
        <f ca="1">_xll.VFORMULA(E153)</f>
        <v>=GAMMAINV(A153,B153,C153)</v>
      </c>
    </row>
    <row r="154" spans="1:6">
      <c r="F154" s="1"/>
    </row>
    <row r="155" spans="1:6">
      <c r="F155" s="1"/>
    </row>
    <row r="156" spans="1:6">
      <c r="A156" s="1" t="s">
        <v>62</v>
      </c>
      <c r="F156" s="1"/>
    </row>
    <row r="157" spans="1:6">
      <c r="A157" t="s">
        <v>39</v>
      </c>
      <c r="B157" t="s">
        <v>63</v>
      </c>
      <c r="C157" t="s">
        <v>9</v>
      </c>
      <c r="F157" s="1"/>
    </row>
    <row r="158" spans="1:6">
      <c r="A158">
        <f ca="1">_xll.UNIFORM()</f>
        <v>0.123016357421875</v>
      </c>
      <c r="B158">
        <v>10</v>
      </c>
      <c r="C158">
        <v>3</v>
      </c>
      <c r="D158" t="s">
        <v>116</v>
      </c>
      <c r="E158">
        <f ca="1">LOGINV(A158,B158,C158)</f>
        <v>678.49793112941575</v>
      </c>
      <c r="F158" s="1" t="str">
        <f ca="1">_xll.VFORMULA(E158)</f>
        <v>=LOGINV(A158,B158,C158)</v>
      </c>
    </row>
    <row r="159" spans="1:6">
      <c r="A159" t="s">
        <v>75</v>
      </c>
      <c r="E159">
        <f ca="1">LN(E158)</f>
        <v>6.5198814300873948</v>
      </c>
      <c r="F159" s="1" t="str">
        <f ca="1">_xll.VFORMULA(E159)</f>
        <v>=LN(E158)</v>
      </c>
    </row>
    <row r="160" spans="1:6">
      <c r="F160" s="1"/>
    </row>
    <row r="161" spans="1:6">
      <c r="A161" s="1" t="s">
        <v>76</v>
      </c>
      <c r="F161" s="1"/>
    </row>
    <row r="162" spans="1:6">
      <c r="A162" t="s">
        <v>39</v>
      </c>
      <c r="B162" t="s">
        <v>77</v>
      </c>
      <c r="F162" s="1"/>
    </row>
    <row r="163" spans="1:6">
      <c r="A163">
        <f ca="1">_xll.UNIFORM()</f>
        <v>0.456085205078125</v>
      </c>
      <c r="B163">
        <v>24</v>
      </c>
      <c r="D163" t="s">
        <v>117</v>
      </c>
      <c r="E163">
        <f ca="1">TINV(A163,B163)</f>
        <v>0.75756588387192325</v>
      </c>
      <c r="F163" s="1" t="str">
        <f ca="1">_xll.VFORMULA(E163)</f>
        <v>=TINV(A163,B163)</v>
      </c>
    </row>
    <row r="164" spans="1:6">
      <c r="F164" s="1"/>
    </row>
    <row r="165" spans="1:6">
      <c r="F165" s="1"/>
    </row>
    <row r="166" spans="1:6">
      <c r="A166" s="1" t="s">
        <v>78</v>
      </c>
      <c r="F166" s="1"/>
    </row>
    <row r="167" spans="1:6">
      <c r="A167" t="s">
        <v>58</v>
      </c>
      <c r="B167" t="s">
        <v>59</v>
      </c>
      <c r="C167" t="s">
        <v>39</v>
      </c>
      <c r="F167" s="1"/>
    </row>
    <row r="168" spans="1:6">
      <c r="A168">
        <v>10</v>
      </c>
      <c r="B168">
        <v>3</v>
      </c>
      <c r="C168">
        <f ca="1">_xll.UNIFORM()</f>
        <v>0.47528076171875</v>
      </c>
      <c r="D168" t="s">
        <v>118</v>
      </c>
      <c r="E168">
        <f ca="1">_xll.WEIBINV(A168,B168,C168)</f>
        <v>1.0682202846707398</v>
      </c>
      <c r="F168" s="1" t="str">
        <f ca="1">_xll.VFORMULA(E168)</f>
        <v>=WEIBINV(A168,B168,C168)</v>
      </c>
    </row>
    <row r="169" spans="1:6">
      <c r="F169" s="1"/>
    </row>
    <row r="170" spans="1:6">
      <c r="F170" s="1"/>
    </row>
    <row r="171" spans="1:6">
      <c r="A171" s="1" t="s">
        <v>79</v>
      </c>
      <c r="F171" s="1"/>
    </row>
    <row r="172" spans="1:6">
      <c r="A172" t="s">
        <v>59</v>
      </c>
      <c r="B172" t="s">
        <v>39</v>
      </c>
      <c r="F172" s="1"/>
    </row>
    <row r="173" spans="1:6">
      <c r="A173">
        <v>10</v>
      </c>
      <c r="B173">
        <f ca="1">_xll.UNIFORM()</f>
        <v>0.76129150390625</v>
      </c>
      <c r="D173" t="s">
        <v>119</v>
      </c>
      <c r="E173">
        <f ca="1">_xll.EXPONINV(A173,B173)</f>
        <v>14.325121530837205</v>
      </c>
      <c r="F173" s="1" t="str">
        <f ca="1">_xll.VFORMULA(E173)</f>
        <v>=EXPONINV(A173,B173)</v>
      </c>
    </row>
    <row r="177" spans="1:11">
      <c r="A177" s="1" t="s">
        <v>121</v>
      </c>
    </row>
    <row r="178" spans="1:11">
      <c r="A178" t="s">
        <v>122</v>
      </c>
      <c r="C178" s="1" t="s">
        <v>124</v>
      </c>
    </row>
    <row r="179" spans="1:11">
      <c r="A179" s="7">
        <v>2</v>
      </c>
      <c r="C179" t="s">
        <v>125</v>
      </c>
      <c r="D179">
        <f>_xll.BANDWIDTH(A179:A187)</f>
        <v>3.0403159757087068</v>
      </c>
      <c r="E179" t="str">
        <f ca="1">_xll.VFORMULA(D179)</f>
        <v>=BANDWIDTH(A179:A187)</v>
      </c>
    </row>
    <row r="180" spans="1:11">
      <c r="A180" s="7">
        <v>2.5</v>
      </c>
      <c r="C180" s="1" t="s">
        <v>126</v>
      </c>
      <c r="H180" s="7"/>
    </row>
    <row r="181" spans="1:11">
      <c r="A181" s="7">
        <v>5</v>
      </c>
      <c r="C181" t="s">
        <v>83</v>
      </c>
      <c r="D181">
        <f ca="1">_xll.KDEINV(A179:A187,D179,"Gaussian")</f>
        <v>3.2853039535777597</v>
      </c>
      <c r="E181" t="str">
        <f ca="1">_xll.VFORMULA(D181)</f>
        <v>=KDEINV(A179:A187,D179,"Gaussian")</v>
      </c>
      <c r="H181" s="7"/>
    </row>
    <row r="182" spans="1:11">
      <c r="A182" s="7">
        <v>6.5</v>
      </c>
    </row>
    <row r="183" spans="1:11">
      <c r="A183" s="7">
        <v>9</v>
      </c>
    </row>
    <row r="184" spans="1:11">
      <c r="A184" s="7">
        <v>10</v>
      </c>
      <c r="H184" s="8"/>
    </row>
    <row r="185" spans="1:11">
      <c r="A185" s="7">
        <v>11</v>
      </c>
      <c r="H185" s="3"/>
      <c r="I185" s="3"/>
    </row>
    <row r="186" spans="1:11">
      <c r="A186" s="7">
        <v>15</v>
      </c>
      <c r="H186" s="3"/>
      <c r="I186" s="3"/>
    </row>
    <row r="187" spans="1:11">
      <c r="A187" s="7">
        <v>19</v>
      </c>
      <c r="H187" s="3"/>
      <c r="I187" s="3"/>
    </row>
    <row r="188" spans="1:11">
      <c r="H188" s="3"/>
      <c r="I188" s="3"/>
    </row>
    <row r="189" spans="1:11">
      <c r="A189" s="1" t="s">
        <v>127</v>
      </c>
      <c r="H189" s="3"/>
      <c r="I189" s="3"/>
    </row>
    <row r="190" spans="1:11" ht="12.75" thickBot="1">
      <c r="A190" s="16" t="str">
        <f>A178</f>
        <v>X</v>
      </c>
      <c r="B190" t="s">
        <v>130</v>
      </c>
      <c r="H190" t="s">
        <v>128</v>
      </c>
    </row>
    <row r="191" spans="1:11">
      <c r="A191" s="15">
        <f t="shared" ref="A191:A198" si="0">A179</f>
        <v>2</v>
      </c>
      <c r="B191" t="s">
        <v>131</v>
      </c>
      <c r="I191" t="str">
        <f>Model!$A$190</f>
        <v>X</v>
      </c>
      <c r="K191" t="str">
        <f>Model!$A$190</f>
        <v>X</v>
      </c>
    </row>
    <row r="192" spans="1:11">
      <c r="A192" s="15">
        <f t="shared" si="0"/>
        <v>2.5</v>
      </c>
      <c r="B192" t="s">
        <v>132</v>
      </c>
      <c r="H192" t="s">
        <v>80</v>
      </c>
      <c r="I192">
        <f>MIN(Model!$A$191:$A$199)</f>
        <v>2</v>
      </c>
      <c r="K192" s="1">
        <v>-7</v>
      </c>
    </row>
    <row r="193" spans="1:12">
      <c r="A193" s="15">
        <f t="shared" si="0"/>
        <v>5</v>
      </c>
      <c r="B193" t="s">
        <v>136</v>
      </c>
      <c r="H193" t="s">
        <v>81</v>
      </c>
      <c r="I193">
        <f>MAX(Model!$A$191:$A$199)</f>
        <v>19</v>
      </c>
      <c r="K193" s="1">
        <v>27</v>
      </c>
    </row>
    <row r="194" spans="1:12">
      <c r="A194" s="15">
        <f t="shared" si="0"/>
        <v>6.5</v>
      </c>
      <c r="B194" t="s">
        <v>135</v>
      </c>
      <c r="H194" t="s">
        <v>82</v>
      </c>
      <c r="I194">
        <f>_xll.BANDWIDTH(Model!$A$191:$A$199)</f>
        <v>3.0403159757087068</v>
      </c>
      <c r="K194">
        <f>_xll.BANDWIDTH(Model!$A$191:$A$199)</f>
        <v>3.0403159757087068</v>
      </c>
    </row>
    <row r="195" spans="1:12">
      <c r="A195" s="15">
        <f t="shared" si="0"/>
        <v>9</v>
      </c>
      <c r="B195" t="s">
        <v>133</v>
      </c>
      <c r="H195" t="s">
        <v>83</v>
      </c>
      <c r="I195" s="1" t="s">
        <v>129</v>
      </c>
      <c r="K195" t="s">
        <v>87</v>
      </c>
    </row>
    <row r="196" spans="1:12">
      <c r="A196" s="15">
        <f t="shared" si="0"/>
        <v>10</v>
      </c>
      <c r="B196" t="s">
        <v>134</v>
      </c>
      <c r="H196" t="s">
        <v>84</v>
      </c>
      <c r="I196" s="8">
        <v>0.875</v>
      </c>
      <c r="K196" s="8">
        <f>$I$196</f>
        <v>0.875</v>
      </c>
    </row>
    <row r="197" spans="1:12">
      <c r="A197" s="15">
        <f t="shared" si="0"/>
        <v>11</v>
      </c>
      <c r="B197" s="1" t="s">
        <v>83</v>
      </c>
      <c r="C197" s="1">
        <f ca="1">_xll.EMP(K200:K299,L200:L299)</f>
        <v>1.8134841861286448</v>
      </c>
      <c r="D197" s="1" t="str">
        <f ca="1">_xll.VFORMULA(C197)</f>
        <v>=EMP(K200:K299,L200:L299)</v>
      </c>
      <c r="E197" s="1"/>
      <c r="H197" t="s">
        <v>85</v>
      </c>
      <c r="I197" s="3">
        <f>_xll.QUANTILE(Model!$A$191:$A$199,(1-$I$196)/2)</f>
        <v>2.03125</v>
      </c>
      <c r="J197" s="3">
        <f>_xll.PDENSITY($I$197,Model!$A$191:$A$199,$I$194,$I$195,1)</f>
        <v>0.1111111111111111</v>
      </c>
      <c r="K197" s="3">
        <f>_xll.QUANTILE(Model!$A$191:$A$199,(1-$K$196)/2)</f>
        <v>2.03125</v>
      </c>
      <c r="L197" s="3">
        <f>_xll.PDENSITY($K$197,Model!$A$191:$A$199,$K$194,$K$195,1)</f>
        <v>0.13277656196579068</v>
      </c>
    </row>
    <row r="198" spans="1:12">
      <c r="A198" s="15">
        <f t="shared" si="0"/>
        <v>15</v>
      </c>
      <c r="H198" t="s">
        <v>123</v>
      </c>
      <c r="I198" s="3">
        <f>AVERAGE(Model!$A$191:$A$199)</f>
        <v>8.8888888888888893</v>
      </c>
      <c r="J198" s="3">
        <f>_xll.PDENSITY($I$198,Model!$A$191:$A$199,$I$194,$I$195,1)</f>
        <v>0.44444444444444442</v>
      </c>
      <c r="K198" s="3">
        <f>AVERAGE(Model!$A$191:$A$199)</f>
        <v>8.8888888888888893</v>
      </c>
      <c r="L198" s="3">
        <f>_xll.PDENSITY($K$198,Model!$A$191:$A$199,$K$194,$K$195,1)</f>
        <v>0.5292459243643366</v>
      </c>
    </row>
    <row r="199" spans="1:12" ht="12.75" thickBot="1">
      <c r="A199" s="15">
        <f>A187</f>
        <v>19</v>
      </c>
      <c r="H199" t="s">
        <v>86</v>
      </c>
      <c r="I199" s="3">
        <f>_xll.QUANTILE(Model!$A$191:$A$199,1-(1-$I$196)/2)</f>
        <v>18.75</v>
      </c>
      <c r="J199" s="3">
        <f>_xll.PDENSITY($I$199,Model!$A$191:$A$199,$I$194,$I$195,1)</f>
        <v>0.88888888888888884</v>
      </c>
      <c r="K199" s="3">
        <f>_xll.QUANTILE(Model!$A$191:$A$199,1-(1-$K$196)/2)</f>
        <v>18.75</v>
      </c>
      <c r="L199" s="3">
        <f>_xll.PDENSITY($K$199,Model!$A$191:$A$199,$K$194,$K$195,1)</f>
        <v>0.92782445401624769</v>
      </c>
    </row>
    <row r="200" spans="1:12">
      <c r="H200">
        <v>1</v>
      </c>
      <c r="I200" s="3">
        <f>$I$192</f>
        <v>2</v>
      </c>
      <c r="J200" s="3">
        <f>_xll.PDENSITY($I$200,Model!$A$191:$A$199,$I$194,$I$195,1)</f>
        <v>0</v>
      </c>
      <c r="K200" s="9">
        <f>$K$192</f>
        <v>-7</v>
      </c>
      <c r="L200" s="10">
        <f>_xll.PDENSITY($K$200,Model!$A$191:$A$199,$K$194,$K$195,1)</f>
        <v>2.7460205645305863E-4</v>
      </c>
    </row>
    <row r="201" spans="1:12">
      <c r="H201">
        <v>2</v>
      </c>
      <c r="I201" s="3">
        <f t="shared" ref="I201:I232" si="1">1/99*($I$193-$I$192)+I200</f>
        <v>2.1717171717171717</v>
      </c>
      <c r="J201" s="3">
        <f>_xll.PDENSITY($I$201,Model!$A$191:$A$199,$I$194,$I$195,1)</f>
        <v>0.1111111111111111</v>
      </c>
      <c r="K201" s="11">
        <f t="shared" ref="K201:K232" si="2">1/99*($K$193-$K$192)+K200</f>
        <v>-6.6565656565656566</v>
      </c>
      <c r="L201" s="12">
        <f>_xll.PDENSITY($K$201,Model!$A$191:$A$199,$K$194,$K$195,1)</f>
        <v>3.9718423878725643E-4</v>
      </c>
    </row>
    <row r="202" spans="1:12">
      <c r="H202">
        <v>3</v>
      </c>
      <c r="I202" s="3">
        <f t="shared" si="1"/>
        <v>2.3434343434343434</v>
      </c>
      <c r="J202" s="3">
        <f>_xll.PDENSITY($I$202,Model!$A$191:$A$199,$I$194,$I$195,1)</f>
        <v>0.1111111111111111</v>
      </c>
      <c r="K202" s="11">
        <f t="shared" si="2"/>
        <v>-6.3131313131313131</v>
      </c>
      <c r="L202" s="12">
        <f>_xll.PDENSITY($K$202,Model!$A$191:$A$199,$K$194,$K$195,1)</f>
        <v>5.6789672601221934E-4</v>
      </c>
    </row>
    <row r="203" spans="1:12">
      <c r="H203">
        <v>4</v>
      </c>
      <c r="I203" s="3">
        <f t="shared" si="1"/>
        <v>2.5151515151515151</v>
      </c>
      <c r="J203" s="3">
        <f>_xll.PDENSITY($I$203,Model!$A$191:$A$199,$I$194,$I$195,1)</f>
        <v>0.22222222222222221</v>
      </c>
      <c r="K203" s="11">
        <f t="shared" si="2"/>
        <v>-5.9696969696969697</v>
      </c>
      <c r="L203" s="12">
        <f>_xll.PDENSITY($K$203,Model!$A$191:$A$199,$K$194,$K$195,1)</f>
        <v>8.0272417313080136E-4</v>
      </c>
    </row>
    <row r="204" spans="1:12">
      <c r="H204">
        <v>5</v>
      </c>
      <c r="I204" s="3">
        <f t="shared" si="1"/>
        <v>2.6868686868686869</v>
      </c>
      <c r="J204" s="3">
        <f>_xll.PDENSITY($I$204,Model!$A$191:$A$199,$I$194,$I$195,1)</f>
        <v>0.22222222222222221</v>
      </c>
      <c r="K204" s="11">
        <f t="shared" si="2"/>
        <v>-5.6262626262626263</v>
      </c>
      <c r="L204" s="12">
        <f>_xll.PDENSITY($K$204,Model!$A$191:$A$199,$K$194,$K$195,1)</f>
        <v>1.1218010006520303E-3</v>
      </c>
    </row>
    <row r="205" spans="1:12">
      <c r="H205">
        <v>6</v>
      </c>
      <c r="I205" s="3">
        <f t="shared" si="1"/>
        <v>2.8585858585858586</v>
      </c>
      <c r="J205" s="3">
        <f>_xll.PDENSITY($I$205,Model!$A$191:$A$199,$I$194,$I$195,1)</f>
        <v>0.22222222222222221</v>
      </c>
      <c r="K205" s="11">
        <f t="shared" si="2"/>
        <v>-5.2828282828282829</v>
      </c>
      <c r="L205" s="12">
        <f>_xll.PDENSITY($K$205,Model!$A$191:$A$199,$K$194,$K$195,1)</f>
        <v>1.5500771086560301E-3</v>
      </c>
    </row>
    <row r="206" spans="1:12">
      <c r="H206">
        <v>7</v>
      </c>
      <c r="I206" s="3">
        <f t="shared" si="1"/>
        <v>3.0303030303030303</v>
      </c>
      <c r="J206" s="3">
        <f>_xll.PDENSITY($I$206,Model!$A$191:$A$199,$I$194,$I$195,1)</f>
        <v>0.22222222222222221</v>
      </c>
      <c r="K206" s="11">
        <f t="shared" si="2"/>
        <v>-4.9393939393939394</v>
      </c>
      <c r="L206" s="12">
        <f>_xll.PDENSITY($K$206,Model!$A$191:$A$199,$K$194,$K$195,1)</f>
        <v>2.1179567677355924E-3</v>
      </c>
    </row>
    <row r="207" spans="1:12">
      <c r="H207">
        <v>8</v>
      </c>
      <c r="I207" s="3">
        <f t="shared" si="1"/>
        <v>3.202020202020202</v>
      </c>
      <c r="J207" s="3">
        <f>_xll.PDENSITY($I$207,Model!$A$191:$A$199,$I$194,$I$195,1)</f>
        <v>0.22222222222222221</v>
      </c>
      <c r="K207" s="11">
        <f t="shared" si="2"/>
        <v>-4.595959595959596</v>
      </c>
      <c r="L207" s="12">
        <f>_xll.PDENSITY($K$207,Model!$A$191:$A$199,$K$194,$K$195,1)</f>
        <v>2.8618610258701236E-3</v>
      </c>
    </row>
    <row r="208" spans="1:12">
      <c r="H208">
        <v>9</v>
      </c>
      <c r="I208" s="3">
        <f t="shared" si="1"/>
        <v>3.3737373737373737</v>
      </c>
      <c r="J208" s="3">
        <f>_xll.PDENSITY($I$208,Model!$A$191:$A$199,$I$194,$I$195,1)</f>
        <v>0.22222222222222221</v>
      </c>
      <c r="K208" s="11">
        <f t="shared" si="2"/>
        <v>-4.2525252525252526</v>
      </c>
      <c r="L208" s="12">
        <f>_xll.PDENSITY($K$208,Model!$A$191:$A$199,$K$194,$K$195,1)</f>
        <v>3.8246551367621859E-3</v>
      </c>
    </row>
    <row r="209" spans="8:12">
      <c r="H209">
        <v>10</v>
      </c>
      <c r="I209" s="3">
        <f t="shared" si="1"/>
        <v>3.5454545454545454</v>
      </c>
      <c r="J209" s="3">
        <f>_xll.PDENSITY($I$209,Model!$A$191:$A$199,$I$194,$I$195,1)</f>
        <v>0.22222222222222221</v>
      </c>
      <c r="K209" s="11">
        <f t="shared" si="2"/>
        <v>-3.9090909090909092</v>
      </c>
      <c r="L209" s="12">
        <f>_xll.PDENSITY($K$209,Model!$A$191:$A$199,$K$194,$K$195,1)</f>
        <v>5.0558766724568089E-3</v>
      </c>
    </row>
    <row r="210" spans="8:12">
      <c r="H210">
        <v>11</v>
      </c>
      <c r="I210" s="3">
        <f t="shared" si="1"/>
        <v>3.7171717171717171</v>
      </c>
      <c r="J210" s="3">
        <f>_xll.PDENSITY($I$210,Model!$A$191:$A$199,$I$194,$I$195,1)</f>
        <v>0.22222222222222221</v>
      </c>
      <c r="K210" s="11">
        <f t="shared" si="2"/>
        <v>-3.5656565656565657</v>
      </c>
      <c r="L210" s="12">
        <f>_xll.PDENSITY($K$210,Model!$A$191:$A$199,$K$194,$K$195,1)</f>
        <v>6.6116986447505421E-3</v>
      </c>
    </row>
    <row r="211" spans="8:12">
      <c r="H211">
        <v>12</v>
      </c>
      <c r="I211" s="3">
        <f t="shared" si="1"/>
        <v>3.8888888888888888</v>
      </c>
      <c r="J211" s="3">
        <f>_xll.PDENSITY($I$211,Model!$A$191:$A$199,$I$194,$I$195,1)</f>
        <v>0.22222222222222221</v>
      </c>
      <c r="K211" s="11">
        <f t="shared" si="2"/>
        <v>-3.2222222222222223</v>
      </c>
      <c r="L211" s="12">
        <f>_xll.PDENSITY($K$211,Model!$A$191:$A$199,$K$194,$K$195,1)</f>
        <v>8.5545665021894545E-3</v>
      </c>
    </row>
    <row r="212" spans="8:12">
      <c r="H212">
        <v>13</v>
      </c>
      <c r="I212" s="3">
        <f t="shared" si="1"/>
        <v>4.0606060606060606</v>
      </c>
      <c r="J212" s="3">
        <f>_xll.PDENSITY($I$212,Model!$A$191:$A$199,$I$194,$I$195,1)</f>
        <v>0.22222222222222221</v>
      </c>
      <c r="K212" s="11">
        <f t="shared" si="2"/>
        <v>-2.8787878787878789</v>
      </c>
      <c r="L212" s="12">
        <f>_xll.PDENSITY($K$212,Model!$A$191:$A$199,$K$194,$K$195,1)</f>
        <v>1.0952459300675553E-2</v>
      </c>
    </row>
    <row r="213" spans="8:12">
      <c r="H213">
        <v>14</v>
      </c>
      <c r="I213" s="3">
        <f t="shared" si="1"/>
        <v>4.2323232323232327</v>
      </c>
      <c r="J213" s="3">
        <f>_xll.PDENSITY($I$213,Model!$A$191:$A$199,$I$194,$I$195,1)</f>
        <v>0.22222222222222221</v>
      </c>
      <c r="K213" s="11">
        <f t="shared" si="2"/>
        <v>-2.5353535353535355</v>
      </c>
      <c r="L213" s="12">
        <f>_xll.PDENSITY($K$213,Model!$A$191:$A$199,$K$194,$K$195,1)</f>
        <v>1.387774407083712E-2</v>
      </c>
    </row>
    <row r="214" spans="8:12">
      <c r="H214">
        <v>15</v>
      </c>
      <c r="I214" s="3">
        <f t="shared" si="1"/>
        <v>4.4040404040404049</v>
      </c>
      <c r="J214" s="3">
        <f>_xll.PDENSITY($I$214,Model!$A$191:$A$199,$I$194,$I$195,1)</f>
        <v>0.22222222222222221</v>
      </c>
      <c r="K214" s="11">
        <f t="shared" si="2"/>
        <v>-2.191919191919192</v>
      </c>
      <c r="L214" s="12">
        <f>_xll.PDENSITY($K$214,Model!$A$191:$A$199,$K$194,$K$195,1)</f>
        <v>1.7405618024267457E-2</v>
      </c>
    </row>
    <row r="215" spans="8:12">
      <c r="H215">
        <v>16</v>
      </c>
      <c r="I215" s="3">
        <f t="shared" si="1"/>
        <v>4.575757575757577</v>
      </c>
      <c r="J215" s="3">
        <f>_xll.PDENSITY($I$215,Model!$A$191:$A$199,$I$194,$I$195,1)</f>
        <v>0.22222222222222221</v>
      </c>
      <c r="K215" s="11">
        <f t="shared" si="2"/>
        <v>-1.8484848484848486</v>
      </c>
      <c r="L215" s="12">
        <f>_xll.PDENSITY($K$215,Model!$A$191:$A$199,$K$194,$K$195,1)</f>
        <v>2.1612164422406877E-2</v>
      </c>
    </row>
    <row r="216" spans="8:12">
      <c r="H216">
        <v>17</v>
      </c>
      <c r="I216" s="3">
        <f t="shared" si="1"/>
        <v>4.7474747474747492</v>
      </c>
      <c r="J216" s="3">
        <f>_xll.PDENSITY($I$216,Model!$A$191:$A$199,$I$194,$I$195,1)</f>
        <v>0.22222222222222221</v>
      </c>
      <c r="K216" s="11">
        <f t="shared" si="2"/>
        <v>-1.5050505050505052</v>
      </c>
      <c r="L216" s="12">
        <f>_xll.PDENSITY($K$216,Model!$A$191:$A$199,$K$194,$K$195,1)</f>
        <v>2.6572082402582537E-2</v>
      </c>
    </row>
    <row r="217" spans="8:12">
      <c r="H217">
        <v>18</v>
      </c>
      <c r="I217" s="3">
        <f t="shared" si="1"/>
        <v>4.9191919191919213</v>
      </c>
      <c r="J217" s="3">
        <f>_xll.PDENSITY($I$217,Model!$A$191:$A$199,$I$194,$I$195,1)</f>
        <v>0.22222222222222221</v>
      </c>
      <c r="K217" s="11">
        <f t="shared" si="2"/>
        <v>-1.1616161616161618</v>
      </c>
      <c r="L217" s="12">
        <f>_xll.PDENSITY($K$217,Model!$A$191:$A$199,$K$194,$K$195,1)</f>
        <v>3.2356185728058921E-2</v>
      </c>
    </row>
    <row r="218" spans="8:12">
      <c r="H218">
        <v>19</v>
      </c>
      <c r="I218" s="3">
        <f t="shared" si="1"/>
        <v>5.0909090909090935</v>
      </c>
      <c r="J218" s="3">
        <f>_xll.PDENSITY($I$218,Model!$A$191:$A$199,$I$194,$I$195,1)</f>
        <v>0.33333333333333331</v>
      </c>
      <c r="K218" s="11">
        <f t="shared" si="2"/>
        <v>-0.81818181818181834</v>
      </c>
      <c r="L218" s="12">
        <f>_xll.PDENSITY($K$218,Model!$A$191:$A$199,$K$194,$K$195,1)</f>
        <v>3.9028796676609551E-2</v>
      </c>
    </row>
    <row r="219" spans="8:12">
      <c r="H219">
        <v>20</v>
      </c>
      <c r="I219" s="3">
        <f t="shared" si="1"/>
        <v>5.2626262626262656</v>
      </c>
      <c r="J219" s="3">
        <f>_xll.PDENSITY($I$219,Model!$A$191:$A$199,$I$194,$I$195,1)</f>
        <v>0.33333333333333331</v>
      </c>
      <c r="K219" s="11">
        <f t="shared" si="2"/>
        <v>-0.47474747474747486</v>
      </c>
      <c r="L219" s="12">
        <f>_xll.PDENSITY($K$219,Model!$A$191:$A$199,$K$194,$K$195,1)</f>
        <v>4.6645185341902158E-2</v>
      </c>
    </row>
    <row r="220" spans="8:12">
      <c r="H220">
        <v>21</v>
      </c>
      <c r="I220" s="3">
        <f t="shared" si="1"/>
        <v>5.4343434343434378</v>
      </c>
      <c r="J220" s="3">
        <f>_xll.PDENSITY($I$220,Model!$A$191:$A$199,$I$194,$I$195,1)</f>
        <v>0.33333333333333331</v>
      </c>
      <c r="K220" s="11">
        <f t="shared" si="2"/>
        <v>-0.13131313131313138</v>
      </c>
      <c r="L220" s="12">
        <f>_xll.PDENSITY($K$220,Model!$A$191:$A$199,$K$194,$K$195,1)</f>
        <v>5.5249218076877007E-2</v>
      </c>
    </row>
    <row r="221" spans="8:12">
      <c r="H221">
        <v>22</v>
      </c>
      <c r="I221" s="3">
        <f t="shared" si="1"/>
        <v>5.60606060606061</v>
      </c>
      <c r="J221" s="3">
        <f>_xll.PDENSITY($I$221,Model!$A$191:$A$199,$I$194,$I$195,1)</f>
        <v>0.33333333333333331</v>
      </c>
      <c r="K221" s="11">
        <f t="shared" si="2"/>
        <v>0.2121212121212121</v>
      </c>
      <c r="L221" s="12">
        <f>_xll.PDENSITY($K$221,Model!$A$191:$A$199,$K$194,$K$195,1)</f>
        <v>6.4871379084574229E-2</v>
      </c>
    </row>
    <row r="222" spans="8:12">
      <c r="H222">
        <v>23</v>
      </c>
      <c r="I222" s="3">
        <f t="shared" si="1"/>
        <v>5.7777777777777821</v>
      </c>
      <c r="J222" s="3">
        <f>_xll.PDENSITY($I$222,Model!$A$191:$A$199,$I$194,$I$195,1)</f>
        <v>0.33333333333333331</v>
      </c>
      <c r="K222" s="11">
        <f t="shared" si="2"/>
        <v>0.55555555555555558</v>
      </c>
      <c r="L222" s="12">
        <f>_xll.PDENSITY($K$222,Model!$A$191:$A$199,$K$194,$K$195,1)</f>
        <v>7.5527314961119224E-2</v>
      </c>
    </row>
    <row r="223" spans="8:12">
      <c r="H223">
        <v>24</v>
      </c>
      <c r="I223" s="3">
        <f t="shared" si="1"/>
        <v>5.9494949494949543</v>
      </c>
      <c r="J223" s="3">
        <f>_xll.PDENSITY($I$223,Model!$A$191:$A$199,$I$194,$I$195,1)</f>
        <v>0.33333333333333331</v>
      </c>
      <c r="K223" s="11">
        <f t="shared" si="2"/>
        <v>0.89898989898989901</v>
      </c>
      <c r="L223" s="12">
        <f>_xll.PDENSITY($K$223,Model!$A$191:$A$199,$K$194,$K$195,1)</f>
        <v>8.7217023584593656E-2</v>
      </c>
    </row>
    <row r="224" spans="8:12">
      <c r="H224">
        <v>25</v>
      </c>
      <c r="I224" s="3">
        <f t="shared" si="1"/>
        <v>6.1212121212121264</v>
      </c>
      <c r="J224" s="3">
        <f>_xll.PDENSITY($I$224,Model!$A$191:$A$199,$I$194,$I$195,1)</f>
        <v>0.33333333333333331</v>
      </c>
      <c r="K224" s="11">
        <f t="shared" si="2"/>
        <v>1.2424242424242424</v>
      </c>
      <c r="L224" s="12">
        <f>_xll.PDENSITY($K$224,Model!$A$191:$A$199,$K$194,$K$195,1)</f>
        <v>9.9924768042298079E-2</v>
      </c>
    </row>
    <row r="225" spans="8:12">
      <c r="H225">
        <v>26</v>
      </c>
      <c r="I225" s="3">
        <f t="shared" si="1"/>
        <v>6.2929292929292986</v>
      </c>
      <c r="J225" s="3">
        <f>_xll.PDENSITY($I$225,Model!$A$191:$A$199,$I$194,$I$195,1)</f>
        <v>0.33333333333333331</v>
      </c>
      <c r="K225" s="11">
        <f t="shared" si="2"/>
        <v>1.5858585858585859</v>
      </c>
      <c r="L225" s="12">
        <f>_xll.PDENSITY($K$225,Model!$A$191:$A$199,$K$194,$K$195,1)</f>
        <v>0.11361974672774444</v>
      </c>
    </row>
    <row r="226" spans="8:12">
      <c r="H226">
        <v>27</v>
      </c>
      <c r="I226" s="3">
        <f t="shared" si="1"/>
        <v>6.4646464646464707</v>
      </c>
      <c r="J226" s="3">
        <f>_xll.PDENSITY($I$226,Model!$A$191:$A$199,$I$194,$I$195,1)</f>
        <v>0.33333333333333331</v>
      </c>
      <c r="K226" s="11">
        <f t="shared" si="2"/>
        <v>1.9292929292929293</v>
      </c>
      <c r="L226" s="12">
        <f>_xll.PDENSITY($K$226,Model!$A$191:$A$199,$K$194,$K$195,1)</f>
        <v>0.12825749689450713</v>
      </c>
    </row>
    <row r="227" spans="8:12">
      <c r="H227">
        <v>28</v>
      </c>
      <c r="I227" s="3">
        <f t="shared" si="1"/>
        <v>6.6363636363636429</v>
      </c>
      <c r="J227" s="3">
        <f>_xll.PDENSITY($I$227,Model!$A$191:$A$199,$I$194,$I$195,1)</f>
        <v>0.44444444444444442</v>
      </c>
      <c r="K227" s="11">
        <f t="shared" si="2"/>
        <v>2.2727272727272729</v>
      </c>
      <c r="L227" s="12">
        <f>_xll.PDENSITY($K$227,Model!$A$191:$A$199,$K$194,$K$195,1)</f>
        <v>0.14378189976380673</v>
      </c>
    </row>
    <row r="228" spans="8:12">
      <c r="H228">
        <v>29</v>
      </c>
      <c r="I228" s="3">
        <f t="shared" si="1"/>
        <v>6.8080808080808151</v>
      </c>
      <c r="J228" s="3">
        <f>_xll.PDENSITY($I$228,Model!$A$191:$A$199,$I$194,$I$195,1)</f>
        <v>0.44444444444444442</v>
      </c>
      <c r="K228" s="11">
        <f t="shared" si="2"/>
        <v>2.6161616161616164</v>
      </c>
      <c r="L228" s="12">
        <f>_xll.PDENSITY($K$228,Model!$A$191:$A$199,$K$194,$K$195,1)</f>
        <v>0.16012768633761051</v>
      </c>
    </row>
    <row r="229" spans="8:12">
      <c r="H229">
        <v>30</v>
      </c>
      <c r="I229" s="3">
        <f t="shared" si="1"/>
        <v>6.9797979797979872</v>
      </c>
      <c r="J229" s="3">
        <f>_xll.PDENSITY($I$229,Model!$A$191:$A$199,$I$194,$I$195,1)</f>
        <v>0.44444444444444442</v>
      </c>
      <c r="K229" s="11">
        <f t="shared" si="2"/>
        <v>2.9595959595959598</v>
      </c>
      <c r="L229" s="12">
        <f>_xll.PDENSITY($K$229,Model!$A$191:$A$199,$K$194,$K$195,1)</f>
        <v>0.17722330613850121</v>
      </c>
    </row>
    <row r="230" spans="8:12">
      <c r="H230">
        <v>31</v>
      </c>
      <c r="I230" s="3">
        <f t="shared" si="1"/>
        <v>7.1515151515151594</v>
      </c>
      <c r="J230" s="3">
        <f>_xll.PDENSITY($I$230,Model!$A$191:$A$199,$I$194,$I$195,1)</f>
        <v>0.44444444444444442</v>
      </c>
      <c r="K230" s="11">
        <f t="shared" si="2"/>
        <v>3.3030303030303032</v>
      </c>
      <c r="L230" s="12">
        <f>_xll.PDENSITY($K$230,Model!$A$191:$A$199,$K$194,$K$195,1)</f>
        <v>0.19499395430966299</v>
      </c>
    </row>
    <row r="231" spans="8:12">
      <c r="H231">
        <v>32</v>
      </c>
      <c r="I231" s="3">
        <f t="shared" si="1"/>
        <v>7.3232323232323315</v>
      </c>
      <c r="J231" s="3">
        <f>_xll.PDENSITY($I$231,Model!$A$191:$A$199,$I$194,$I$195,1)</f>
        <v>0.44444444444444442</v>
      </c>
      <c r="K231" s="11">
        <f t="shared" si="2"/>
        <v>3.6464646464646466</v>
      </c>
      <c r="L231" s="12">
        <f>_xll.PDENSITY($K$231,Model!$A$191:$A$199,$K$194,$K$195,1)</f>
        <v>0.21336443338305613</v>
      </c>
    </row>
    <row r="232" spans="8:12">
      <c r="H232">
        <v>33</v>
      </c>
      <c r="I232" s="3">
        <f t="shared" si="1"/>
        <v>7.4949494949495037</v>
      </c>
      <c r="J232" s="3">
        <f>_xll.PDENSITY($I$232,Model!$A$191:$A$199,$I$194,$I$195,1)</f>
        <v>0.44444444444444442</v>
      </c>
      <c r="K232" s="11">
        <f t="shared" si="2"/>
        <v>3.9898989898989901</v>
      </c>
      <c r="L232" s="12">
        <f>_xll.PDENSITY($K$232,Model!$A$191:$A$199,$K$194,$K$195,1)</f>
        <v>0.23226178014840004</v>
      </c>
    </row>
    <row r="233" spans="8:12">
      <c r="H233">
        <v>34</v>
      </c>
      <c r="I233" s="3">
        <f t="shared" ref="I233:I264" si="3">1/99*($I$193-$I$192)+I232</f>
        <v>7.6666666666666758</v>
      </c>
      <c r="J233" s="3">
        <f>_xll.PDENSITY($I$233,Model!$A$191:$A$199,$I$194,$I$195,1)</f>
        <v>0.44444444444444442</v>
      </c>
      <c r="K233" s="11">
        <f t="shared" ref="K233:K264" si="4">1/99*($K$193-$K$192)+K232</f>
        <v>4.3333333333333339</v>
      </c>
      <c r="L233" s="12">
        <f>_xll.PDENSITY($K$233,Model!$A$191:$A$199,$K$194,$K$195,1)</f>
        <v>0.25161745897383186</v>
      </c>
    </row>
    <row r="234" spans="8:12">
      <c r="H234">
        <v>35</v>
      </c>
      <c r="I234" s="3">
        <f t="shared" si="3"/>
        <v>7.838383838383848</v>
      </c>
      <c r="J234" s="3">
        <f>_xll.PDENSITY($I$234,Model!$A$191:$A$199,$I$194,$I$195,1)</f>
        <v>0.44444444444444442</v>
      </c>
      <c r="K234" s="11">
        <f t="shared" si="4"/>
        <v>4.6767676767676774</v>
      </c>
      <c r="L234" s="12">
        <f>_xll.PDENSITY($K$234,Model!$A$191:$A$199,$K$194,$K$195,1)</f>
        <v>0.27136895481959411</v>
      </c>
    </row>
    <row r="235" spans="8:12">
      <c r="H235">
        <v>36</v>
      </c>
      <c r="I235" s="3">
        <f t="shared" si="3"/>
        <v>8.0101010101010193</v>
      </c>
      <c r="J235" s="3">
        <f>_xll.PDENSITY($I$235,Model!$A$191:$A$199,$I$194,$I$195,1)</f>
        <v>0.44444444444444442</v>
      </c>
      <c r="K235" s="11">
        <f t="shared" si="4"/>
        <v>5.0202020202020208</v>
      </c>
      <c r="L235" s="12">
        <f>_xll.PDENSITY($K$235,Model!$A$191:$A$199,$K$194,$K$195,1)</f>
        <v>0.29146068381352913</v>
      </c>
    </row>
    <row r="236" spans="8:12">
      <c r="H236">
        <v>37</v>
      </c>
      <c r="I236" s="3">
        <f t="shared" si="3"/>
        <v>8.1818181818181905</v>
      </c>
      <c r="J236" s="3">
        <f>_xll.PDENSITY($I$236,Model!$A$191:$A$199,$I$194,$I$195,1)</f>
        <v>0.44444444444444442</v>
      </c>
      <c r="K236" s="11">
        <f t="shared" si="4"/>
        <v>5.3636363636363642</v>
      </c>
      <c r="L236" s="12">
        <f>_xll.PDENSITY($K$236,Model!$A$191:$A$199,$K$194,$K$195,1)</f>
        <v>0.31184408963717403</v>
      </c>
    </row>
    <row r="237" spans="8:12">
      <c r="H237">
        <v>38</v>
      </c>
      <c r="I237" s="3">
        <f t="shared" si="3"/>
        <v>8.3535353535353618</v>
      </c>
      <c r="J237" s="3">
        <f>_xll.PDENSITY($I$237,Model!$A$191:$A$199,$I$194,$I$195,1)</f>
        <v>0.44444444444444442</v>
      </c>
      <c r="K237" s="11">
        <f t="shared" si="4"/>
        <v>5.7070707070707076</v>
      </c>
      <c r="L237" s="12">
        <f>_xll.PDENSITY($K$237,Model!$A$191:$A$199,$K$194,$K$195,1)</f>
        <v>0.33247716819631506</v>
      </c>
    </row>
    <row r="238" spans="8:12">
      <c r="H238">
        <v>39</v>
      </c>
      <c r="I238" s="3">
        <f t="shared" si="3"/>
        <v>8.5252525252525331</v>
      </c>
      <c r="J238" s="3">
        <f>_xll.PDENSITY($I$238,Model!$A$191:$A$199,$I$194,$I$195,1)</f>
        <v>0.44444444444444442</v>
      </c>
      <c r="K238" s="11">
        <f t="shared" si="4"/>
        <v>6.0505050505050511</v>
      </c>
      <c r="L238" s="12">
        <f>_xll.PDENSITY($K$238,Model!$A$191:$A$199,$K$194,$K$195,1)</f>
        <v>0.35332331765216474</v>
      </c>
    </row>
    <row r="239" spans="8:12">
      <c r="H239">
        <v>40</v>
      </c>
      <c r="I239" s="3">
        <f t="shared" si="3"/>
        <v>8.6969696969697043</v>
      </c>
      <c r="J239" s="3">
        <f>_xll.PDENSITY($I$239,Model!$A$191:$A$199,$I$194,$I$195,1)</f>
        <v>0.44444444444444442</v>
      </c>
      <c r="K239" s="11">
        <f t="shared" si="4"/>
        <v>6.3939393939393945</v>
      </c>
      <c r="L239" s="12">
        <f>_xll.PDENSITY($K$239,Model!$A$191:$A$199,$K$194,$K$195,1)</f>
        <v>0.37434962218780249</v>
      </c>
    </row>
    <row r="240" spans="8:12">
      <c r="H240">
        <v>41</v>
      </c>
      <c r="I240" s="3">
        <f t="shared" si="3"/>
        <v>8.8686868686868756</v>
      </c>
      <c r="J240" s="3">
        <f>_xll.PDENSITY($I$240,Model!$A$191:$A$199,$I$194,$I$195,1)</f>
        <v>0.44444444444444442</v>
      </c>
      <c r="K240" s="11">
        <f t="shared" si="4"/>
        <v>6.7373737373737379</v>
      </c>
      <c r="L240" s="12">
        <f>_xll.PDENSITY($K$240,Model!$A$191:$A$199,$K$194,$K$195,1)</f>
        <v>0.39552482694519636</v>
      </c>
    </row>
    <row r="241" spans="8:12">
      <c r="H241">
        <v>42</v>
      </c>
      <c r="I241" s="3">
        <f t="shared" si="3"/>
        <v>9.0404040404040469</v>
      </c>
      <c r="J241" s="3">
        <f>_xll.PDENSITY($I$241,Model!$A$191:$A$199,$I$194,$I$195,1)</f>
        <v>0.55555555555555558</v>
      </c>
      <c r="K241" s="11">
        <f t="shared" si="4"/>
        <v>7.0808080808080813</v>
      </c>
      <c r="L241" s="12">
        <f>_xll.PDENSITY($K$241,Model!$A$191:$A$199,$K$194,$K$195,1)</f>
        <v>0.4168171083188919</v>
      </c>
    </row>
    <row r="242" spans="8:12">
      <c r="H242">
        <v>43</v>
      </c>
      <c r="I242" s="3">
        <f t="shared" si="3"/>
        <v>9.2121212121212182</v>
      </c>
      <c r="J242" s="3">
        <f>_xll.PDENSITY($I$242,Model!$A$191:$A$199,$I$194,$I$195,1)</f>
        <v>0.55555555555555558</v>
      </c>
      <c r="K242" s="11">
        <f t="shared" si="4"/>
        <v>7.4242424242424248</v>
      </c>
      <c r="L242" s="12">
        <f>_xll.PDENSITY($K$242,Model!$A$191:$A$199,$K$194,$K$195,1)</f>
        <v>0.43819207164500074</v>
      </c>
    </row>
    <row r="243" spans="8:12">
      <c r="H243">
        <v>44</v>
      </c>
      <c r="I243" s="3">
        <f t="shared" si="3"/>
        <v>9.3838383838383894</v>
      </c>
      <c r="J243" s="3">
        <f>_xll.PDENSITY($I$243,Model!$A$191:$A$199,$I$194,$I$195,1)</f>
        <v>0.55555555555555558</v>
      </c>
      <c r="K243" s="11">
        <f t="shared" si="4"/>
        <v>7.7676767676767682</v>
      </c>
      <c r="L243" s="12">
        <f>_xll.PDENSITY($K$243,Model!$A$191:$A$199,$K$194,$K$195,1)</f>
        <v>0.45961078733127586</v>
      </c>
    </row>
    <row r="244" spans="8:12">
      <c r="H244">
        <v>45</v>
      </c>
      <c r="I244" s="3">
        <f t="shared" si="3"/>
        <v>9.5555555555555607</v>
      </c>
      <c r="J244" s="3">
        <f>_xll.PDENSITY($I$244,Model!$A$191:$A$199,$I$194,$I$195,1)</f>
        <v>0.55555555555555558</v>
      </c>
      <c r="K244" s="11">
        <f t="shared" si="4"/>
        <v>8.1111111111111125</v>
      </c>
      <c r="L244" s="12">
        <f>_xll.PDENSITY($K$244,Model!$A$191:$A$199,$K$194,$K$195,1)</f>
        <v>0.48102837546982768</v>
      </c>
    </row>
    <row r="245" spans="8:12">
      <c r="H245">
        <v>46</v>
      </c>
      <c r="I245" s="3">
        <f t="shared" si="3"/>
        <v>9.727272727272732</v>
      </c>
      <c r="J245" s="3">
        <f>_xll.PDENSITY($I$245,Model!$A$191:$A$199,$I$194,$I$195,1)</f>
        <v>0.55555555555555558</v>
      </c>
      <c r="K245" s="11">
        <f t="shared" si="4"/>
        <v>8.4545454545454568</v>
      </c>
      <c r="L245" s="12">
        <f>_xll.PDENSITY($K$245,Model!$A$191:$A$199,$K$194,$K$195,1)</f>
        <v>0.50239318724619775</v>
      </c>
    </row>
    <row r="246" spans="8:12">
      <c r="H246">
        <v>47</v>
      </c>
      <c r="I246" s="3">
        <f t="shared" si="3"/>
        <v>9.8989898989899032</v>
      </c>
      <c r="J246" s="3">
        <f>_xll.PDENSITY($I$246,Model!$A$191:$A$199,$I$194,$I$195,1)</f>
        <v>0.55555555555555558</v>
      </c>
      <c r="K246" s="11">
        <f t="shared" si="4"/>
        <v>8.7979797979798011</v>
      </c>
      <c r="L246" s="12">
        <f>_xll.PDENSITY($K$246,Model!$A$191:$A$199,$K$194,$K$195,1)</f>
        <v>0.52364668822861704</v>
      </c>
    </row>
    <row r="247" spans="8:12">
      <c r="H247">
        <v>48</v>
      </c>
      <c r="I247" s="3">
        <f t="shared" si="3"/>
        <v>10.070707070707074</v>
      </c>
      <c r="J247" s="3">
        <f>_xll.PDENSITY($I$247,Model!$A$191:$A$199,$I$194,$I$195,1)</f>
        <v>0.66666666666666663</v>
      </c>
      <c r="K247" s="11">
        <f t="shared" si="4"/>
        <v>9.1414141414141454</v>
      </c>
      <c r="L247" s="12">
        <f>_xll.PDENSITY($K$247,Model!$A$191:$A$199,$K$194,$K$195,1)</f>
        <v>0.54472408342723411</v>
      </c>
    </row>
    <row r="248" spans="8:12">
      <c r="H248">
        <v>49</v>
      </c>
      <c r="I248" s="3">
        <f t="shared" si="3"/>
        <v>10.242424242424246</v>
      </c>
      <c r="J248" s="3">
        <f>_xll.PDENSITY($I$248,Model!$A$191:$A$199,$I$194,$I$195,1)</f>
        <v>0.66666666666666663</v>
      </c>
      <c r="K248" s="11">
        <f t="shared" si="4"/>
        <v>9.4848484848484897</v>
      </c>
      <c r="L248" s="12">
        <f>_xll.PDENSITY($K$248,Model!$A$191:$A$199,$K$194,$K$195,1)</f>
        <v>0.56555557289986358</v>
      </c>
    </row>
    <row r="249" spans="8:12">
      <c r="H249">
        <v>50</v>
      </c>
      <c r="I249" s="3">
        <f t="shared" si="3"/>
        <v>10.414141414141417</v>
      </c>
      <c r="J249" s="3">
        <f>_xll.PDENSITY($I$249,Model!$A$191:$A$199,$I$194,$I$195,1)</f>
        <v>0.66666666666666663</v>
      </c>
      <c r="K249" s="11">
        <f t="shared" si="4"/>
        <v>9.8282828282828341</v>
      </c>
      <c r="L249" s="12">
        <f>_xll.PDENSITY($K$249,Model!$A$191:$A$199,$K$194,$K$195,1)</f>
        <v>0.58606848103198528</v>
      </c>
    </row>
    <row r="250" spans="8:12">
      <c r="H250">
        <v>51</v>
      </c>
      <c r="I250" s="3">
        <f t="shared" si="3"/>
        <v>10.585858585858588</v>
      </c>
      <c r="J250" s="3">
        <f>_xll.PDENSITY($I$250,Model!$A$191:$A$199,$I$194,$I$195,1)</f>
        <v>0.66666666666666663</v>
      </c>
      <c r="K250" s="11">
        <f t="shared" si="4"/>
        <v>10.171717171717178</v>
      </c>
      <c r="L250" s="12">
        <f>_xll.PDENSITY($K$250,Model!$A$191:$A$199,$K$194,$K$195,1)</f>
        <v>0.60618966404399566</v>
      </c>
    </row>
    <row r="251" spans="8:12">
      <c r="H251">
        <v>52</v>
      </c>
      <c r="I251" s="3">
        <f t="shared" si="3"/>
        <v>10.75757575757576</v>
      </c>
      <c r="J251" s="3">
        <f>_xll.PDENSITY($I$251,Model!$A$191:$A$199,$I$194,$I$195,1)</f>
        <v>0.66666666666666663</v>
      </c>
      <c r="K251" s="11">
        <f t="shared" si="4"/>
        <v>10.515151515151523</v>
      </c>
      <c r="L251" s="12">
        <f>_xll.PDENSITY($K$251,Model!$A$191:$A$199,$K$194,$K$195,1)</f>
        <v>0.62584820779197947</v>
      </c>
    </row>
    <row r="252" spans="8:12">
      <c r="H252">
        <v>53</v>
      </c>
      <c r="I252" s="3">
        <f t="shared" si="3"/>
        <v>10.929292929292931</v>
      </c>
      <c r="J252" s="3">
        <f>_xll.PDENSITY($I$252,Model!$A$191:$A$199,$I$194,$I$195,1)</f>
        <v>0.66666666666666663</v>
      </c>
      <c r="K252" s="11">
        <f t="shared" si="4"/>
        <v>10.858585858585867</v>
      </c>
      <c r="L252" s="12">
        <f>_xll.PDENSITY($K$252,Model!$A$191:$A$199,$K$194,$K$195,1)</f>
        <v>0.64497845593831882</v>
      </c>
    </row>
    <row r="253" spans="8:12">
      <c r="H253">
        <v>54</v>
      </c>
      <c r="I253" s="3">
        <f t="shared" si="3"/>
        <v>11.101010101010102</v>
      </c>
      <c r="J253" s="3">
        <f>_xll.PDENSITY($I$253,Model!$A$191:$A$199,$I$194,$I$195,1)</f>
        <v>0.77777777777777779</v>
      </c>
      <c r="K253" s="11">
        <f t="shared" si="4"/>
        <v>11.202020202020211</v>
      </c>
      <c r="L253" s="12">
        <f>_xll.PDENSITY($K$253,Model!$A$191:$A$199,$K$194,$K$195,1)</f>
        <v>0.66352264275442008</v>
      </c>
    </row>
    <row r="254" spans="8:12">
      <c r="H254">
        <v>55</v>
      </c>
      <c r="I254" s="3">
        <f t="shared" si="3"/>
        <v>11.272727272727273</v>
      </c>
      <c r="J254" s="3">
        <f>_xll.PDENSITY($I$254,Model!$A$191:$A$199,$I$194,$I$195,1)</f>
        <v>0.77777777777777779</v>
      </c>
      <c r="K254" s="11">
        <f t="shared" si="4"/>
        <v>11.545454545454556</v>
      </c>
      <c r="L254" s="12">
        <f>_xll.PDENSITY($K$254,Model!$A$191:$A$199,$K$194,$K$195,1)</f>
        <v>0.68143317540430204</v>
      </c>
    </row>
    <row r="255" spans="8:12">
      <c r="H255">
        <v>56</v>
      </c>
      <c r="I255" s="3">
        <f t="shared" si="3"/>
        <v>11.444444444444445</v>
      </c>
      <c r="J255" s="3">
        <f>_xll.PDENSITY($I$255,Model!$A$191:$A$199,$I$194,$I$195,1)</f>
        <v>0.77777777777777779</v>
      </c>
      <c r="K255" s="11">
        <f t="shared" si="4"/>
        <v>11.8888888888889</v>
      </c>
      <c r="L255" s="12">
        <f>_xll.PDENSITY($K$255,Model!$A$191:$A$199,$K$194,$K$195,1)</f>
        <v>0.69867458674979732</v>
      </c>
    </row>
    <row r="256" spans="8:12">
      <c r="H256">
        <v>57</v>
      </c>
      <c r="I256" s="3">
        <f t="shared" si="3"/>
        <v>11.616161616161616</v>
      </c>
      <c r="J256" s="3">
        <f>_xll.PDENSITY($I$256,Model!$A$191:$A$199,$I$194,$I$195,1)</f>
        <v>0.77777777777777779</v>
      </c>
      <c r="K256" s="11">
        <f t="shared" si="4"/>
        <v>12.232323232323244</v>
      </c>
      <c r="L256" s="12">
        <f>_xll.PDENSITY($K$256,Model!$A$191:$A$199,$K$194,$K$195,1)</f>
        <v>0.71522457517897164</v>
      </c>
    </row>
    <row r="257" spans="8:12">
      <c r="H257">
        <v>58</v>
      </c>
      <c r="I257" s="3">
        <f t="shared" si="3"/>
        <v>11.787878787878787</v>
      </c>
      <c r="J257" s="3">
        <f>_xll.PDENSITY($I$257,Model!$A$191:$A$199,$I$194,$I$195,1)</f>
        <v>0.77777777777777779</v>
      </c>
      <c r="K257" s="11">
        <f t="shared" si="4"/>
        <v>12.575757575757589</v>
      </c>
      <c r="L257" s="12">
        <f>_xll.PDENSITY($K$257,Model!$A$191:$A$199,$K$194,$K$195,1)</f>
        <v>0.73107438750796494</v>
      </c>
    </row>
    <row r="258" spans="8:12">
      <c r="H258">
        <v>59</v>
      </c>
      <c r="I258" s="3">
        <f t="shared" si="3"/>
        <v>11.959595959595958</v>
      </c>
      <c r="J258" s="3">
        <f>_xll.PDENSITY($I$258,Model!$A$191:$A$199,$I$194,$I$195,1)</f>
        <v>0.77777777777777779</v>
      </c>
      <c r="K258" s="11">
        <f t="shared" si="4"/>
        <v>12.919191919191933</v>
      </c>
      <c r="L258" s="12">
        <f>_xll.PDENSITY($K$258,Model!$A$191:$A$199,$K$194,$K$195,1)</f>
        <v>0.74622844481445438</v>
      </c>
    </row>
    <row r="259" spans="8:12">
      <c r="H259">
        <v>60</v>
      </c>
      <c r="I259" s="3">
        <f t="shared" si="3"/>
        <v>12.13131313131313</v>
      </c>
      <c r="J259" s="3">
        <f>_xll.PDENSITY($I$259,Model!$A$191:$A$199,$I$194,$I$195,1)</f>
        <v>0.77777777777777779</v>
      </c>
      <c r="K259" s="11">
        <f t="shared" si="4"/>
        <v>13.262626262626277</v>
      </c>
      <c r="L259" s="12">
        <f>_xll.PDENSITY($K$259,Model!$A$191:$A$199,$K$194,$K$195,1)</f>
        <v>0.76070325683973106</v>
      </c>
    </row>
    <row r="260" spans="8:12">
      <c r="H260">
        <v>61</v>
      </c>
      <c r="I260" s="3">
        <f t="shared" si="3"/>
        <v>12.303030303030301</v>
      </c>
      <c r="J260" s="3">
        <f>_xll.PDENSITY($I$260,Model!$A$191:$A$199,$I$194,$I$195,1)</f>
        <v>0.77777777777777779</v>
      </c>
      <c r="K260" s="11">
        <f t="shared" si="4"/>
        <v>13.606060606060622</v>
      </c>
      <c r="L260" s="12">
        <f>_xll.PDENSITY($K$260,Model!$A$191:$A$199,$K$194,$K$195,1)</f>
        <v>0.77452573463171381</v>
      </c>
    </row>
    <row r="261" spans="8:12">
      <c r="H261">
        <v>62</v>
      </c>
      <c r="I261" s="3">
        <f t="shared" si="3"/>
        <v>12.474747474747472</v>
      </c>
      <c r="J261" s="3">
        <f>_xll.PDENSITY($I$261,Model!$A$191:$A$199,$I$194,$I$195,1)</f>
        <v>0.77777777777777779</v>
      </c>
      <c r="K261" s="11">
        <f t="shared" si="4"/>
        <v>13.949494949494966</v>
      </c>
      <c r="L261" s="12">
        <f>_xll.PDENSITY($K$261,Model!$A$191:$A$199,$K$194,$K$195,1)</f>
        <v>0.78773104749096001</v>
      </c>
    </row>
    <row r="262" spans="8:12">
      <c r="H262">
        <v>63</v>
      </c>
      <c r="I262" s="3">
        <f t="shared" si="3"/>
        <v>12.646464646464644</v>
      </c>
      <c r="J262" s="3">
        <f>_xll.PDENSITY($I$262,Model!$A$191:$A$199,$I$194,$I$195,1)</f>
        <v>0.77777777777777779</v>
      </c>
      <c r="K262" s="11">
        <f t="shared" si="4"/>
        <v>14.29292929292931</v>
      </c>
      <c r="L262" s="12">
        <f>_xll.PDENSITY($K$262,Model!$A$191:$A$199,$K$194,$K$195,1)</f>
        <v>0.80036019098902123</v>
      </c>
    </row>
    <row r="263" spans="8:12">
      <c r="H263">
        <v>64</v>
      </c>
      <c r="I263" s="3">
        <f t="shared" si="3"/>
        <v>12.818181818181815</v>
      </c>
      <c r="J263" s="3">
        <f>_xll.PDENSITY($I$263,Model!$A$191:$A$199,$I$194,$I$195,1)</f>
        <v>0.77777777777777779</v>
      </c>
      <c r="K263" s="11">
        <f t="shared" si="4"/>
        <v>14.636363636363654</v>
      </c>
      <c r="L263" s="12">
        <f>_xll.PDENSITY($K$263,Model!$A$191:$A$199,$K$194,$K$195,1)</f>
        <v>0.81245743771254486</v>
      </c>
    </row>
    <row r="264" spans="8:12">
      <c r="H264">
        <v>65</v>
      </c>
      <c r="I264" s="3">
        <f t="shared" si="3"/>
        <v>12.989898989898986</v>
      </c>
      <c r="J264" s="3">
        <f>_xll.PDENSITY($I$264,Model!$A$191:$A$199,$I$194,$I$195,1)</f>
        <v>0.77777777777777779</v>
      </c>
      <c r="K264" s="11">
        <f t="shared" si="4"/>
        <v>14.979797979797999</v>
      </c>
      <c r="L264" s="12">
        <f>_xll.PDENSITY($K$264,Model!$A$191:$A$199,$K$194,$K$195,1)</f>
        <v>0.82406783333131606</v>
      </c>
    </row>
    <row r="265" spans="8:12">
      <c r="H265">
        <v>66</v>
      </c>
      <c r="I265" s="3">
        <f t="shared" ref="I265:I299" si="5">1/99*($I$193-$I$192)+I264</f>
        <v>13.161616161616157</v>
      </c>
      <c r="J265" s="3">
        <f>_xll.PDENSITY($I$265,Model!$A$191:$A$199,$I$194,$I$195,1)</f>
        <v>0.77777777777777779</v>
      </c>
      <c r="K265" s="11">
        <f t="shared" ref="K265:K299" si="6">1/99*($K$193-$K$192)+K264</f>
        <v>15.323232323232343</v>
      </c>
      <c r="L265" s="12">
        <f>_xll.PDENSITY($K$265,Model!$A$191:$A$199,$K$194,$K$195,1)</f>
        <v>0.83523479991058502</v>
      </c>
    </row>
    <row r="266" spans="8:12">
      <c r="H266">
        <v>67</v>
      </c>
      <c r="I266" s="3">
        <f t="shared" si="5"/>
        <v>13.333333333333329</v>
      </c>
      <c r="J266" s="3">
        <f>_xll.PDENSITY($I$266,Model!$A$191:$A$199,$I$194,$I$195,1)</f>
        <v>0.77777777777777779</v>
      </c>
      <c r="K266" s="11">
        <f t="shared" si="6"/>
        <v>15.666666666666687</v>
      </c>
      <c r="L266" s="12">
        <f>_xll.PDENSITY($K$266,Model!$A$191:$A$199,$K$194,$K$195,1)</f>
        <v>0.84599808710619184</v>
      </c>
    </row>
    <row r="267" spans="8:12">
      <c r="H267">
        <v>68</v>
      </c>
      <c r="I267" s="3">
        <f t="shared" si="5"/>
        <v>13.5050505050505</v>
      </c>
      <c r="J267" s="3">
        <f>_xll.PDENSITY($I$267,Model!$A$191:$A$199,$I$194,$I$195,1)</f>
        <v>0.77777777777777779</v>
      </c>
      <c r="K267" s="11">
        <f t="shared" si="6"/>
        <v>16.010101010101032</v>
      </c>
      <c r="L267" s="12">
        <f>_xll.PDENSITY($K$267,Model!$A$191:$A$199,$K$194,$K$195,1)</f>
        <v>0.85639213253951096</v>
      </c>
    </row>
    <row r="268" spans="8:12">
      <c r="H268">
        <v>69</v>
      </c>
      <c r="I268" s="3">
        <f t="shared" si="5"/>
        <v>13.676767676767671</v>
      </c>
      <c r="J268" s="3">
        <f>_xll.PDENSITY($I$268,Model!$A$191:$A$199,$I$194,$I$195,1)</f>
        <v>0.77777777777777779</v>
      </c>
      <c r="K268" s="11">
        <f t="shared" si="6"/>
        <v>16.353535353535374</v>
      </c>
      <c r="L268" s="12">
        <f>_xll.PDENSITY($K$268,Model!$A$191:$A$199,$K$194,$K$195,1)</f>
        <v>0.86644470247507266</v>
      </c>
    </row>
    <row r="269" spans="8:12">
      <c r="H269">
        <v>70</v>
      </c>
      <c r="I269" s="3">
        <f t="shared" si="5"/>
        <v>13.848484848484842</v>
      </c>
      <c r="J269" s="3">
        <f>_xll.PDENSITY($I$269,Model!$A$191:$A$199,$I$194,$I$195,1)</f>
        <v>0.77777777777777779</v>
      </c>
      <c r="K269" s="11">
        <f t="shared" si="6"/>
        <v>16.696969696969717</v>
      </c>
      <c r="L269" s="12">
        <f>_xll.PDENSITY($K$269,Model!$A$191:$A$199,$K$194,$K$195,1)</f>
        <v>0.87617605868140402</v>
      </c>
    </row>
    <row r="270" spans="8:12">
      <c r="H270">
        <v>71</v>
      </c>
      <c r="I270" s="3">
        <f t="shared" si="5"/>
        <v>14.020202020202014</v>
      </c>
      <c r="J270" s="3">
        <f>_xll.PDENSITY($I$270,Model!$A$191:$A$199,$I$194,$I$195,1)</f>
        <v>0.77777777777777779</v>
      </c>
      <c r="K270" s="11">
        <f t="shared" si="6"/>
        <v>17.040404040404059</v>
      </c>
      <c r="L270" s="12">
        <f>_xll.PDENSITY($K$270,Model!$A$191:$A$199,$K$194,$K$195,1)</f>
        <v>0.8855985578723149</v>
      </c>
    </row>
    <row r="271" spans="8:12">
      <c r="H271">
        <v>72</v>
      </c>
      <c r="I271" s="3">
        <f t="shared" si="5"/>
        <v>14.191919191919185</v>
      </c>
      <c r="J271" s="3">
        <f>_xll.PDENSITY($I$271,Model!$A$191:$A$199,$I$194,$I$195,1)</f>
        <v>0.77777777777777779</v>
      </c>
      <c r="K271" s="11">
        <f t="shared" si="6"/>
        <v>17.383838383838402</v>
      </c>
      <c r="L271" s="12">
        <f>_xll.PDENSITY($K$271,Model!$A$191:$A$199,$K$194,$K$195,1)</f>
        <v>0.89471667565674506</v>
      </c>
    </row>
    <row r="272" spans="8:12">
      <c r="H272">
        <v>73</v>
      </c>
      <c r="I272" s="3">
        <f t="shared" si="5"/>
        <v>14.363636363636356</v>
      </c>
      <c r="J272" s="3">
        <f>_xll.PDENSITY($I$272,Model!$A$191:$A$199,$I$194,$I$195,1)</f>
        <v>0.77777777777777779</v>
      </c>
      <c r="K272" s="11">
        <f t="shared" si="6"/>
        <v>17.727272727272744</v>
      </c>
      <c r="L272" s="12">
        <f>_xll.PDENSITY($K$272,Model!$A$191:$A$199,$K$194,$K$195,1)</f>
        <v>0.9035274326621151</v>
      </c>
    </row>
    <row r="273" spans="8:12">
      <c r="H273">
        <v>74</v>
      </c>
      <c r="I273" s="3">
        <f t="shared" si="5"/>
        <v>14.535353535353527</v>
      </c>
      <c r="J273" s="3">
        <f>_xll.PDENSITY($I$273,Model!$A$191:$A$199,$I$194,$I$195,1)</f>
        <v>0.77777777777777779</v>
      </c>
      <c r="K273" s="11">
        <f t="shared" si="6"/>
        <v>18.070707070707087</v>
      </c>
      <c r="L273" s="12">
        <f>_xll.PDENSITY($K$273,Model!$A$191:$A$199,$K$194,$K$195,1)</f>
        <v>0.91202118834244983</v>
      </c>
    </row>
    <row r="274" spans="8:12">
      <c r="H274">
        <v>75</v>
      </c>
      <c r="I274" s="3">
        <f t="shared" si="5"/>
        <v>14.707070707070699</v>
      </c>
      <c r="J274" s="3">
        <f>_xll.PDENSITY($I$274,Model!$A$191:$A$199,$I$194,$I$195,1)</f>
        <v>0.77777777777777779</v>
      </c>
      <c r="K274" s="11">
        <f t="shared" si="6"/>
        <v>18.414141414141429</v>
      </c>
      <c r="L274" s="12">
        <f>_xll.PDENSITY($K$274,Model!$A$191:$A$199,$K$194,$K$195,1)</f>
        <v>0.9201827569276152</v>
      </c>
    </row>
    <row r="275" spans="8:12">
      <c r="H275">
        <v>76</v>
      </c>
      <c r="I275" s="3">
        <f t="shared" si="5"/>
        <v>14.87878787878787</v>
      </c>
      <c r="J275" s="3">
        <f>_xll.PDENSITY($I$275,Model!$A$191:$A$199,$I$194,$I$195,1)</f>
        <v>0.77777777777777779</v>
      </c>
      <c r="K275" s="11">
        <f t="shared" si="6"/>
        <v>18.757575757575772</v>
      </c>
      <c r="L275" s="12">
        <f>_xll.PDENSITY($K$275,Model!$A$191:$A$199,$K$194,$K$195,1)</f>
        <v>0.92799278934776275</v>
      </c>
    </row>
    <row r="276" spans="8:12">
      <c r="H276">
        <v>77</v>
      </c>
      <c r="I276" s="3">
        <f t="shared" si="5"/>
        <v>15.050505050505041</v>
      </c>
      <c r="J276" s="3">
        <f>_xll.PDENSITY($I$276,Model!$A$191:$A$199,$I$194,$I$195,1)</f>
        <v>0.88888888888888884</v>
      </c>
      <c r="K276" s="11">
        <f t="shared" si="6"/>
        <v>19.101010101010115</v>
      </c>
      <c r="L276" s="12">
        <f>_xll.PDENSITY($K$276,Model!$A$191:$A$199,$K$194,$K$195,1)</f>
        <v>0.93542934764803931</v>
      </c>
    </row>
    <row r="277" spans="8:12">
      <c r="H277">
        <v>78</v>
      </c>
      <c r="I277" s="3">
        <f t="shared" si="5"/>
        <v>15.222222222222213</v>
      </c>
      <c r="J277" s="3">
        <f>_xll.PDENSITY($I$277,Model!$A$191:$A$199,$I$194,$I$195,1)</f>
        <v>0.88888888888888884</v>
      </c>
      <c r="K277" s="11">
        <f t="shared" si="6"/>
        <v>19.444444444444457</v>
      </c>
      <c r="L277" s="12">
        <f>_xll.PDENSITY($K$277,Model!$A$191:$A$199,$K$194,$K$195,1)</f>
        <v>0.94246948219948323</v>
      </c>
    </row>
    <row r="278" spans="8:12">
      <c r="H278">
        <v>79</v>
      </c>
      <c r="I278" s="3">
        <f t="shared" si="5"/>
        <v>15.393939393939384</v>
      </c>
      <c r="J278" s="3">
        <f>_xll.PDENSITY($I$278,Model!$A$191:$A$199,$I$194,$I$195,1)</f>
        <v>0.88888888888888884</v>
      </c>
      <c r="K278" s="11">
        <f t="shared" si="6"/>
        <v>19.7878787878788</v>
      </c>
      <c r="L278" s="12">
        <f>_xll.PDENSITY($K$278,Model!$A$191:$A$199,$K$194,$K$195,1)</f>
        <v>0.949091040795497</v>
      </c>
    </row>
    <row r="279" spans="8:12">
      <c r="H279">
        <v>80</v>
      </c>
      <c r="I279" s="3">
        <f t="shared" si="5"/>
        <v>15.565656565656555</v>
      </c>
      <c r="J279" s="3">
        <f>_xll.PDENSITY($I$279,Model!$A$191:$A$199,$I$194,$I$195,1)</f>
        <v>0.88888888888888884</v>
      </c>
      <c r="K279" s="11">
        <f t="shared" si="6"/>
        <v>20.131313131313142</v>
      </c>
      <c r="L279" s="12">
        <f>_xll.PDENSITY($K$279,Model!$A$191:$A$199,$K$194,$K$195,1)</f>
        <v>0.95527422800687012</v>
      </c>
    </row>
    <row r="280" spans="8:12">
      <c r="H280">
        <v>81</v>
      </c>
      <c r="I280" s="3">
        <f t="shared" si="5"/>
        <v>15.737373737373726</v>
      </c>
      <c r="J280" s="3">
        <f>_xll.PDENSITY($I$280,Model!$A$191:$A$199,$I$194,$I$195,1)</f>
        <v>0.88888888888888884</v>
      </c>
      <c r="K280" s="11">
        <f t="shared" si="6"/>
        <v>20.474747474747485</v>
      </c>
      <c r="L280" s="12">
        <f>_xll.PDENSITY($K$280,Model!$A$191:$A$199,$K$194,$K$195,1)</f>
        <v>0.9610030362155888</v>
      </c>
    </row>
    <row r="281" spans="8:12">
      <c r="H281">
        <v>82</v>
      </c>
      <c r="I281" s="3">
        <f t="shared" si="5"/>
        <v>15.909090909090898</v>
      </c>
      <c r="J281" s="3">
        <f>_xll.PDENSITY($I$281,Model!$A$191:$A$199,$I$194,$I$195,1)</f>
        <v>0.88888888888888884</v>
      </c>
      <c r="K281" s="11">
        <f t="shared" si="6"/>
        <v>20.818181818181827</v>
      </c>
      <c r="L281" s="12">
        <f>_xll.PDENSITY($K$281,Model!$A$191:$A$199,$K$194,$K$195,1)</f>
        <v>0.96626646168480024</v>
      </c>
    </row>
    <row r="282" spans="8:12">
      <c r="H282">
        <v>83</v>
      </c>
      <c r="I282" s="3">
        <f t="shared" si="5"/>
        <v>16.080808080808069</v>
      </c>
      <c r="J282" s="3">
        <f>_xll.PDENSITY($I$282,Model!$A$191:$A$199,$I$194,$I$195,1)</f>
        <v>0.88888888888888884</v>
      </c>
      <c r="K282" s="11">
        <f t="shared" si="6"/>
        <v>21.16161616161617</v>
      </c>
      <c r="L282" s="12">
        <f>_xll.PDENSITY($K$282,Model!$A$191:$A$199,$K$194,$K$195,1)</f>
        <v>0.97105940186446249</v>
      </c>
    </row>
    <row r="283" spans="8:12">
      <c r="H283">
        <v>84</v>
      </c>
      <c r="I283" s="3">
        <f t="shared" si="5"/>
        <v>16.252525252525242</v>
      </c>
      <c r="J283" s="3">
        <f>_xll.PDENSITY($I$283,Model!$A$191:$A$199,$I$194,$I$195,1)</f>
        <v>0.88888888888888884</v>
      </c>
      <c r="K283" s="11">
        <f t="shared" si="6"/>
        <v>21.505050505050512</v>
      </c>
      <c r="L283" s="12">
        <f>_xll.PDENSITY($K$283,Model!$A$191:$A$199,$K$194,$K$195,1)</f>
        <v>0.97538319396828954</v>
      </c>
    </row>
    <row r="284" spans="8:12">
      <c r="H284">
        <v>85</v>
      </c>
      <c r="I284" s="3">
        <f t="shared" si="5"/>
        <v>16.424242424242415</v>
      </c>
      <c r="J284" s="3">
        <f>_xll.PDENSITY($I$284,Model!$A$191:$A$199,$I$194,$I$195,1)</f>
        <v>0.88888888888888884</v>
      </c>
      <c r="K284" s="11">
        <f t="shared" si="6"/>
        <v>21.848484848484855</v>
      </c>
      <c r="L284" s="12">
        <f>_xll.PDENSITY($K$284,Model!$A$191:$A$199,$K$194,$K$195,1)</f>
        <v>0.97924577895298826</v>
      </c>
    </row>
    <row r="285" spans="8:12">
      <c r="H285">
        <v>86</v>
      </c>
      <c r="I285" s="3">
        <f t="shared" si="5"/>
        <v>16.595959595959588</v>
      </c>
      <c r="J285" s="3">
        <f>_xll.PDENSITY($I$285,Model!$A$191:$A$199,$I$194,$I$195,1)</f>
        <v>0.88888888888888884</v>
      </c>
      <c r="K285" s="11">
        <f t="shared" si="6"/>
        <v>22.191919191919197</v>
      </c>
      <c r="L285" s="12">
        <f>_xll.PDENSITY($K$285,Model!$A$191:$A$199,$K$194,$K$195,1)</f>
        <v>0.98266150081625925</v>
      </c>
    </row>
    <row r="286" spans="8:12">
      <c r="H286">
        <v>87</v>
      </c>
      <c r="I286" s="3">
        <f t="shared" si="5"/>
        <v>16.767676767676761</v>
      </c>
      <c r="J286" s="3">
        <f>_xll.PDENSITY($I$286,Model!$A$191:$A$199,$I$194,$I$195,1)</f>
        <v>0.88888888888888884</v>
      </c>
      <c r="K286" s="11">
        <f t="shared" si="6"/>
        <v>22.53535353535354</v>
      </c>
      <c r="L286" s="12">
        <f>_xll.PDENSITY($K$286,Model!$A$191:$A$199,$K$194,$K$195,1)</f>
        <v>0.98565057590226468</v>
      </c>
    </row>
    <row r="287" spans="8:12">
      <c r="H287">
        <v>88</v>
      </c>
      <c r="I287" s="3">
        <f t="shared" si="5"/>
        <v>16.939393939393934</v>
      </c>
      <c r="J287" s="3">
        <f>_xll.PDENSITY($I$287,Model!$A$191:$A$199,$I$194,$I$195,1)</f>
        <v>0.88888888888888884</v>
      </c>
      <c r="K287" s="11">
        <f t="shared" si="6"/>
        <v>22.878787878787882</v>
      </c>
      <c r="L287" s="12">
        <f>_xll.PDENSITY($K$287,Model!$A$191:$A$199,$K$194,$K$195,1)</f>
        <v>0.98823828808184466</v>
      </c>
    </row>
    <row r="288" spans="8:12">
      <c r="H288">
        <v>89</v>
      </c>
      <c r="I288" s="3">
        <f t="shared" si="5"/>
        <v>17.111111111111107</v>
      </c>
      <c r="J288" s="3">
        <f>_xll.PDENSITY($I$288,Model!$A$191:$A$199,$I$194,$I$195,1)</f>
        <v>0.88888888888888884</v>
      </c>
      <c r="K288" s="11">
        <f t="shared" si="6"/>
        <v>23.222222222222225</v>
      </c>
      <c r="L288" s="12">
        <f>_xll.PDENSITY($K$288,Model!$A$191:$A$199,$K$194,$K$195,1)</f>
        <v>0.99045398117833727</v>
      </c>
    </row>
    <row r="289" spans="8:12">
      <c r="H289">
        <v>90</v>
      </c>
      <c r="I289" s="3">
        <f t="shared" si="5"/>
        <v>17.28282828282828</v>
      </c>
      <c r="J289" s="3">
        <f>_xll.PDENSITY($I$289,Model!$A$191:$A$199,$I$194,$I$195,1)</f>
        <v>0.88888888888888884</v>
      </c>
      <c r="K289" s="11">
        <f t="shared" si="6"/>
        <v>23.565656565656568</v>
      </c>
      <c r="L289" s="12">
        <f>_xll.PDENSITY($K$289,Model!$A$191:$A$199,$K$194,$K$195,1)</f>
        <v>0.9923299285312086</v>
      </c>
    </row>
    <row r="290" spans="8:12">
      <c r="H290">
        <v>91</v>
      </c>
      <c r="I290" s="3">
        <f t="shared" si="5"/>
        <v>17.454545454545453</v>
      </c>
      <c r="J290" s="3">
        <f>_xll.PDENSITY($I$290,Model!$A$191:$A$199,$I$194,$I$195,1)</f>
        <v>0.88888888888888884</v>
      </c>
      <c r="K290" s="11">
        <f t="shared" si="6"/>
        <v>23.90909090909091</v>
      </c>
      <c r="L290" s="12">
        <f>_xll.PDENSITY($K$290,Model!$A$191:$A$199,$K$194,$K$195,1)</f>
        <v>0.99390016073034482</v>
      </c>
    </row>
    <row r="291" spans="8:12">
      <c r="H291">
        <v>92</v>
      </c>
      <c r="I291" s="3">
        <f t="shared" si="5"/>
        <v>17.626262626262626</v>
      </c>
      <c r="J291" s="3">
        <f>_xll.PDENSITY($I$291,Model!$A$191:$A$199,$I$194,$I$195,1)</f>
        <v>0.88888888888888884</v>
      </c>
      <c r="K291" s="11">
        <f t="shared" si="6"/>
        <v>24.252525252525253</v>
      </c>
      <c r="L291" s="12">
        <f>_xll.PDENSITY($K$291,Model!$A$191:$A$199,$K$194,$K$195,1)</f>
        <v>0.99519932680869316</v>
      </c>
    </row>
    <row r="292" spans="8:12">
      <c r="H292">
        <v>93</v>
      </c>
      <c r="I292" s="3">
        <f t="shared" si="5"/>
        <v>17.797979797979799</v>
      </c>
      <c r="J292" s="3">
        <f>_xll.PDENSITY($I$292,Model!$A$191:$A$199,$I$194,$I$195,1)</f>
        <v>0.88888888888888884</v>
      </c>
      <c r="K292" s="11">
        <f t="shared" si="6"/>
        <v>24.595959595959595</v>
      </c>
      <c r="L292" s="12">
        <f>_xll.PDENSITY($K$292,Model!$A$191:$A$199,$K$194,$K$195,1)</f>
        <v>0.99626165279075685</v>
      </c>
    </row>
    <row r="293" spans="8:12">
      <c r="H293">
        <v>94</v>
      </c>
      <c r="I293" s="3">
        <f t="shared" si="5"/>
        <v>17.969696969696972</v>
      </c>
      <c r="J293" s="3">
        <f>_xll.PDENSITY($I$293,Model!$A$191:$A$199,$I$194,$I$195,1)</f>
        <v>0.88888888888888884</v>
      </c>
      <c r="K293" s="11">
        <f t="shared" si="6"/>
        <v>24.939393939393938</v>
      </c>
      <c r="L293" s="12">
        <f>_xll.PDENSITY($K$293,Model!$A$191:$A$199,$K$194,$K$195,1)</f>
        <v>0.99712004620572459</v>
      </c>
    </row>
    <row r="294" spans="8:12">
      <c r="H294">
        <v>95</v>
      </c>
      <c r="I294" s="3">
        <f t="shared" si="5"/>
        <v>18.141414141414145</v>
      </c>
      <c r="J294" s="3">
        <f>_xll.PDENSITY($I$294,Model!$A$191:$A$199,$I$194,$I$195,1)</f>
        <v>0.88888888888888884</v>
      </c>
      <c r="K294" s="11">
        <f t="shared" si="6"/>
        <v>25.28282828282828</v>
      </c>
      <c r="L294" s="12">
        <f>_xll.PDENSITY($K$294,Model!$A$191:$A$199,$K$194,$K$195,1)</f>
        <v>0.99780537795543323</v>
      </c>
    </row>
    <row r="295" spans="8:12">
      <c r="H295">
        <v>96</v>
      </c>
      <c r="I295" s="3">
        <f t="shared" si="5"/>
        <v>18.313131313131318</v>
      </c>
      <c r="J295" s="3">
        <f>_xll.PDENSITY($I$295,Model!$A$191:$A$199,$I$194,$I$195,1)</f>
        <v>0.88888888888888884</v>
      </c>
      <c r="K295" s="11">
        <f t="shared" si="6"/>
        <v>25.626262626262623</v>
      </c>
      <c r="L295" s="12">
        <f>_xll.PDENSITY($K$295,Model!$A$191:$A$199,$K$194,$K$195,1)</f>
        <v>0.9983459556931269</v>
      </c>
    </row>
    <row r="296" spans="8:12">
      <c r="H296">
        <v>97</v>
      </c>
      <c r="I296" s="3">
        <f t="shared" si="5"/>
        <v>18.484848484848492</v>
      </c>
      <c r="J296" s="3">
        <f>_xll.PDENSITY($I$296,Model!$A$191:$A$199,$I$194,$I$195,1)</f>
        <v>0.88888888888888884</v>
      </c>
      <c r="K296" s="11">
        <f t="shared" si="6"/>
        <v>25.969696969696965</v>
      </c>
      <c r="L296" s="12">
        <f>_xll.PDENSITY($K$296,Model!$A$191:$A$199,$K$194,$K$195,1)</f>
        <v>0.99876718725024616</v>
      </c>
    </row>
    <row r="297" spans="8:12">
      <c r="H297">
        <v>98</v>
      </c>
      <c r="I297" s="3">
        <f t="shared" si="5"/>
        <v>18.656565656565665</v>
      </c>
      <c r="J297" s="3">
        <f>_xll.PDENSITY($I$297,Model!$A$191:$A$199,$I$194,$I$195,1)</f>
        <v>0.88888888888888884</v>
      </c>
      <c r="K297" s="11">
        <f t="shared" si="6"/>
        <v>26.313131313131308</v>
      </c>
      <c r="L297" s="12">
        <f>_xll.PDENSITY($K$297,Model!$A$191:$A$199,$K$194,$K$195,1)</f>
        <v>0.99909141983947891</v>
      </c>
    </row>
    <row r="298" spans="8:12">
      <c r="H298">
        <v>99</v>
      </c>
      <c r="I298" s="3">
        <f t="shared" si="5"/>
        <v>18.828282828282838</v>
      </c>
      <c r="J298" s="3">
        <f>_xll.PDENSITY($I$298,Model!$A$191:$A$199,$I$194,$I$195,1)</f>
        <v>0.88888888888888884</v>
      </c>
      <c r="K298" s="11">
        <f t="shared" si="6"/>
        <v>26.65656565656565</v>
      </c>
      <c r="L298" s="12">
        <f>_xll.PDENSITY($K$298,Model!$A$191:$A$199,$K$194,$K$195,1)</f>
        <v>0.99933793145123317</v>
      </c>
    </row>
    <row r="299" spans="8:12" ht="12.75" thickBot="1">
      <c r="H299">
        <v>100</v>
      </c>
      <c r="I299" s="3">
        <f t="shared" si="5"/>
        <v>19.000000000000011</v>
      </c>
      <c r="J299" s="3">
        <f>_xll.PDENSITY($I$299,Model!$A$191:$A$199,$I$194,$I$195,1)</f>
        <v>1</v>
      </c>
      <c r="K299" s="13">
        <f t="shared" si="6"/>
        <v>26.999999999999993</v>
      </c>
      <c r="L299" s="14">
        <f>_xll.PDENSITY($K$299,Model!$A$191:$A$199,$K$194,$K$195,1)</f>
        <v>0.99952304524023716</v>
      </c>
    </row>
  </sheetData>
  <phoneticPr fontId="0" type="noConversion"/>
  <dataValidations count="1">
    <dataValidation type="list" allowBlank="1" showInputMessage="1" showErrorMessage="1" sqref="H183 K195 I195">
      <formula1>"Cauchy,Cosinus,Double Exp,Epanechnikov,Gaussian,Histogram,Parzen,Quartic,Triangle,Triweight,Uniform"</formula1>
    </dataValidation>
  </dataValidations>
  <printOptions headings="1"/>
  <pageMargins left="0.75" right="0.75" top="0.51" bottom="0.76" header="0.5" footer="0.5"/>
  <pageSetup scale="67" fitToHeight="2" orientation="portrait" horizontalDpi="4294967292" r:id="rId1"/>
  <headerFooter alignWithMargins="0">
    <oddFooter>demodistrib.xls&amp;RPage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workbookViewId="0"/>
  </sheetViews>
  <sheetFormatPr defaultRowHeight="12"/>
  <cols>
    <col min="2" max="2" width="12.42578125" bestFit="1" customWidth="1"/>
    <col min="3" max="3" width="9.140625" bestFit="1" customWidth="1"/>
  </cols>
  <sheetData>
    <row r="1" spans="1:7">
      <c r="A1" t="s">
        <v>94</v>
      </c>
    </row>
    <row r="2" spans="1:7">
      <c r="A2" t="s">
        <v>64</v>
      </c>
      <c r="B2" t="str">
        <f ca="1">ADDRESS(ROW(Model!$E$173),COLUMN(Model!$E$173),4,,_xll.WSNAME(Model!$E$173))</f>
        <v>Model!E173</v>
      </c>
    </row>
    <row r="3" spans="1:7">
      <c r="A3" t="s">
        <v>8</v>
      </c>
      <c r="B3">
        <f>AVERAGE(B9:B108)</f>
        <v>10.063205064518593</v>
      </c>
    </row>
    <row r="4" spans="1:7">
      <c r="A4" t="s">
        <v>17</v>
      </c>
      <c r="B4">
        <f>STDEV(B9:B108)</f>
        <v>10.307072657340626</v>
      </c>
    </row>
    <row r="5" spans="1:7">
      <c r="A5" t="s">
        <v>18</v>
      </c>
      <c r="B5">
        <f>100*B4/B3</f>
        <v>102.42335907157329</v>
      </c>
    </row>
    <row r="6" spans="1:7">
      <c r="A6" t="s">
        <v>3</v>
      </c>
      <c r="B6">
        <f>MIN(B9:B108)</f>
        <v>5.8535372482186675E-2</v>
      </c>
    </row>
    <row r="7" spans="1:7">
      <c r="A7" t="s">
        <v>4</v>
      </c>
      <c r="B7">
        <f>MAX(B9:B108)</f>
        <v>62.330877973335895</v>
      </c>
    </row>
    <row r="8" spans="1:7">
      <c r="A8" t="s">
        <v>19</v>
      </c>
      <c r="B8" t="str">
        <f>Model!$D$173</f>
        <v>EXP Dist</v>
      </c>
    </row>
    <row r="9" spans="1:7">
      <c r="A9">
        <v>1</v>
      </c>
      <c r="B9">
        <v>7.1594338204867078</v>
      </c>
      <c r="C9" s="3"/>
    </row>
    <row r="10" spans="1:7">
      <c r="A10">
        <v>2</v>
      </c>
      <c r="B10">
        <v>3.8342672459395715</v>
      </c>
      <c r="C10" s="3"/>
    </row>
    <row r="11" spans="1:7">
      <c r="A11">
        <v>3</v>
      </c>
      <c r="B11">
        <v>8.8210764721141715</v>
      </c>
      <c r="C11" s="3"/>
      <c r="F11" t="s">
        <v>88</v>
      </c>
    </row>
    <row r="12" spans="1:7">
      <c r="A12">
        <v>4</v>
      </c>
      <c r="B12">
        <v>15.875356282350486</v>
      </c>
      <c r="C12" s="3"/>
      <c r="G12" t="str">
        <f>SimData2!$B$8</f>
        <v>EXP Dist</v>
      </c>
    </row>
    <row r="13" spans="1:7">
      <c r="A13">
        <v>5</v>
      </c>
      <c r="B13">
        <v>28.230669355159801</v>
      </c>
      <c r="C13" s="3"/>
      <c r="F13" t="s">
        <v>80</v>
      </c>
      <c r="G13" s="3">
        <f>MIN(SimData2!$B$9:$B$108)-STDEV(SimData2!$B$9:$B$108)</f>
        <v>-10.24853728485844</v>
      </c>
    </row>
    <row r="14" spans="1:7">
      <c r="A14">
        <v>6</v>
      </c>
      <c r="B14">
        <v>13.688152307610885</v>
      </c>
      <c r="C14" s="3"/>
      <c r="F14" t="s">
        <v>81</v>
      </c>
      <c r="G14" s="3">
        <f>MAX(SimData2!$B$9:$B$108)+STDEV(SimData2!$B$9:$B$108)</f>
        <v>72.637950630676528</v>
      </c>
    </row>
    <row r="15" spans="1:7">
      <c r="A15">
        <v>7</v>
      </c>
      <c r="B15">
        <v>0.97053265860663529</v>
      </c>
      <c r="C15" s="3"/>
      <c r="F15" t="s">
        <v>82</v>
      </c>
      <c r="G15">
        <f>_xll.BANDWIDTH(SimData2!$B$9:$B$108)</f>
        <v>3.3997751916647623</v>
      </c>
    </row>
    <row r="16" spans="1:7">
      <c r="A16">
        <v>8</v>
      </c>
      <c r="B16">
        <v>3.4107485761662875</v>
      </c>
      <c r="C16" s="3"/>
      <c r="F16" t="s">
        <v>83</v>
      </c>
      <c r="G16" t="s">
        <v>87</v>
      </c>
    </row>
    <row r="17" spans="1:12">
      <c r="A17">
        <v>9</v>
      </c>
      <c r="B17">
        <v>30.864613247933683</v>
      </c>
      <c r="C17" s="3"/>
      <c r="F17" t="s">
        <v>84</v>
      </c>
      <c r="G17" s="8">
        <v>0.95</v>
      </c>
    </row>
    <row r="18" spans="1:12">
      <c r="A18">
        <v>10</v>
      </c>
      <c r="B18">
        <v>10.836737071758844</v>
      </c>
      <c r="C18" s="3"/>
      <c r="F18" t="s">
        <v>85</v>
      </c>
      <c r="G18" s="3">
        <f>_xll.QUANTILE(SimData2!$B$9:$B$108,(1-$G$17)/2)</f>
        <v>0.27588483989350626</v>
      </c>
      <c r="H18" s="3">
        <f>_xll.PDENSITY($G$18,SimData2!$B$9:$B$108,$G$15,$G$16)</f>
        <v>4.1016562486094151E-2</v>
      </c>
    </row>
    <row r="19" spans="1:12">
      <c r="A19">
        <v>11</v>
      </c>
      <c r="B19">
        <v>11.346204119521238</v>
      </c>
      <c r="C19" s="3"/>
      <c r="F19" t="s">
        <v>8</v>
      </c>
      <c r="G19" s="3">
        <f>AVERAGE(SimData2!$B$9:$B$108)</f>
        <v>10.063205064518593</v>
      </c>
      <c r="H19" s="3">
        <f>_xll.PDENSITY($G$19,SimData2!$B$9:$B$108,$G$15,$G$16)</f>
        <v>3.8581232241237932E-2</v>
      </c>
    </row>
    <row r="20" spans="1:12">
      <c r="A20">
        <v>12</v>
      </c>
      <c r="B20">
        <v>2.8029914643400353</v>
      </c>
      <c r="C20" s="3"/>
      <c r="F20" t="s">
        <v>86</v>
      </c>
      <c r="G20" s="3">
        <f>_xll.QUANTILE(SimData2!$B$9:$B$108,1-(1-$G$17)/2)</f>
        <v>39.020540596962221</v>
      </c>
      <c r="H20" s="3">
        <f>_xll.PDENSITY($G$20,SimData2!$B$9:$B$108,$G$15,$G$16)</f>
        <v>2.5630250285348646E-3</v>
      </c>
    </row>
    <row r="21" spans="1:12">
      <c r="A21">
        <v>13</v>
      </c>
      <c r="B21">
        <v>26.275829604565107</v>
      </c>
      <c r="C21" s="3"/>
      <c r="F21">
        <v>1</v>
      </c>
      <c r="G21" s="3">
        <f>$G$13</f>
        <v>-10.24853728485844</v>
      </c>
      <c r="H21" s="3">
        <f>_xll.PDENSITY($G$21,SimData2!$B$9:$B$108,$G$15,$G$16)</f>
        <v>1.1822106733753501E-4</v>
      </c>
    </row>
    <row r="22" spans="1:12">
      <c r="A22">
        <v>14</v>
      </c>
      <c r="B22">
        <v>1.5583089081622168</v>
      </c>
      <c r="C22" s="3"/>
      <c r="F22">
        <v>2</v>
      </c>
      <c r="G22" s="3">
        <f t="shared" ref="G22:G53" si="0">1/99*($G$14-$G$13)+G21</f>
        <v>-9.4113000331863699</v>
      </c>
      <c r="H22" s="3">
        <f>_xll.PDENSITY($G$22,SimData2!$B$9:$B$108,$G$15,$G$16)</f>
        <v>2.5729941204522553E-4</v>
      </c>
    </row>
    <row r="23" spans="1:12">
      <c r="A23">
        <v>15</v>
      </c>
      <c r="B23">
        <v>3.5551271633968264</v>
      </c>
      <c r="C23" s="3"/>
      <c r="F23">
        <v>3</v>
      </c>
      <c r="G23" s="3">
        <f t="shared" si="0"/>
        <v>-8.5740627815143</v>
      </c>
      <c r="H23" s="3">
        <f>_xll.PDENSITY($G$23,SimData2!$B$9:$B$108,$G$15,$G$16)</f>
        <v>5.2916574516367182E-4</v>
      </c>
    </row>
    <row r="24" spans="1:12">
      <c r="A24">
        <v>16</v>
      </c>
      <c r="B24">
        <v>6.4255962918259089</v>
      </c>
      <c r="C24" s="3"/>
      <c r="F24">
        <v>4</v>
      </c>
      <c r="G24" s="3">
        <f t="shared" si="0"/>
        <v>-7.7368255298422293</v>
      </c>
      <c r="H24" s="3">
        <f>_xll.PDENSITY($G$24,SimData2!$B$9:$B$108,$G$15,$G$16)</f>
        <v>1.0288664885704539E-3</v>
      </c>
    </row>
    <row r="25" spans="1:12">
      <c r="A25">
        <v>17</v>
      </c>
      <c r="B25">
        <v>17.072961264421515</v>
      </c>
      <c r="C25" s="3"/>
      <c r="F25">
        <v>5</v>
      </c>
      <c r="G25" s="3">
        <f t="shared" si="0"/>
        <v>-6.8995882781701585</v>
      </c>
      <c r="H25" s="3">
        <f>_xll.PDENSITY($G$25,SimData2!$B$9:$B$108,$G$15,$G$16)</f>
        <v>1.8922582278947441E-3</v>
      </c>
    </row>
    <row r="26" spans="1:12">
      <c r="A26">
        <v>18</v>
      </c>
      <c r="B26">
        <v>8.1425954494512212</v>
      </c>
      <c r="C26" s="3"/>
      <c r="F26">
        <v>6</v>
      </c>
      <c r="G26" s="3">
        <f t="shared" si="0"/>
        <v>-6.0623510264980878</v>
      </c>
      <c r="H26" s="3">
        <f>_xll.PDENSITY($G$26,SimData2!$B$9:$B$108,$G$15,$G$16)</f>
        <v>3.294100176330641E-3</v>
      </c>
    </row>
    <row r="27" spans="1:12">
      <c r="A27">
        <v>19</v>
      </c>
      <c r="B27">
        <v>14.972910754124879</v>
      </c>
      <c r="C27" s="3"/>
      <c r="F27">
        <v>7</v>
      </c>
      <c r="G27" s="3">
        <f t="shared" si="0"/>
        <v>-5.225113774826017</v>
      </c>
      <c r="H27" s="3">
        <f>_xll.PDENSITY($G$27,SimData2!$B$9:$B$108,$G$15,$G$16)</f>
        <v>5.4319863433198393E-3</v>
      </c>
    </row>
    <row r="28" spans="1:12">
      <c r="A28">
        <v>20</v>
      </c>
      <c r="B28">
        <v>9.725547933269695</v>
      </c>
      <c r="C28" s="3"/>
      <c r="F28">
        <v>8</v>
      </c>
      <c r="G28" s="3">
        <f t="shared" si="0"/>
        <v>-4.3878765231539463</v>
      </c>
      <c r="H28" s="3">
        <f>_xll.PDENSITY($G$28,SimData2!$B$9:$B$108,$G$15,$G$16)</f>
        <v>8.4925061809260662E-3</v>
      </c>
    </row>
    <row r="29" spans="1:12">
      <c r="A29">
        <v>21</v>
      </c>
      <c r="B29">
        <v>0.11090795889450965</v>
      </c>
      <c r="C29" s="3"/>
      <c r="F29">
        <v>9</v>
      </c>
      <c r="G29" s="3">
        <f t="shared" si="0"/>
        <v>-3.5506392714818755</v>
      </c>
      <c r="H29" s="3">
        <f>_xll.PDENSITY($G$29,SimData2!$B$9:$B$108,$G$15,$G$16)</f>
        <v>1.260170868033687E-2</v>
      </c>
    </row>
    <row r="30" spans="1:12">
      <c r="A30">
        <v>22</v>
      </c>
      <c r="B30">
        <v>1.9977710921862246</v>
      </c>
      <c r="C30" s="3"/>
      <c r="F30">
        <v>10</v>
      </c>
      <c r="G30" s="3">
        <f t="shared" si="0"/>
        <v>-2.7134020198098048</v>
      </c>
      <c r="H30" s="3">
        <f>_xll.PDENSITY($G$30,SimData2!$B$9:$B$108,$G$15,$G$16)</f>
        <v>1.7769910448966208E-2</v>
      </c>
      <c r="K30" t="s">
        <v>89</v>
      </c>
    </row>
    <row r="31" spans="1:12">
      <c r="A31">
        <v>23</v>
      </c>
      <c r="B31">
        <v>10.146373036990028</v>
      </c>
      <c r="C31" s="3"/>
      <c r="F31">
        <v>11</v>
      </c>
      <c r="G31" s="3">
        <f t="shared" si="0"/>
        <v>-1.8761647681377343</v>
      </c>
      <c r="H31" s="3">
        <f>_xll.PDENSITY($G$31,SimData2!$B$9:$B$108,$G$15,$G$16)</f>
        <v>2.3847872169951486E-2</v>
      </c>
      <c r="K31" t="s">
        <v>90</v>
      </c>
      <c r="L31" t="s">
        <v>91</v>
      </c>
    </row>
    <row r="32" spans="1:12">
      <c r="A32">
        <v>24</v>
      </c>
      <c r="B32">
        <v>1.434470336016044</v>
      </c>
      <c r="C32" s="3"/>
      <c r="F32">
        <v>12</v>
      </c>
      <c r="G32" s="3">
        <f t="shared" si="0"/>
        <v>-1.0389275164656637</v>
      </c>
      <c r="H32" s="3">
        <f>_xll.PDENSITY($G$32,SimData2!$B$9:$B$108,$G$15,$G$16)</f>
        <v>3.051312643089996E-2</v>
      </c>
      <c r="K32" s="3">
        <f>MIN(SimData2!$B$9:$B$108)</f>
        <v>5.8535372482186675E-2</v>
      </c>
      <c r="L32">
        <f>COUNTIF(SimData2!$B$9:$B$108,"&lt;="&amp;$K$32)/COUNT(SimData2!$B$9:$B$108)</f>
        <v>0.01</v>
      </c>
    </row>
    <row r="33" spans="1:12">
      <c r="A33">
        <v>25</v>
      </c>
      <c r="B33">
        <v>20.56359425722458</v>
      </c>
      <c r="C33" s="3"/>
      <c r="F33">
        <v>13</v>
      </c>
      <c r="G33" s="3">
        <f t="shared" si="0"/>
        <v>-0.2016902647935932</v>
      </c>
      <c r="H33" s="3">
        <f>_xll.PDENSITY($G$33,SimData2!$B$9:$B$108,$G$15,$G$16)</f>
        <v>3.7298934141069627E-2</v>
      </c>
      <c r="K33">
        <f>($K$46-$K$32)/14+$K$32</f>
        <v>4.5065598439717371</v>
      </c>
      <c r="L33">
        <f>(COUNTIF(SimData2!$B$9:$B$108,"&lt;="&amp;$K$33)-COUNTIF(SimData2!$B$9:$B$108,"&lt;="&amp;$K$32))/COUNT(SimData2!$B$9:$B$108)</f>
        <v>0.35</v>
      </c>
    </row>
    <row r="34" spans="1:12">
      <c r="A34">
        <v>26</v>
      </c>
      <c r="B34">
        <v>5.2546726993411657</v>
      </c>
      <c r="C34" s="3"/>
      <c r="F34">
        <v>14</v>
      </c>
      <c r="G34" s="3">
        <f t="shared" si="0"/>
        <v>0.63554698687847733</v>
      </c>
      <c r="H34" s="3">
        <f>_xll.PDENSITY($G$34,SimData2!$B$9:$B$108,$G$15,$G$16)</f>
        <v>4.3664874907945427E-2</v>
      </c>
      <c r="K34">
        <f>($K$46-$K$32)/14+$K$33</f>
        <v>8.9545843154612879</v>
      </c>
      <c r="L34">
        <f>(COUNTIF(SimData2!$B$9:$B$108,"&lt;="&amp;$K$34)-COUNTIF(SimData2!$B$9:$B$108,"&lt;="&amp;$K$33))/COUNT(SimData2!$B$9:$B$108)</f>
        <v>0.23</v>
      </c>
    </row>
    <row r="35" spans="1:12">
      <c r="A35">
        <v>27</v>
      </c>
      <c r="B35">
        <v>7.1002897140116286</v>
      </c>
      <c r="C35" s="3"/>
      <c r="F35">
        <v>15</v>
      </c>
      <c r="G35" s="3">
        <f t="shared" si="0"/>
        <v>1.4727842385505479</v>
      </c>
      <c r="H35" s="3">
        <f>_xll.PDENSITY($G$35,SimData2!$B$9:$B$108,$G$15,$G$16)</f>
        <v>4.9092568504431375E-2</v>
      </c>
      <c r="K35">
        <f>($K$46-$K$32)/14+$K$34</f>
        <v>13.402608786950839</v>
      </c>
      <c r="L35">
        <f>(COUNTIF(SimData2!$B$9:$B$108,"&lt;="&amp;$K$35)-COUNTIF(SimData2!$B$9:$B$108,"&lt;="&amp;$K$34))/COUNT(SimData2!$B$9:$B$108)</f>
        <v>0.14000000000000001</v>
      </c>
    </row>
    <row r="36" spans="1:12">
      <c r="A36">
        <v>28</v>
      </c>
      <c r="B36">
        <v>3.0884317978807467</v>
      </c>
      <c r="C36" s="3"/>
      <c r="F36">
        <v>16</v>
      </c>
      <c r="G36" s="3">
        <f t="shared" si="0"/>
        <v>2.3100214902226184</v>
      </c>
      <c r="H36" s="3">
        <f>_xll.PDENSITY($G$36,SimData2!$B$9:$B$108,$G$15,$G$16)</f>
        <v>5.3179621835379706E-2</v>
      </c>
      <c r="K36">
        <f>($K$46-$K$32)/14+$K$35</f>
        <v>17.850633258440389</v>
      </c>
      <c r="L36">
        <f>(COUNTIF(SimData2!$B$9:$B$108,"&lt;="&amp;$K$36)-COUNTIF(SimData2!$B$9:$B$108,"&lt;="&amp;$K$35))/COUNT(SimData2!$B$9:$B$108)</f>
        <v>0.1</v>
      </c>
    </row>
    <row r="37" spans="1:12">
      <c r="A37">
        <v>29</v>
      </c>
      <c r="B37">
        <v>18.21869866261153</v>
      </c>
      <c r="C37" s="3"/>
      <c r="F37">
        <v>17</v>
      </c>
      <c r="G37" s="3">
        <f t="shared" si="0"/>
        <v>3.1472587418946887</v>
      </c>
      <c r="H37" s="3">
        <f>_xll.PDENSITY($G$37,SimData2!$B$9:$B$108,$G$15,$G$16)</f>
        <v>5.5704841204074602E-2</v>
      </c>
      <c r="K37">
        <f>($K$46-$K$32)/14+$K$36</f>
        <v>22.298657729929939</v>
      </c>
      <c r="L37">
        <f>(COUNTIF(SimData2!$B$9:$B$108,"&lt;="&amp;$K$37)-COUNTIF(SimData2!$B$9:$B$108,"&lt;="&amp;$K$36))/COUNT(SimData2!$B$9:$B$108)</f>
        <v>0.06</v>
      </c>
    </row>
    <row r="38" spans="1:12">
      <c r="A38">
        <v>30</v>
      </c>
      <c r="B38">
        <v>8.5536347087383078</v>
      </c>
      <c r="C38" s="3"/>
      <c r="F38">
        <v>18</v>
      </c>
      <c r="G38" s="3">
        <f t="shared" si="0"/>
        <v>3.9844959935667594</v>
      </c>
      <c r="H38" s="3">
        <f>_xll.PDENSITY($G$38,SimData2!$B$9:$B$108,$G$15,$G$16)</f>
        <v>5.6648254291845501E-2</v>
      </c>
      <c r="K38">
        <f>($K$46-$K$32)/14+$K$37</f>
        <v>26.746682201419489</v>
      </c>
      <c r="L38">
        <f>(COUNTIF(SimData2!$B$9:$B$108,"&lt;="&amp;$K$38)-COUNTIF(SimData2!$B$9:$B$108,"&lt;="&amp;$K$37))/COUNT(SimData2!$B$9:$B$108)</f>
        <v>0.04</v>
      </c>
    </row>
    <row r="39" spans="1:12">
      <c r="A39">
        <v>31</v>
      </c>
      <c r="B39">
        <v>6.5857248066583089</v>
      </c>
      <c r="C39" s="3"/>
      <c r="F39">
        <v>19</v>
      </c>
      <c r="G39" s="3">
        <f t="shared" si="0"/>
        <v>4.8217332452388302</v>
      </c>
      <c r="H39" s="3">
        <f>_xll.PDENSITY($G$39,SimData2!$B$9:$B$108,$G$15,$G$16)</f>
        <v>5.6165539589209536E-2</v>
      </c>
      <c r="K39">
        <f>($K$46-$K$32)/14+$K$38</f>
        <v>31.194706672909039</v>
      </c>
      <c r="L39">
        <f>(COUNTIF(SimData2!$B$9:$B$108,"&lt;="&amp;$K$39)-COUNTIF(SimData2!$B$9:$B$108,"&lt;="&amp;$K$38))/COUNT(SimData2!$B$9:$B$108)</f>
        <v>0.03</v>
      </c>
    </row>
    <row r="40" spans="1:12">
      <c r="A40">
        <v>32</v>
      </c>
      <c r="B40">
        <v>6.2560418518648966</v>
      </c>
      <c r="C40" s="3"/>
      <c r="F40">
        <v>20</v>
      </c>
      <c r="G40" s="3">
        <f t="shared" si="0"/>
        <v>5.6589704969109009</v>
      </c>
      <c r="H40" s="3">
        <f>_xll.PDENSITY($G$40,SimData2!$B$9:$B$108,$G$15,$G$16)</f>
        <v>5.4530747143112415E-2</v>
      </c>
      <c r="K40">
        <f>($K$46-$K$32)/14+$K$39</f>
        <v>35.642731144398589</v>
      </c>
      <c r="L40">
        <f>(COUNTIF(SimData2!$B$9:$B$108,"&lt;="&amp;$K$40)-COUNTIF(SimData2!$B$9:$B$108,"&lt;="&amp;$K$39))/COUNT(SimData2!$B$9:$B$108)</f>
        <v>0.01</v>
      </c>
    </row>
    <row r="41" spans="1:12">
      <c r="A41">
        <v>33</v>
      </c>
      <c r="B41">
        <v>6.0283069576976525</v>
      </c>
      <c r="C41" s="3"/>
      <c r="F41">
        <v>21</v>
      </c>
      <c r="G41" s="3">
        <f t="shared" si="0"/>
        <v>6.4962077485829717</v>
      </c>
      <c r="H41" s="3">
        <f>_xll.PDENSITY($G$41,SimData2!$B$9:$B$108,$G$15,$G$16)</f>
        <v>5.2068129219882915E-2</v>
      </c>
      <c r="K41">
        <f>($K$46-$K$32)/14+$K$40</f>
        <v>40.090755615888142</v>
      </c>
      <c r="L41">
        <f>(COUNTIF(SimData2!$B$9:$B$108,"&lt;="&amp;$K$41)-COUNTIF(SimData2!$B$9:$B$108,"&lt;="&amp;$K$40))/COUNT(SimData2!$B$9:$B$108)</f>
        <v>0.01</v>
      </c>
    </row>
    <row r="42" spans="1:12">
      <c r="A42">
        <v>34</v>
      </c>
      <c r="B42">
        <v>33.252571324165075</v>
      </c>
      <c r="C42" s="3"/>
      <c r="F42">
        <v>22</v>
      </c>
      <c r="G42" s="3">
        <f t="shared" si="0"/>
        <v>7.3334450002550424</v>
      </c>
      <c r="H42" s="3">
        <f>_xll.PDENSITY($G$42,SimData2!$B$9:$B$108,$G$15,$G$16)</f>
        <v>4.9092191168795492E-2</v>
      </c>
      <c r="K42">
        <f>($K$46-$K$32)/14+$K$41</f>
        <v>44.538780087377695</v>
      </c>
      <c r="L42">
        <f>(COUNTIF(SimData2!$B$9:$B$108,"&lt;="&amp;$K$42)-COUNTIF(SimData2!$B$9:$B$108,"&lt;="&amp;$K$41))/COUNT(SimData2!$B$9:$B$108)</f>
        <v>0.01</v>
      </c>
    </row>
    <row r="43" spans="1:12">
      <c r="A43">
        <v>35</v>
      </c>
      <c r="B43">
        <v>16.358908534865229</v>
      </c>
      <c r="C43" s="3"/>
      <c r="F43">
        <v>23</v>
      </c>
      <c r="G43" s="3">
        <f t="shared" si="0"/>
        <v>8.1706822519271132</v>
      </c>
      <c r="H43" s="3">
        <f>_xll.PDENSITY($G$43,SimData2!$B$9:$B$108,$G$15,$G$16)</f>
        <v>4.5867495189700909E-2</v>
      </c>
      <c r="K43">
        <f>($K$46-$K$32)/14+$K$42</f>
        <v>48.986804558867249</v>
      </c>
      <c r="L43">
        <f>(COUNTIF(SimData2!$B$9:$B$108,"&lt;="&amp;$K$43)-COUNTIF(SimData2!$B$9:$B$108,"&lt;="&amp;$K$42))/COUNT(SimData2!$B$9:$B$108)</f>
        <v>0</v>
      </c>
    </row>
    <row r="44" spans="1:12">
      <c r="A44">
        <v>36</v>
      </c>
      <c r="B44">
        <v>1.9583935720319043</v>
      </c>
      <c r="C44" s="3"/>
      <c r="F44">
        <v>24</v>
      </c>
      <c r="G44" s="3">
        <f t="shared" si="0"/>
        <v>9.007919503599183</v>
      </c>
      <c r="H44" s="3">
        <f>_xll.PDENSITY($G$44,SimData2!$B$9:$B$108,$G$15,$G$16)</f>
        <v>4.2590812369136498E-2</v>
      </c>
      <c r="K44">
        <f>($K$46-$K$32)/14+$K$43</f>
        <v>53.434829030356802</v>
      </c>
      <c r="L44">
        <f>(COUNTIF(SimData2!$B$9:$B$108,"&lt;="&amp;$K$44)-COUNTIF(SimData2!$B$9:$B$108,"&lt;="&amp;$K$43))/COUNT(SimData2!$B$9:$B$108)</f>
        <v>0</v>
      </c>
    </row>
    <row r="45" spans="1:12">
      <c r="A45">
        <v>37</v>
      </c>
      <c r="B45">
        <v>24.370299804873579</v>
      </c>
      <c r="C45" s="3"/>
      <c r="F45">
        <v>25</v>
      </c>
      <c r="G45" s="3">
        <f t="shared" si="0"/>
        <v>9.8451567552712529</v>
      </c>
      <c r="H45" s="3">
        <f>_xll.PDENSITY($G$45,SimData2!$B$9:$B$108,$G$15,$G$16)</f>
        <v>3.9391565645810915E-2</v>
      </c>
      <c r="K45">
        <f>($K$46-$K$32)/14+$K$44</f>
        <v>57.882853501846355</v>
      </c>
      <c r="L45">
        <f>(COUNTIF(SimData2!$B$9:$B$108,"&lt;="&amp;$K$45)-COUNTIF(SimData2!$B$9:$B$108,"&lt;="&amp;$K$44))/COUNT(SimData2!$B$9:$B$108)</f>
        <v>0</v>
      </c>
    </row>
    <row r="46" spans="1:12">
      <c r="A46">
        <v>38</v>
      </c>
      <c r="B46">
        <v>18.54693547153159</v>
      </c>
      <c r="C46" s="3"/>
      <c r="F46">
        <v>26</v>
      </c>
      <c r="G46" s="3">
        <f t="shared" si="0"/>
        <v>10.682394006943323</v>
      </c>
      <c r="H46" s="3">
        <f>_xll.PDENSITY($G$46,SimData2!$B$9:$B$108,$G$15,$G$16)</f>
        <v>3.6343558138228566E-2</v>
      </c>
      <c r="K46" s="3">
        <f>MAX(SimData2!$B$9:$B$108)</f>
        <v>62.330877973335895</v>
      </c>
      <c r="L46">
        <f>(COUNTIF(SimData2!$B$9:$B$108,"&lt;="&amp;$K$46)-COUNTIF(SimData2!$B$9:$B$108,"&lt;="&amp;$K$45))/COUNT(SimData2!$B$9:$B$108)</f>
        <v>0.01</v>
      </c>
    </row>
    <row r="47" spans="1:12">
      <c r="A47">
        <v>39</v>
      </c>
      <c r="B47">
        <v>8.2815721892756979</v>
      </c>
      <c r="C47" s="3"/>
      <c r="F47">
        <v>27</v>
      </c>
      <c r="G47" s="3">
        <f t="shared" si="0"/>
        <v>11.519631258615393</v>
      </c>
      <c r="H47" s="3">
        <f>_xll.PDENSITY($G$47,SimData2!$B$9:$B$108,$G$15,$G$16)</f>
        <v>3.3481146885321958E-2</v>
      </c>
    </row>
    <row r="48" spans="1:12">
      <c r="A48">
        <v>40</v>
      </c>
      <c r="B48">
        <v>5.6688404448818801</v>
      </c>
      <c r="C48" s="3"/>
      <c r="F48">
        <v>28</v>
      </c>
      <c r="G48" s="3">
        <f t="shared" si="0"/>
        <v>12.356868510287462</v>
      </c>
      <c r="H48" s="3">
        <f>_xll.PDENSITY($G$48,SimData2!$B$9:$B$108,$G$15,$G$16)</f>
        <v>3.0814814032027852E-2</v>
      </c>
    </row>
    <row r="49" spans="1:8">
      <c r="A49">
        <v>41</v>
      </c>
      <c r="B49">
        <v>62.330877973335895</v>
      </c>
      <c r="C49" s="3"/>
      <c r="F49">
        <v>29</v>
      </c>
      <c r="G49" s="3">
        <f t="shared" si="0"/>
        <v>13.194105761959532</v>
      </c>
      <c r="H49" s="3">
        <f>_xll.PDENSITY($G$49,SimData2!$B$9:$B$108,$G$15,$G$16)</f>
        <v>2.83432026242138E-2</v>
      </c>
    </row>
    <row r="50" spans="1:8">
      <c r="A50">
        <v>42</v>
      </c>
      <c r="B50">
        <v>11.49591358859154</v>
      </c>
      <c r="C50" s="3"/>
      <c r="F50">
        <v>30</v>
      </c>
      <c r="G50" s="3">
        <f t="shared" si="0"/>
        <v>14.031343013631602</v>
      </c>
      <c r="H50" s="3">
        <f>_xll.PDENSITY($G$50,SimData2!$B$9:$B$108,$G$15,$G$16)</f>
        <v>2.6060489004732124E-2</v>
      </c>
    </row>
    <row r="51" spans="1:8">
      <c r="A51">
        <v>43</v>
      </c>
      <c r="B51">
        <v>12.697457120853981</v>
      </c>
      <c r="C51" s="3"/>
      <c r="F51">
        <v>31</v>
      </c>
      <c r="G51" s="3">
        <f t="shared" si="0"/>
        <v>14.868580265303672</v>
      </c>
      <c r="H51" s="3">
        <f>_xll.PDENSITY($G$51,SimData2!$B$9:$B$108,$G$15,$G$16)</f>
        <v>2.3959365614023023E-2</v>
      </c>
    </row>
    <row r="52" spans="1:8">
      <c r="A52">
        <v>44</v>
      </c>
      <c r="B52">
        <v>2.2361801279413913</v>
      </c>
      <c r="C52" s="3"/>
      <c r="F52">
        <v>32</v>
      </c>
      <c r="G52" s="3">
        <f t="shared" si="0"/>
        <v>15.705817516975742</v>
      </c>
      <c r="H52" s="3">
        <f>_xll.PDENSITY($G$52,SimData2!$B$9:$B$108,$G$15,$G$16)</f>
        <v>2.203095256400095E-2</v>
      </c>
    </row>
    <row r="53" spans="1:8">
      <c r="A53">
        <v>45</v>
      </c>
      <c r="B53">
        <v>2.1920319696128989</v>
      </c>
      <c r="C53" s="3"/>
      <c r="F53">
        <v>33</v>
      </c>
      <c r="G53" s="3">
        <f t="shared" si="0"/>
        <v>16.543054768647814</v>
      </c>
      <c r="H53" s="3">
        <f>_xll.PDENSITY($G$53,SimData2!$B$9:$B$108,$G$15,$G$16)</f>
        <v>2.0263546656420304E-2</v>
      </c>
    </row>
    <row r="54" spans="1:8">
      <c r="A54">
        <v>46</v>
      </c>
      <c r="B54">
        <v>3.7018437869075216</v>
      </c>
      <c r="C54" s="3"/>
      <c r="F54">
        <v>34</v>
      </c>
      <c r="G54" s="3">
        <f t="shared" ref="G54:G85" si="1">1/99*($G$14-$G$13)+G53</f>
        <v>17.380292020319885</v>
      </c>
      <c r="H54" s="3">
        <f>_xll.PDENSITY($G$54,SimData2!$B$9:$B$108,$G$15,$G$16)</f>
        <v>1.8642048536088907E-2</v>
      </c>
    </row>
    <row r="55" spans="1:8">
      <c r="A55">
        <v>47</v>
      </c>
      <c r="B55">
        <v>23.768453589852232</v>
      </c>
      <c r="C55" s="3"/>
      <c r="F55">
        <v>35</v>
      </c>
      <c r="G55" s="3">
        <f t="shared" si="1"/>
        <v>18.217529271991957</v>
      </c>
      <c r="H55" s="3">
        <f>_xll.PDENSITY($G$55,SimData2!$B$9:$B$108,$G$15,$G$16)</f>
        <v>1.7149129453332031E-2</v>
      </c>
    </row>
    <row r="56" spans="1:8">
      <c r="A56">
        <v>48</v>
      </c>
      <c r="B56">
        <v>19.289087936602542</v>
      </c>
      <c r="C56" s="3"/>
      <c r="F56">
        <v>36</v>
      </c>
      <c r="G56" s="3">
        <f t="shared" si="1"/>
        <v>19.054766523664028</v>
      </c>
      <c r="H56" s="3">
        <f>_xll.PDENSITY($G$56,SimData2!$B$9:$B$108,$G$15,$G$16)</f>
        <v>1.57680081809237E-2</v>
      </c>
    </row>
    <row r="57" spans="1:8">
      <c r="A57">
        <v>49</v>
      </c>
      <c r="B57">
        <v>1.065518263357377</v>
      </c>
      <c r="C57" s="3"/>
      <c r="F57">
        <v>37</v>
      </c>
      <c r="G57" s="3">
        <f t="shared" si="1"/>
        <v>19.8920037753361</v>
      </c>
      <c r="H57" s="3">
        <f>_xll.PDENSITY($G$57,SimData2!$B$9:$B$108,$G$15,$G$16)</f>
        <v>1.4485679423481763E-2</v>
      </c>
    </row>
    <row r="58" spans="1:8">
      <c r="A58">
        <v>50</v>
      </c>
      <c r="B58">
        <v>2.5333023317639953</v>
      </c>
      <c r="C58" s="3"/>
      <c r="F58">
        <v>38</v>
      </c>
      <c r="G58" s="3">
        <f t="shared" si="1"/>
        <v>20.729241027008172</v>
      </c>
      <c r="H58" s="3">
        <f>_xll.PDENSITY($G$58,SimData2!$B$9:$B$108,$G$15,$G$16)</f>
        <v>1.3295083068975526E-2</v>
      </c>
    </row>
    <row r="59" spans="1:8">
      <c r="A59">
        <v>51</v>
      </c>
      <c r="B59">
        <v>21.471903019062051</v>
      </c>
      <c r="C59" s="3"/>
      <c r="F59">
        <v>39</v>
      </c>
      <c r="G59" s="3">
        <f t="shared" si="1"/>
        <v>21.566478278680243</v>
      </c>
      <c r="H59" s="3">
        <f>_xll.PDENSITY($G$59,SimData2!$B$9:$B$108,$G$15,$G$16)</f>
        <v>1.2195158736694975E-2</v>
      </c>
    </row>
    <row r="60" spans="1:8">
      <c r="A60">
        <v>52</v>
      </c>
      <c r="B60">
        <v>11.921184327687191</v>
      </c>
      <c r="C60" s="3"/>
      <c r="F60">
        <v>40</v>
      </c>
      <c r="G60" s="3">
        <f t="shared" si="1"/>
        <v>22.403715530352315</v>
      </c>
      <c r="H60" s="3">
        <f>_xll.PDENSITY($G$60,SimData2!$B$9:$B$108,$G$15,$G$16)</f>
        <v>1.1188675580438009E-2</v>
      </c>
    </row>
    <row r="61" spans="1:8">
      <c r="A61">
        <v>53</v>
      </c>
      <c r="B61">
        <v>12.217705795454632</v>
      </c>
      <c r="C61" s="3"/>
      <c r="F61">
        <v>41</v>
      </c>
      <c r="G61" s="3">
        <f t="shared" si="1"/>
        <v>23.240952782024387</v>
      </c>
      <c r="H61" s="3">
        <f>_xll.PDENSITY($G$61,SimData2!$B$9:$B$108,$G$15,$G$16)</f>
        <v>1.0278641895823802E-2</v>
      </c>
    </row>
    <row r="62" spans="1:8">
      <c r="A62">
        <v>54</v>
      </c>
      <c r="B62">
        <v>9.300159133639621</v>
      </c>
      <c r="C62" s="3"/>
      <c r="F62">
        <v>42</v>
      </c>
      <c r="G62" s="3">
        <f t="shared" si="1"/>
        <v>24.078190033696458</v>
      </c>
      <c r="H62" s="3">
        <f>_xll.PDENSITY($G$62,SimData2!$B$9:$B$108,$G$15,$G$16)</f>
        <v>9.4645890914189981E-3</v>
      </c>
    </row>
    <row r="63" spans="1:8">
      <c r="A63">
        <v>55</v>
      </c>
      <c r="B63">
        <v>9.6458823985483217</v>
      </c>
      <c r="C63" s="3"/>
      <c r="F63">
        <v>43</v>
      </c>
      <c r="G63" s="3">
        <f t="shared" si="1"/>
        <v>24.91542728536853</v>
      </c>
      <c r="H63" s="3">
        <f>_xll.PDENSITY($G$63,SimData2!$B$9:$B$108,$G$15,$G$16)</f>
        <v>8.7399905223032957E-3</v>
      </c>
    </row>
    <row r="64" spans="1:8">
      <c r="A64">
        <v>56</v>
      </c>
      <c r="B64">
        <v>1.2983729777137101</v>
      </c>
      <c r="C64" s="3"/>
      <c r="F64">
        <v>44</v>
      </c>
      <c r="G64" s="3">
        <f t="shared" si="1"/>
        <v>25.752664537040602</v>
      </c>
      <c r="H64" s="3">
        <f>_xll.PDENSITY($G$64,SimData2!$B$9:$B$108,$G$15,$G$16)</f>
        <v>8.0916429205533848E-3</v>
      </c>
    </row>
    <row r="65" spans="1:8">
      <c r="A65">
        <v>57</v>
      </c>
      <c r="B65">
        <v>28.046335941262921</v>
      </c>
      <c r="C65" s="3"/>
      <c r="F65">
        <v>45</v>
      </c>
      <c r="G65" s="3">
        <f t="shared" si="1"/>
        <v>26.589901788712673</v>
      </c>
      <c r="H65" s="3">
        <f>_xll.PDENSITY($G$65,SimData2!$B$9:$B$108,$G$15,$G$16)</f>
        <v>7.5011971927798991E-3</v>
      </c>
    </row>
    <row r="66" spans="1:8">
      <c r="A66">
        <v>58</v>
      </c>
      <c r="B66">
        <v>1.6327636317906082</v>
      </c>
      <c r="C66" s="3"/>
      <c r="F66">
        <v>46</v>
      </c>
      <c r="G66" s="3">
        <f t="shared" si="1"/>
        <v>27.427139040384745</v>
      </c>
      <c r="H66" s="3">
        <f>_xll.PDENSITY($G$66,SimData2!$B$9:$B$108,$G$15,$G$16)</f>
        <v>6.9483568167971127E-3</v>
      </c>
    </row>
    <row r="67" spans="1:8">
      <c r="A67">
        <v>59</v>
      </c>
      <c r="B67">
        <v>4.5760660755523173</v>
      </c>
      <c r="C67" s="3"/>
      <c r="F67">
        <v>47</v>
      </c>
      <c r="G67" s="3">
        <f t="shared" si="1"/>
        <v>28.264376292056816</v>
      </c>
      <c r="H67" s="3">
        <f>_xll.PDENSITY($G$67,SimData2!$B$9:$B$108,$G$15,$G$16)</f>
        <v>6.4147606708786498E-3</v>
      </c>
    </row>
    <row r="68" spans="1:8">
      <c r="A68">
        <v>60</v>
      </c>
      <c r="B68">
        <v>12.807424605149702</v>
      </c>
      <c r="C68" s="3"/>
      <c r="F68">
        <v>48</v>
      </c>
      <c r="G68" s="3">
        <f t="shared" si="1"/>
        <v>29.101613543728888</v>
      </c>
      <c r="H68" s="3">
        <f>_xll.PDENSITY($G$68,SimData2!$B$9:$B$108,$G$15,$G$16)</f>
        <v>5.887432615892055E-3</v>
      </c>
    </row>
    <row r="69" spans="1:8">
      <c r="A69">
        <v>61</v>
      </c>
      <c r="B69">
        <v>17.507565296801438</v>
      </c>
      <c r="C69" s="3"/>
      <c r="F69">
        <v>49</v>
      </c>
      <c r="G69" s="3">
        <f t="shared" si="1"/>
        <v>29.93885079540096</v>
      </c>
      <c r="H69" s="3">
        <f>_xll.PDENSITY($G$69,SimData2!$B$9:$B$108,$G$15,$G$16)</f>
        <v>5.3609921574013846E-3</v>
      </c>
    </row>
    <row r="70" spans="1:8">
      <c r="A70">
        <v>62</v>
      </c>
      <c r="B70">
        <v>2.3812179769753485</v>
      </c>
      <c r="C70" s="3"/>
      <c r="F70">
        <v>50</v>
      </c>
      <c r="G70" s="3">
        <f t="shared" si="1"/>
        <v>30.776088047073031</v>
      </c>
      <c r="H70" s="3">
        <f>_xll.PDENSITY($G$70,SimData2!$B$9:$B$108,$G$15,$G$16)</f>
        <v>4.8384020798242769E-3</v>
      </c>
    </row>
    <row r="71" spans="1:8">
      <c r="A71">
        <v>63</v>
      </c>
      <c r="B71">
        <v>13.429990499872215</v>
      </c>
      <c r="C71" s="3"/>
      <c r="F71">
        <v>51</v>
      </c>
      <c r="G71" s="3">
        <f t="shared" si="1"/>
        <v>31.613325298745103</v>
      </c>
      <c r="H71" s="3">
        <f>_xll.PDENSITY($G$71,SimData2!$B$9:$B$108,$G$15,$G$16)</f>
        <v>4.3304941510544041E-3</v>
      </c>
    </row>
    <row r="72" spans="1:8">
      <c r="A72">
        <v>64</v>
      </c>
      <c r="B72">
        <v>4.1181596306706805</v>
      </c>
      <c r="C72" s="3"/>
      <c r="F72">
        <v>52</v>
      </c>
      <c r="G72" s="3">
        <f t="shared" si="1"/>
        <v>32.450562550417175</v>
      </c>
      <c r="H72" s="3">
        <f>_xll.PDENSITY($G$72,SimData2!$B$9:$B$108,$G$15,$G$16)</f>
        <v>3.8545463829585606E-3</v>
      </c>
    </row>
    <row r="73" spans="1:8">
      <c r="A73">
        <v>65</v>
      </c>
      <c r="B73">
        <v>2.8952652682778117</v>
      </c>
      <c r="C73" s="3"/>
      <c r="F73">
        <v>53</v>
      </c>
      <c r="G73" s="3">
        <f t="shared" si="1"/>
        <v>33.287799802089246</v>
      </c>
      <c r="H73" s="3">
        <f>_xll.PDENSITY($G$73,SimData2!$B$9:$B$108,$G$15,$G$16)</f>
        <v>3.431836948390585E-3</v>
      </c>
    </row>
    <row r="74" spans="1:8">
      <c r="A74">
        <v>66</v>
      </c>
      <c r="B74">
        <v>4.7840304708654298</v>
      </c>
      <c r="C74" s="3"/>
      <c r="F74">
        <v>54</v>
      </c>
      <c r="G74" s="3">
        <f t="shared" si="1"/>
        <v>34.125037053761318</v>
      </c>
      <c r="H74" s="3">
        <f>_xll.PDENSITY($G$74,SimData2!$B$9:$B$108,$G$15,$G$16)</f>
        <v>3.083814760263611E-3</v>
      </c>
    </row>
    <row r="75" spans="1:8">
      <c r="A75">
        <v>67</v>
      </c>
      <c r="B75">
        <v>0.27588483989350604</v>
      </c>
      <c r="C75" s="3"/>
      <c r="F75">
        <v>55</v>
      </c>
      <c r="G75" s="3">
        <f t="shared" si="1"/>
        <v>34.96227430543339</v>
      </c>
      <c r="H75" s="3">
        <f>_xll.PDENSITY($G$75,SimData2!$B$9:$B$108,$G$15,$G$16)</f>
        <v>2.8268020011068167E-3</v>
      </c>
    </row>
    <row r="76" spans="1:8">
      <c r="A76">
        <v>68</v>
      </c>
      <c r="B76">
        <v>1.2241643544827503</v>
      </c>
      <c r="C76" s="3"/>
      <c r="F76">
        <v>56</v>
      </c>
      <c r="G76" s="3">
        <f t="shared" si="1"/>
        <v>35.799511557105461</v>
      </c>
      <c r="H76" s="3">
        <f>_xll.PDENSITY($G$76,SimData2!$B$9:$B$108,$G$15,$G$16)</f>
        <v>2.6660713952547542E-3</v>
      </c>
    </row>
    <row r="77" spans="1:8">
      <c r="A77">
        <v>69</v>
      </c>
      <c r="B77">
        <v>0.9019071269263178</v>
      </c>
      <c r="C77" s="3"/>
      <c r="F77">
        <v>57</v>
      </c>
      <c r="G77" s="3">
        <f t="shared" si="1"/>
        <v>36.636748808777533</v>
      </c>
      <c r="H77" s="3">
        <f>_xll.PDENSITY($G$77,SimData2!$B$9:$B$108,$G$15,$G$16)</f>
        <v>2.5912166308122526E-3</v>
      </c>
    </row>
    <row r="78" spans="1:8">
      <c r="A78">
        <v>70</v>
      </c>
      <c r="B78">
        <v>3.9756111501878966</v>
      </c>
      <c r="C78" s="3"/>
      <c r="F78">
        <v>58</v>
      </c>
      <c r="G78" s="3">
        <f t="shared" si="1"/>
        <v>37.473986060449604</v>
      </c>
      <c r="H78" s="3">
        <f>_xll.PDENSITY($G$78,SimData2!$B$9:$B$108,$G$15,$G$16)</f>
        <v>2.5751352320983805E-3</v>
      </c>
    </row>
    <row r="79" spans="1:8">
      <c r="A79">
        <v>71</v>
      </c>
      <c r="B79">
        <v>14.293383739521976</v>
      </c>
      <c r="C79" s="3"/>
      <c r="F79">
        <v>59</v>
      </c>
      <c r="G79" s="3">
        <f t="shared" si="1"/>
        <v>38.311223312121676</v>
      </c>
      <c r="H79" s="3">
        <f>_xll.PDENSITY($G$79,SimData2!$B$9:$B$108,$G$15,$G$16)</f>
        <v>2.5781062276074456E-3</v>
      </c>
    </row>
    <row r="80" spans="1:8">
      <c r="A80">
        <v>72</v>
      </c>
      <c r="B80">
        <v>1.7500390787467091</v>
      </c>
      <c r="C80" s="3"/>
      <c r="F80">
        <v>60</v>
      </c>
      <c r="G80" s="3">
        <f t="shared" si="1"/>
        <v>39.148460563793748</v>
      </c>
      <c r="H80" s="3">
        <f>_xll.PDENSITY($G$80,SimData2!$B$9:$B$108,$G$15,$G$16)</f>
        <v>2.556531584957682E-3</v>
      </c>
    </row>
    <row r="81" spans="1:8">
      <c r="A81">
        <v>73</v>
      </c>
      <c r="B81">
        <v>4.2317604384657121</v>
      </c>
      <c r="C81" s="3"/>
      <c r="F81">
        <v>61</v>
      </c>
      <c r="G81" s="3">
        <f t="shared" si="1"/>
        <v>39.985697815465819</v>
      </c>
      <c r="H81" s="3">
        <f>_xll.PDENSITY($G$81,SimData2!$B$9:$B$108,$G$15,$G$16)</f>
        <v>2.4738074738526634E-3</v>
      </c>
    </row>
    <row r="82" spans="1:8">
      <c r="A82">
        <v>74</v>
      </c>
      <c r="B82">
        <v>5.8535372482186675E-2</v>
      </c>
      <c r="C82" s="3"/>
      <c r="F82">
        <v>62</v>
      </c>
      <c r="G82" s="3">
        <f t="shared" si="1"/>
        <v>40.822935067137891</v>
      </c>
      <c r="H82" s="3">
        <f>_xll.PDENSITY($G$82,SimData2!$B$9:$B$108,$G$15,$G$16)</f>
        <v>2.309619989985902E-3</v>
      </c>
    </row>
    <row r="83" spans="1:8">
      <c r="A83">
        <v>75</v>
      </c>
      <c r="B83">
        <v>4.9764914462556131</v>
      </c>
      <c r="C83" s="3"/>
      <c r="F83">
        <v>63</v>
      </c>
      <c r="G83" s="3">
        <f t="shared" si="1"/>
        <v>41.660172318809963</v>
      </c>
      <c r="H83" s="3">
        <f>_xll.PDENSITY($G$83,SimData2!$B$9:$B$108,$G$15,$G$16)</f>
        <v>2.0644041045078964E-3</v>
      </c>
    </row>
    <row r="84" spans="1:8">
      <c r="A84">
        <v>76</v>
      </c>
      <c r="B84">
        <v>0.44159180064360309</v>
      </c>
      <c r="C84" s="3"/>
      <c r="F84">
        <v>64</v>
      </c>
      <c r="G84" s="3">
        <f t="shared" si="1"/>
        <v>42.497409570482034</v>
      </c>
      <c r="H84" s="3">
        <f>_xll.PDENSITY($G$84,SimData2!$B$9:$B$108,$G$15,$G$16)</f>
        <v>1.7575944377196337E-3</v>
      </c>
    </row>
    <row r="85" spans="1:8">
      <c r="A85">
        <v>77</v>
      </c>
      <c r="B85">
        <v>15.15934298440132</v>
      </c>
      <c r="C85" s="3"/>
      <c r="F85">
        <v>65</v>
      </c>
      <c r="G85" s="3">
        <f t="shared" si="1"/>
        <v>43.334646822154106</v>
      </c>
      <c r="H85" s="3">
        <f>_xll.PDENSITY($G$85,SimData2!$B$9:$B$108,$G$15,$G$16)</f>
        <v>1.4207069275808217E-3</v>
      </c>
    </row>
    <row r="86" spans="1:8">
      <c r="A86">
        <v>78</v>
      </c>
      <c r="B86">
        <v>0.79477424375671557</v>
      </c>
      <c r="C86" s="3"/>
      <c r="F86">
        <v>66</v>
      </c>
      <c r="G86" s="3">
        <f t="shared" ref="G86:G120" si="2">1/99*($G$14-$G$13)+G85</f>
        <v>44.171884073826178</v>
      </c>
      <c r="H86" s="3">
        <f>_xll.PDENSITY($G$86,SimData2!$B$9:$B$108,$G$15,$G$16)</f>
        <v>1.0880786071373978E-3</v>
      </c>
    </row>
    <row r="87" spans="1:8">
      <c r="A87">
        <v>79</v>
      </c>
      <c r="B87">
        <v>7.5479746939551209</v>
      </c>
      <c r="C87" s="3"/>
      <c r="F87">
        <v>67</v>
      </c>
      <c r="G87" s="3">
        <f t="shared" si="2"/>
        <v>45.009121325498249</v>
      </c>
      <c r="H87" s="3">
        <f>_xll.PDENSITY($G$87,SimData2!$B$9:$B$108,$G$15,$G$16)</f>
        <v>7.8852387527470022E-4</v>
      </c>
    </row>
    <row r="88" spans="1:8">
      <c r="A88">
        <v>80</v>
      </c>
      <c r="B88">
        <v>2.6342246649507945</v>
      </c>
      <c r="C88" s="3"/>
      <c r="F88">
        <v>68</v>
      </c>
      <c r="G88" s="3">
        <f t="shared" si="2"/>
        <v>45.846358577170321</v>
      </c>
      <c r="H88" s="3">
        <f>_xll.PDENSITY($G$88,SimData2!$B$9:$B$108,$G$15,$G$16)</f>
        <v>5.4024990655203681E-4</v>
      </c>
    </row>
    <row r="89" spans="1:8">
      <c r="A89">
        <v>81</v>
      </c>
      <c r="B89">
        <v>5.8289187508359452</v>
      </c>
      <c r="C89" s="3"/>
      <c r="F89">
        <v>69</v>
      </c>
      <c r="G89" s="3">
        <f t="shared" si="2"/>
        <v>46.683595828842392</v>
      </c>
      <c r="H89" s="3">
        <f>_xll.PDENSITY($G$89,SimData2!$B$9:$B$108,$G$15,$G$16)</f>
        <v>3.4975021009067328E-4</v>
      </c>
    </row>
    <row r="90" spans="1:8">
      <c r="A90">
        <v>82</v>
      </c>
      <c r="B90">
        <v>6.7608271768535104</v>
      </c>
      <c r="C90" s="3"/>
      <c r="F90">
        <v>70</v>
      </c>
      <c r="G90" s="3">
        <f t="shared" si="2"/>
        <v>47.520833080514464</v>
      </c>
      <c r="H90" s="3">
        <f>_xll.PDENSITY($G$90,SimData2!$B$9:$B$108,$G$15,$G$16)</f>
        <v>2.1389735138869801E-4</v>
      </c>
    </row>
    <row r="91" spans="1:8">
      <c r="A91">
        <v>83</v>
      </c>
      <c r="B91">
        <v>7.9806497491002677</v>
      </c>
      <c r="C91" s="3"/>
      <c r="F91">
        <v>71</v>
      </c>
      <c r="G91" s="3">
        <f t="shared" si="2"/>
        <v>48.358070332186536</v>
      </c>
      <c r="H91" s="3">
        <f>_xll.PDENSITY($G$91,SimData2!$B$9:$B$108,$G$15,$G$16)</f>
        <v>1.2366171579018822E-4</v>
      </c>
    </row>
    <row r="92" spans="1:8">
      <c r="A92">
        <v>84</v>
      </c>
      <c r="B92">
        <v>3.193285392641017</v>
      </c>
      <c r="C92" s="3"/>
      <c r="F92">
        <v>72</v>
      </c>
      <c r="G92" s="3">
        <f t="shared" si="2"/>
        <v>49.195307583858607</v>
      </c>
      <c r="H92" s="3">
        <f>_xll.PDENSITY($G$92,SimData2!$B$9:$B$108,$G$15,$G$16)</f>
        <v>6.7903980134214774E-5</v>
      </c>
    </row>
    <row r="93" spans="1:8">
      <c r="A93">
        <v>85</v>
      </c>
      <c r="B93">
        <v>5.5983372664378344</v>
      </c>
      <c r="C93" s="3"/>
      <c r="F93">
        <v>73</v>
      </c>
      <c r="G93" s="3">
        <f t="shared" si="2"/>
        <v>50.032544835530679</v>
      </c>
      <c r="H93" s="3">
        <f>_xll.PDENSITY($G$93,SimData2!$B$9:$B$108,$G$15,$G$16)</f>
        <v>3.6250924903333196E-5</v>
      </c>
    </row>
    <row r="94" spans="1:8">
      <c r="A94">
        <v>86</v>
      </c>
      <c r="B94">
        <v>10.682381619262848</v>
      </c>
      <c r="C94" s="3"/>
      <c r="F94">
        <v>74</v>
      </c>
      <c r="G94" s="3">
        <f t="shared" si="2"/>
        <v>50.869782087202751</v>
      </c>
      <c r="H94" s="3">
        <f>_xll.PDENSITY($G$94,SimData2!$B$9:$B$108,$G$15,$G$16)</f>
        <v>2.0756940393394024E-5</v>
      </c>
    </row>
    <row r="95" spans="1:8">
      <c r="A95">
        <v>87</v>
      </c>
      <c r="B95">
        <v>7.5968132994756559</v>
      </c>
      <c r="C95" s="3"/>
      <c r="F95">
        <v>75</v>
      </c>
      <c r="G95" s="3">
        <f t="shared" si="2"/>
        <v>51.707019338874822</v>
      </c>
      <c r="H95" s="3">
        <f>_xll.PDENSITY($G$95,SimData2!$B$9:$B$108,$G$15,$G$16)</f>
        <v>1.6559586589629116E-5</v>
      </c>
    </row>
    <row r="96" spans="1:8">
      <c r="A96">
        <v>88</v>
      </c>
      <c r="B96">
        <v>20.000809560191652</v>
      </c>
      <c r="C96" s="3"/>
      <c r="F96">
        <v>76</v>
      </c>
      <c r="G96" s="3">
        <f t="shared" si="2"/>
        <v>52.544256590546894</v>
      </c>
      <c r="H96" s="3">
        <f>_xll.PDENSITY($G$96,SimData2!$B$9:$B$108,$G$15,$G$16)</f>
        <v>2.1931798305878634E-5</v>
      </c>
    </row>
    <row r="97" spans="1:8">
      <c r="A97">
        <v>89</v>
      </c>
      <c r="B97">
        <v>8.9872157777169939</v>
      </c>
      <c r="C97" s="3"/>
      <c r="F97">
        <v>77</v>
      </c>
      <c r="G97" s="3">
        <f t="shared" si="2"/>
        <v>53.381493842218966</v>
      </c>
      <c r="H97" s="3">
        <f>_xll.PDENSITY($G$97,SimData2!$B$9:$B$108,$G$15,$G$16)</f>
        <v>3.8055679026346802E-5</v>
      </c>
    </row>
    <row r="98" spans="1:8">
      <c r="A98">
        <v>90</v>
      </c>
      <c r="B98">
        <v>10.347141293567629</v>
      </c>
      <c r="C98" s="3"/>
      <c r="F98">
        <v>78</v>
      </c>
      <c r="G98" s="3">
        <f t="shared" si="2"/>
        <v>54.218731093891037</v>
      </c>
      <c r="H98" s="3">
        <f>_xll.PDENSITY($G$98,SimData2!$B$9:$B$108,$G$15,$G$16)</f>
        <v>6.8616888404369759E-5</v>
      </c>
    </row>
    <row r="99" spans="1:8">
      <c r="A99">
        <v>91</v>
      </c>
      <c r="B99">
        <v>40.756261260571748</v>
      </c>
      <c r="C99" s="3"/>
      <c r="F99">
        <v>79</v>
      </c>
      <c r="G99" s="3">
        <f t="shared" si="2"/>
        <v>55.055968345563109</v>
      </c>
      <c r="H99" s="3">
        <f>_xll.PDENSITY($G$99,SimData2!$B$9:$B$108,$G$15,$G$16)</f>
        <v>1.1908552518446605E-4</v>
      </c>
    </row>
    <row r="100" spans="1:8">
      <c r="A100">
        <v>92</v>
      </c>
      <c r="B100">
        <v>0.6277592986172299</v>
      </c>
      <c r="C100" s="3"/>
      <c r="F100">
        <v>80</v>
      </c>
      <c r="G100" s="3">
        <f t="shared" si="2"/>
        <v>55.89320559723518</v>
      </c>
      <c r="H100" s="3">
        <f>_xll.PDENSITY($G$100,SimData2!$B$9:$B$108,$G$15,$G$16)</f>
        <v>1.9543656318507399E-4</v>
      </c>
    </row>
    <row r="101" spans="1:8">
      <c r="A101">
        <v>93</v>
      </c>
      <c r="B101">
        <v>4.718804398744628</v>
      </c>
      <c r="C101" s="3"/>
      <c r="F101">
        <v>81</v>
      </c>
      <c r="G101" s="3">
        <f t="shared" si="2"/>
        <v>56.730442848907252</v>
      </c>
      <c r="H101" s="3">
        <f>_xll.PDENSITY($G$101,SimData2!$B$9:$B$108,$G$15,$G$16)</f>
        <v>3.0216352010256457E-4</v>
      </c>
    </row>
    <row r="102" spans="1:8">
      <c r="A102">
        <v>94</v>
      </c>
      <c r="B102">
        <v>0.60358168926744193</v>
      </c>
      <c r="C102" s="3"/>
      <c r="F102">
        <v>82</v>
      </c>
      <c r="G102" s="3">
        <f t="shared" si="2"/>
        <v>57.567680100579324</v>
      </c>
      <c r="H102" s="3">
        <f>_xll.PDENSITY($G$102,SimData2!$B$9:$B$108,$G$15,$G$16)</f>
        <v>4.3977337336309838E-4</v>
      </c>
    </row>
    <row r="103" spans="1:8">
      <c r="A103">
        <v>95</v>
      </c>
      <c r="B103">
        <v>39.020540596962221</v>
      </c>
      <c r="C103" s="3"/>
      <c r="F103">
        <v>83</v>
      </c>
      <c r="G103" s="3">
        <f t="shared" si="2"/>
        <v>58.404917352251395</v>
      </c>
      <c r="H103" s="3">
        <f>_xll.PDENSITY($G$103,SimData2!$B$9:$B$108,$G$15,$G$16)</f>
        <v>6.024157424335771E-4</v>
      </c>
    </row>
    <row r="104" spans="1:8">
      <c r="A104">
        <v>96</v>
      </c>
      <c r="B104">
        <v>5.3955277690357759</v>
      </c>
      <c r="C104" s="3"/>
      <c r="F104">
        <v>84</v>
      </c>
      <c r="G104" s="3">
        <f t="shared" si="2"/>
        <v>59.242154603923467</v>
      </c>
      <c r="H104" s="3">
        <f>_xll.PDENSITY($G$104,SimData2!$B$9:$B$108,$G$15,$G$16)</f>
        <v>7.7665763788548764E-4</v>
      </c>
    </row>
    <row r="105" spans="1:8">
      <c r="A105">
        <v>97</v>
      </c>
      <c r="B105">
        <v>22.630674189451604</v>
      </c>
      <c r="C105" s="3"/>
      <c r="F105">
        <v>85</v>
      </c>
      <c r="G105" s="3">
        <f t="shared" si="2"/>
        <v>60.079391855595539</v>
      </c>
      <c r="H105" s="3">
        <f>_xll.PDENSITY($G$105,SimData2!$B$9:$B$108,$G$15,$G$16)</f>
        <v>9.4237948786320613E-4</v>
      </c>
    </row>
    <row r="106" spans="1:8">
      <c r="A106">
        <v>98</v>
      </c>
      <c r="B106">
        <v>13.864770673591028</v>
      </c>
      <c r="C106" s="3"/>
      <c r="F106">
        <v>86</v>
      </c>
      <c r="G106" s="3">
        <f t="shared" si="2"/>
        <v>60.91662910726761</v>
      </c>
      <c r="H106" s="3">
        <f>_xll.PDENSITY($G$106,SimData2!$B$9:$B$108,$G$15,$G$16)</f>
        <v>1.0761784850406384E-3</v>
      </c>
    </row>
    <row r="107" spans="1:8">
      <c r="A107">
        <v>99</v>
      </c>
      <c r="B107">
        <v>0.37572770022437757</v>
      </c>
      <c r="C107" s="3"/>
      <c r="F107">
        <v>87</v>
      </c>
      <c r="G107" s="3">
        <f t="shared" si="2"/>
        <v>61.753866358939682</v>
      </c>
      <c r="H107" s="3">
        <f>_xll.PDENSITY($G$107,SimData2!$B$9:$B$108,$G$15,$G$16)</f>
        <v>1.1566579028007937E-3</v>
      </c>
    </row>
    <row r="108" spans="1:8">
      <c r="A108">
        <v>100</v>
      </c>
      <c r="B108">
        <v>4.3940001035506873</v>
      </c>
      <c r="C108" s="3"/>
      <c r="F108">
        <v>88</v>
      </c>
      <c r="G108" s="3">
        <f t="shared" si="2"/>
        <v>62.591103610611754</v>
      </c>
      <c r="H108" s="3">
        <f>_xll.PDENSITY($G$108,SimData2!$B$9:$B$108,$G$15,$G$16)</f>
        <v>1.1700048706048979E-3</v>
      </c>
    </row>
    <row r="109" spans="1:8">
      <c r="F109">
        <v>89</v>
      </c>
      <c r="G109" s="3">
        <f t="shared" si="2"/>
        <v>63.428340862283825</v>
      </c>
      <c r="H109" s="3">
        <f>_xll.PDENSITY($G$109,SimData2!$B$9:$B$108,$G$15,$G$16)</f>
        <v>1.1138649040158116E-3</v>
      </c>
    </row>
    <row r="110" spans="1:8">
      <c r="A110" t="s">
        <v>65</v>
      </c>
      <c r="F110">
        <v>90</v>
      </c>
      <c r="G110" s="3">
        <f t="shared" si="2"/>
        <v>64.265578113955897</v>
      </c>
      <c r="H110" s="3">
        <f>_xll.PDENSITY($G$110,SimData2!$B$9:$B$108,$G$15,$G$16)</f>
        <v>9.9802054150884001E-4</v>
      </c>
    </row>
    <row r="111" spans="1:8">
      <c r="A111" t="s">
        <v>66</v>
      </c>
      <c r="B111" t="str">
        <f>IF(ISBLANK($B110)=TRUE,"",_xll.EDF(B9:B108,$B110))</f>
        <v/>
      </c>
      <c r="F111">
        <v>91</v>
      </c>
      <c r="G111" s="3">
        <f t="shared" si="2"/>
        <v>65.102815365627961</v>
      </c>
      <c r="H111" s="3">
        <f>_xll.PDENSITY($G$111,SimData2!$B$9:$B$108,$G$15,$G$16)</f>
        <v>8.4160546899328522E-4</v>
      </c>
    </row>
    <row r="112" spans="1:8">
      <c r="A112" t="s">
        <v>67</v>
      </c>
      <c r="F112">
        <v>92</v>
      </c>
      <c r="G112" s="3">
        <f t="shared" si="2"/>
        <v>65.940052617300026</v>
      </c>
      <c r="H112" s="3">
        <f>_xll.PDENSITY($G$112,SimData2!$B$9:$B$108,$G$15,$G$16)</f>
        <v>6.6794349823925416E-4</v>
      </c>
    </row>
    <row r="113" spans="1:8">
      <c r="A113" t="s">
        <v>68</v>
      </c>
      <c r="B113" t="str">
        <f>IF(ISBLANK($B112)=TRUE,"",_xll.EDF(B9:B108,$B112))</f>
        <v/>
      </c>
      <c r="F113">
        <v>93</v>
      </c>
      <c r="G113" s="3">
        <f t="shared" si="2"/>
        <v>66.77728986897209</v>
      </c>
      <c r="H113" s="3">
        <f>_xll.PDENSITY($G$113,SimData2!$B$9:$B$108,$G$15,$G$16)</f>
        <v>4.9892241232111709E-4</v>
      </c>
    </row>
    <row r="114" spans="1:8">
      <c r="A114" t="s">
        <v>69</v>
      </c>
      <c r="F114">
        <v>94</v>
      </c>
      <c r="G114" s="3">
        <f t="shared" si="2"/>
        <v>67.614527120644155</v>
      </c>
      <c r="H114" s="3">
        <f>_xll.PDENSITY($G$114,SimData2!$B$9:$B$108,$G$15,$G$16)</f>
        <v>3.5074251291547206E-4</v>
      </c>
    </row>
    <row r="115" spans="1:8">
      <c r="A115" t="s">
        <v>70</v>
      </c>
      <c r="B115" t="str">
        <f>IF(ISBLANK($B114)=TRUE,"",_xll.EDF(B9:B108,$B114))</f>
        <v/>
      </c>
      <c r="F115">
        <v>95</v>
      </c>
      <c r="G115" s="3">
        <f t="shared" si="2"/>
        <v>68.451764372316219</v>
      </c>
      <c r="H115" s="3">
        <f>_xll.PDENSITY($G$115,SimData2!$B$9:$B$108,$G$15,$G$16)</f>
        <v>2.3206300613559731E-4</v>
      </c>
    </row>
    <row r="116" spans="1:8">
      <c r="A116" t="s">
        <v>71</v>
      </c>
      <c r="F116">
        <v>96</v>
      </c>
      <c r="G116" s="3">
        <f t="shared" si="2"/>
        <v>69.289001623988284</v>
      </c>
      <c r="H116" s="3">
        <f>_xll.PDENSITY($G$116,SimData2!$B$9:$B$108,$G$15,$G$16)</f>
        <v>1.4450588274367854E-4</v>
      </c>
    </row>
    <row r="117" spans="1:8">
      <c r="A117" t="s">
        <v>72</v>
      </c>
      <c r="B117" t="str">
        <f>IF(ISBLANK($B116)=TRUE,"",_xll.EDF(B9:B108,$B116))</f>
        <v/>
      </c>
      <c r="F117">
        <v>97</v>
      </c>
      <c r="G117" s="3">
        <f t="shared" si="2"/>
        <v>70.126238875660349</v>
      </c>
      <c r="H117" s="3">
        <f>_xll.PDENSITY($G$117,SimData2!$B$9:$B$108,$G$15,$G$16)</f>
        <v>8.4689047772305265E-5</v>
      </c>
    </row>
    <row r="118" spans="1:8">
      <c r="A118" t="s">
        <v>73</v>
      </c>
      <c r="F118">
        <v>98</v>
      </c>
      <c r="G118" s="3">
        <f t="shared" si="2"/>
        <v>70.963476127332413</v>
      </c>
      <c r="H118" s="3">
        <f>_xll.PDENSITY($G$118,SimData2!$B$9:$B$108,$G$15,$G$16)</f>
        <v>4.6712281687397484E-5</v>
      </c>
    </row>
    <row r="119" spans="1:8">
      <c r="A119" t="s">
        <v>74</v>
      </c>
      <c r="B119" t="str">
        <f>IF(ISBLANK($B118)=TRUE,"",_xll.EDF(B9:B108,$B118))</f>
        <v/>
      </c>
      <c r="F119">
        <v>99</v>
      </c>
      <c r="G119" s="3">
        <f t="shared" si="2"/>
        <v>71.800713379004478</v>
      </c>
      <c r="H119" s="3">
        <f>_xll.PDENSITY($G$119,SimData2!$B$9:$B$108,$G$15,$G$16)</f>
        <v>2.4249178002090387E-5</v>
      </c>
    </row>
    <row r="120" spans="1:8">
      <c r="F120">
        <v>100</v>
      </c>
      <c r="G120" s="3">
        <f t="shared" si="2"/>
        <v>72.637950630676542</v>
      </c>
      <c r="H120" s="3">
        <f>_xll.PDENSITY($G$120,SimData2!$B$9:$B$108,$G$15,$G$16)</f>
        <v>1.1847455080274093E-5</v>
      </c>
    </row>
  </sheetData>
  <sheetCalcPr fullCalcOnLoad="1"/>
  <phoneticPr fontId="0" type="noConversion"/>
  <dataValidations count="1">
    <dataValidation type="list" allowBlank="1" showInputMessage="1" showErrorMessage="1" sqref="G16">
      <formula1>"Gaussian,Cosinus,Triangle,Triweight,Epanechnikov,Quartic,Cauchy,Double Exp"</formula1>
    </dataValidation>
  </dataValidation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9"/>
  <sheetViews>
    <sheetView workbookViewId="0">
      <selection activeCell="D20" sqref="D20"/>
    </sheetView>
  </sheetViews>
  <sheetFormatPr defaultRowHeight="12"/>
  <sheetData>
    <row r="1" spans="1:20">
      <c r="A1" t="s">
        <v>96</v>
      </c>
    </row>
    <row r="2" spans="1:20">
      <c r="A2" t="s">
        <v>64</v>
      </c>
      <c r="B2" t="str">
        <f ca="1">ADDRESS(ROW(Model!$J$57),COLUMN(Model!$J$57),4,,_xll.WSNAME(Model!$J$57))</f>
        <v>Model!J57</v>
      </c>
      <c r="C2" t="str">
        <f ca="1">ADDRESS(ROW(Model!$J$58),COLUMN(Model!$J$58),4,,_xll.WSNAME(Model!$J$58))</f>
        <v>Model!J58</v>
      </c>
      <c r="D2" t="str">
        <f ca="1">ADDRESS(ROW(Model!$J$59),COLUMN(Model!$J$59),4,,_xll.WSNAME(Model!$J$59))</f>
        <v>Model!J59</v>
      </c>
      <c r="E2" t="str">
        <f ca="1">ADDRESS(ROW(Model!$J$60),COLUMN(Model!$J$60),4,,_xll.WSNAME(Model!$J$60))</f>
        <v>Model!J60</v>
      </c>
      <c r="F2" t="str">
        <f ca="1">ADDRESS(ROW(Model!$J$61),COLUMN(Model!$J$61),4,,_xll.WSNAME(Model!$J$61))</f>
        <v>Model!J61</v>
      </c>
      <c r="G2" t="str">
        <f ca="1">ADDRESS(ROW(Model!$J$62),COLUMN(Model!$J$62),4,,_xll.WSNAME(Model!$J$62))</f>
        <v>Model!J62</v>
      </c>
      <c r="J2" t="s">
        <v>23</v>
      </c>
      <c r="K2" t="s">
        <v>22</v>
      </c>
      <c r="L2" t="s">
        <v>24</v>
      </c>
      <c r="M2" t="s">
        <v>25</v>
      </c>
      <c r="N2" t="s">
        <v>26</v>
      </c>
      <c r="O2" t="s">
        <v>27</v>
      </c>
    </row>
    <row r="3" spans="1:20">
      <c r="A3" t="s">
        <v>8</v>
      </c>
      <c r="B3">
        <f t="shared" ref="B3:G3" si="0">AVERAGE(B9:B508)</f>
        <v>10.00125173432799</v>
      </c>
      <c r="C3">
        <f t="shared" si="0"/>
        <v>6.0001023219173497</v>
      </c>
      <c r="D3">
        <f t="shared" si="0"/>
        <v>8.6885779982440035</v>
      </c>
      <c r="E3">
        <f t="shared" si="0"/>
        <v>11.062628283527605</v>
      </c>
      <c r="F3">
        <f t="shared" si="0"/>
        <v>0.23000000000000098</v>
      </c>
      <c r="G3">
        <f t="shared" si="0"/>
        <v>7.16</v>
      </c>
    </row>
    <row r="4" spans="1:20">
      <c r="A4" t="s">
        <v>17</v>
      </c>
      <c r="B4">
        <f t="shared" ref="B4:G4" si="1">STDEV(B9:B508)</f>
        <v>3.0048981826848289</v>
      </c>
      <c r="C4">
        <f t="shared" si="1"/>
        <v>2.3114908127832314</v>
      </c>
      <c r="D4">
        <f t="shared" si="1"/>
        <v>4.628806560212694</v>
      </c>
      <c r="E4">
        <f t="shared" si="1"/>
        <v>11.715856916510687</v>
      </c>
      <c r="F4">
        <f t="shared" si="1"/>
        <v>9.7241805129414928E-16</v>
      </c>
      <c r="G4">
        <f t="shared" si="1"/>
        <v>3.4892333683773571</v>
      </c>
    </row>
    <row r="5" spans="1:20">
      <c r="A5" t="s">
        <v>18</v>
      </c>
      <c r="B5">
        <f t="shared" ref="B5:G5" si="2">100*B4/B3</f>
        <v>30.045220963401096</v>
      </c>
      <c r="C5">
        <f t="shared" si="2"/>
        <v>38.52418990155801</v>
      </c>
      <c r="D5">
        <f t="shared" si="2"/>
        <v>53.274615951519273</v>
      </c>
      <c r="E5">
        <f t="shared" si="2"/>
        <v>105.90482312377563</v>
      </c>
      <c r="F5">
        <f t="shared" si="2"/>
        <v>4.2279045708441089E-13</v>
      </c>
      <c r="G5">
        <f t="shared" si="2"/>
        <v>48.732309614208894</v>
      </c>
    </row>
    <row r="6" spans="1:20">
      <c r="A6" t="s">
        <v>3</v>
      </c>
      <c r="B6">
        <f t="shared" ref="B6:G6" si="3">MIN(B9:B508)</f>
        <v>0.73219156403563801</v>
      </c>
      <c r="C6">
        <f t="shared" si="3"/>
        <v>2.0145099543515848</v>
      </c>
      <c r="D6">
        <f t="shared" si="3"/>
        <v>2.004804312483595</v>
      </c>
      <c r="E6">
        <f t="shared" si="3"/>
        <v>-1.4960406693175643</v>
      </c>
      <c r="F6">
        <f t="shared" si="3"/>
        <v>0.23</v>
      </c>
      <c r="G6">
        <f t="shared" si="3"/>
        <v>2</v>
      </c>
    </row>
    <row r="7" spans="1:20">
      <c r="A7" t="s">
        <v>4</v>
      </c>
      <c r="B7">
        <f t="shared" ref="B7:G7" si="4">MAX(B9:B508)</f>
        <v>19.754793248829095</v>
      </c>
      <c r="C7">
        <f t="shared" si="4"/>
        <v>9.9869767314500599</v>
      </c>
      <c r="D7">
        <f t="shared" si="4"/>
        <v>18.964722543186674</v>
      </c>
      <c r="E7">
        <f t="shared" si="4"/>
        <v>23.994353436219715</v>
      </c>
      <c r="F7">
        <f t="shared" si="4"/>
        <v>0.23</v>
      </c>
      <c r="G7">
        <f t="shared" si="4"/>
        <v>12</v>
      </c>
    </row>
    <row r="8" spans="1:20">
      <c r="A8" t="s">
        <v>19</v>
      </c>
      <c r="B8" t="str">
        <f>Model!$I$57</f>
        <v>Normal</v>
      </c>
      <c r="C8" t="str">
        <f>Model!$I$58</f>
        <v>Uniform</v>
      </c>
      <c r="D8" t="str">
        <f>Model!$I$59</f>
        <v>Empirical</v>
      </c>
      <c r="E8" t="str">
        <f>Model!$I$60</f>
        <v>GRK</v>
      </c>
      <c r="F8" t="str">
        <f>Model!$I$61</f>
        <v>Bernoulli</v>
      </c>
      <c r="G8" t="str">
        <f>Model!$I$62</f>
        <v>Discrete Uniform</v>
      </c>
      <c r="I8" s="4" t="str">
        <f>SimData1!$B$8</f>
        <v>Normal</v>
      </c>
      <c r="J8" t="s">
        <v>20</v>
      </c>
      <c r="K8" s="4" t="str">
        <f>SimData1!$C$8</f>
        <v>Uniform</v>
      </c>
      <c r="L8" t="s">
        <v>20</v>
      </c>
      <c r="M8" s="4" t="str">
        <f>SimData1!$D$8</f>
        <v>Empirical</v>
      </c>
      <c r="N8" t="s">
        <v>20</v>
      </c>
      <c r="O8" s="4" t="str">
        <f>SimData1!$E$8</f>
        <v>GRK</v>
      </c>
      <c r="P8" t="s">
        <v>20</v>
      </c>
      <c r="Q8" s="4" t="str">
        <f>SimData1!$F$8</f>
        <v>Bernoulli</v>
      </c>
      <c r="R8" t="s">
        <v>20</v>
      </c>
      <c r="S8" s="4" t="str">
        <f>SimData1!$G$8</f>
        <v>Discrete Uniform</v>
      </c>
      <c r="T8" t="s">
        <v>20</v>
      </c>
    </row>
    <row r="9" spans="1:20">
      <c r="A9">
        <v>1</v>
      </c>
      <c r="B9">
        <v>11.333621065489158</v>
      </c>
      <c r="C9">
        <v>8.7995003869122606</v>
      </c>
      <c r="D9">
        <v>6.7603169808351247</v>
      </c>
      <c r="E9">
        <v>23.906249978468665</v>
      </c>
      <c r="F9">
        <v>0.23</v>
      </c>
      <c r="G9">
        <v>2</v>
      </c>
      <c r="I9">
        <f>SMALL(SimData1!$B$9:$B$508,1)</f>
        <v>0.73219156403563801</v>
      </c>
      <c r="J9">
        <v>0</v>
      </c>
      <c r="K9">
        <f>SMALL(SimData1!$C$9:$C$508,1)</f>
        <v>2.0145099543515848</v>
      </c>
      <c r="L9">
        <v>0</v>
      </c>
      <c r="M9">
        <f>SMALL(SimData1!$D$9:$D$508,1)</f>
        <v>2.004804312483595</v>
      </c>
      <c r="N9">
        <v>0</v>
      </c>
      <c r="O9">
        <f>SMALL(SimData1!$E$9:$E$508,1)</f>
        <v>-1.4960406693175643</v>
      </c>
      <c r="P9">
        <v>0</v>
      </c>
      <c r="Q9">
        <f>SMALL(SimData1!$F$9:$F$508,1)</f>
        <v>0.23</v>
      </c>
      <c r="R9">
        <v>0</v>
      </c>
      <c r="S9">
        <f>SMALL(SimData1!$G$9:$G$508,1)</f>
        <v>2</v>
      </c>
      <c r="T9">
        <v>0</v>
      </c>
    </row>
    <row r="10" spans="1:20">
      <c r="A10">
        <v>2</v>
      </c>
      <c r="B10">
        <v>4.1877614921754116</v>
      </c>
      <c r="C10">
        <v>8.8072030965814374</v>
      </c>
      <c r="D10">
        <v>3.9135404822960358</v>
      </c>
      <c r="E10">
        <v>-0.22648404236873243</v>
      </c>
      <c r="F10">
        <v>0.23</v>
      </c>
      <c r="G10">
        <v>4</v>
      </c>
      <c r="I10">
        <f>SMALL(SimData1!$B$9:$B$508,2)</f>
        <v>1.7250030091699209</v>
      </c>
      <c r="J10">
        <f>1/(COUNT(SimData1!$B$9:$B$508)-1)+$J$9</f>
        <v>2.004008016032064E-3</v>
      </c>
      <c r="K10">
        <f>SMALL(SimData1!$C$9:$C$508,2)</f>
        <v>2.0243889570591014</v>
      </c>
      <c r="L10">
        <f>1/(COUNT(SimData1!$C$9:$C$508)-1)+$L$9</f>
        <v>2.004008016032064E-3</v>
      </c>
      <c r="M10">
        <f>SMALL(SimData1!$D$9:$D$508,2)</f>
        <v>2.010675786516321</v>
      </c>
      <c r="N10">
        <f>1/(COUNT(SimData1!$D$9:$D$508)-1)+$N$9</f>
        <v>2.004008016032064E-3</v>
      </c>
      <c r="O10">
        <f>SMALL(SimData1!$E$9:$E$508,2)</f>
        <v>-1.4880122975532557</v>
      </c>
      <c r="P10">
        <f>1/(COUNT(SimData1!$E$9:$E$508)-1)+$P$9</f>
        <v>2.004008016032064E-3</v>
      </c>
      <c r="Q10">
        <f>SMALL(SimData1!$F$9:$F$508,2)</f>
        <v>0.23</v>
      </c>
      <c r="R10">
        <f>1/(COUNT(SimData1!$F$9:$F$508)-1)+$R$9</f>
        <v>2.004008016032064E-3</v>
      </c>
      <c r="S10">
        <f>SMALL(SimData1!$G$9:$G$508,2)</f>
        <v>2</v>
      </c>
      <c r="T10">
        <f>1/(COUNT(SimData1!$G$9:$G$508)-1)+$T$9</f>
        <v>2.004008016032064E-3</v>
      </c>
    </row>
    <row r="11" spans="1:20">
      <c r="A11">
        <v>3</v>
      </c>
      <c r="B11">
        <v>13.864698511778737</v>
      </c>
      <c r="C11">
        <v>7.359649037294008</v>
      </c>
      <c r="D11">
        <v>4.8413936436086411</v>
      </c>
      <c r="E11">
        <v>22.088796147721112</v>
      </c>
      <c r="F11">
        <v>0.23</v>
      </c>
      <c r="G11">
        <v>6</v>
      </c>
      <c r="I11">
        <f>SMALL(SimData1!$B$9:$B$508,3)</f>
        <v>2.100617683344506</v>
      </c>
      <c r="J11">
        <f>1/(COUNT(SimData1!$B$9:$B$508)-1)+$J$10</f>
        <v>4.0080160320641279E-3</v>
      </c>
      <c r="K11">
        <f>SMALL(SimData1!$C$9:$C$508,3)</f>
        <v>2.0341698242505477</v>
      </c>
      <c r="L11">
        <f>1/(COUNT(SimData1!$C$9:$C$508)-1)+$L$10</f>
        <v>4.0080160320641279E-3</v>
      </c>
      <c r="M11">
        <f>SMALL(SimData1!$D$9:$D$508,3)</f>
        <v>2.0217261209817896</v>
      </c>
      <c r="N11">
        <f>1/(COUNT(SimData1!$D$9:$D$508)-1)+$N$10</f>
        <v>4.0080160320641279E-3</v>
      </c>
      <c r="O11">
        <f>SMALL(SimData1!$E$9:$E$508,3)</f>
        <v>-1.4851259350399904</v>
      </c>
      <c r="P11">
        <f>1/(COUNT(SimData1!$E$9:$E$508)-1)+$P$10</f>
        <v>4.0080160320641279E-3</v>
      </c>
      <c r="Q11">
        <f>SMALL(SimData1!$F$9:$F$508,3)</f>
        <v>0.23</v>
      </c>
      <c r="R11">
        <f>1/(COUNT(SimData1!$F$9:$F$508)-1)+$R$10</f>
        <v>4.0080160320641279E-3</v>
      </c>
      <c r="S11">
        <f>SMALL(SimData1!$G$9:$G$508,3)</f>
        <v>2</v>
      </c>
      <c r="T11">
        <f>1/(COUNT(SimData1!$G$9:$G$508)-1)+$T$10</f>
        <v>4.0080160320641279E-3</v>
      </c>
    </row>
    <row r="12" spans="1:20">
      <c r="A12">
        <v>4</v>
      </c>
      <c r="B12">
        <v>9.7992745106716441</v>
      </c>
      <c r="C12">
        <v>2.326971830470248</v>
      </c>
      <c r="D12">
        <v>5.6225989195272792</v>
      </c>
      <c r="E12">
        <v>23.136353280321455</v>
      </c>
      <c r="F12">
        <v>0.23</v>
      </c>
      <c r="G12">
        <v>2</v>
      </c>
      <c r="I12">
        <f>SMALL(SimData1!$B$9:$B$508,4)</f>
        <v>2.5978657393220059</v>
      </c>
      <c r="J12">
        <f>1/(COUNT(SimData1!$B$9:$B$508)-1)+$J$11</f>
        <v>6.0120240480961915E-3</v>
      </c>
      <c r="K12">
        <f>SMALL(SimData1!$C$9:$C$508,4)</f>
        <v>2.0509533444873416</v>
      </c>
      <c r="L12">
        <f>1/(COUNT(SimData1!$C$9:$C$508)-1)+$L$11</f>
        <v>6.0120240480961915E-3</v>
      </c>
      <c r="M12">
        <f>SMALL(SimData1!$D$9:$D$508,4)</f>
        <v>2.0297660871031149</v>
      </c>
      <c r="N12">
        <f>1/(COUNT(SimData1!$D$9:$D$508)-1)+$N$11</f>
        <v>6.0120240480961915E-3</v>
      </c>
      <c r="O12">
        <f>SMALL(SimData1!$E$9:$E$508,4)</f>
        <v>-1.4763245873125399</v>
      </c>
      <c r="P12">
        <f>1/(COUNT(SimData1!$E$9:$E$508)-1)+$P$11</f>
        <v>6.0120240480961915E-3</v>
      </c>
      <c r="Q12">
        <f>SMALL(SimData1!$F$9:$F$508,4)</f>
        <v>0.23</v>
      </c>
      <c r="R12">
        <f>1/(COUNT(SimData1!$F$9:$F$508)-1)+$R$11</f>
        <v>6.0120240480961915E-3</v>
      </c>
      <c r="S12">
        <f>SMALL(SimData1!$G$9:$G$508,4)</f>
        <v>2</v>
      </c>
      <c r="T12">
        <f>1/(COUNT(SimData1!$G$9:$G$508)-1)+$T$11</f>
        <v>6.0120240480961915E-3</v>
      </c>
    </row>
    <row r="13" spans="1:20">
      <c r="A13">
        <v>5</v>
      </c>
      <c r="B13">
        <v>5.8869872808687509</v>
      </c>
      <c r="C13">
        <v>3.942111835898392</v>
      </c>
      <c r="D13">
        <v>10.563280111144129</v>
      </c>
      <c r="E13">
        <v>-0.37704649946428859</v>
      </c>
      <c r="F13">
        <v>0.23</v>
      </c>
      <c r="G13">
        <v>4</v>
      </c>
      <c r="I13">
        <f>SMALL(SimData1!$B$9:$B$508,5)</f>
        <v>2.9822370721969005</v>
      </c>
      <c r="J13">
        <f>1/(COUNT(SimData1!$B$9:$B$508)-1)+$J$12</f>
        <v>8.0160320641282558E-3</v>
      </c>
      <c r="K13">
        <f>SMALL(SimData1!$C$9:$C$508,5)</f>
        <v>2.0668621981076107</v>
      </c>
      <c r="L13">
        <f>1/(COUNT(SimData1!$C$9:$C$508)-1)+$L$12</f>
        <v>8.0160320641282558E-3</v>
      </c>
      <c r="M13">
        <f>SMALL(SimData1!$D$9:$D$508,5)</f>
        <v>2.0331873607954911</v>
      </c>
      <c r="N13">
        <f>1/(COUNT(SimData1!$D$9:$D$508)-1)+$N$12</f>
        <v>8.0160320641282558E-3</v>
      </c>
      <c r="O13">
        <f>SMALL(SimData1!$E$9:$E$508,5)</f>
        <v>-1.470818324196006</v>
      </c>
      <c r="P13">
        <f>1/(COUNT(SimData1!$E$9:$E$508)-1)+$P$12</f>
        <v>8.0160320641282558E-3</v>
      </c>
      <c r="Q13">
        <f>SMALL(SimData1!$F$9:$F$508,5)</f>
        <v>0.23</v>
      </c>
      <c r="R13">
        <f>1/(COUNT(SimData1!$F$9:$F$508)-1)+$R$12</f>
        <v>8.0160320641282558E-3</v>
      </c>
      <c r="S13">
        <f>SMALL(SimData1!$G$9:$G$508,5)</f>
        <v>2</v>
      </c>
      <c r="T13">
        <f>1/(COUNT(SimData1!$G$9:$G$508)-1)+$T$12</f>
        <v>8.0160320641282558E-3</v>
      </c>
    </row>
    <row r="14" spans="1:20">
      <c r="A14">
        <v>6</v>
      </c>
      <c r="B14">
        <v>12.786419093031311</v>
      </c>
      <c r="C14">
        <v>8.3140047099352827</v>
      </c>
      <c r="D14">
        <v>10.362123898469406</v>
      </c>
      <c r="E14">
        <v>22.782029195644736</v>
      </c>
      <c r="F14">
        <v>0.23</v>
      </c>
      <c r="G14">
        <v>9</v>
      </c>
      <c r="I14">
        <f>SMALL(SimData1!$B$9:$B$508,6)</f>
        <v>3.0426406190966446</v>
      </c>
      <c r="J14">
        <f>1/(COUNT(SimData1!$B$9:$B$508)-1)+$J$13</f>
        <v>1.002004008016032E-2</v>
      </c>
      <c r="K14">
        <f>SMALL(SimData1!$C$9:$C$508,6)</f>
        <v>2.0898302312292696</v>
      </c>
      <c r="L14">
        <f>1/(COUNT(SimData1!$C$9:$C$508)-1)+$L$13</f>
        <v>1.002004008016032E-2</v>
      </c>
      <c r="M14">
        <f>SMALL(SimData1!$D$9:$D$508,6)</f>
        <v>2.0440510357199355</v>
      </c>
      <c r="N14">
        <f>1/(COUNT(SimData1!$D$9:$D$508)-1)+$N$13</f>
        <v>1.002004008016032E-2</v>
      </c>
      <c r="O14">
        <f>SMALL(SimData1!$E$9:$E$508,6)</f>
        <v>-1.4594838578827058</v>
      </c>
      <c r="P14">
        <f>1/(COUNT(SimData1!$E$9:$E$508)-1)+$P$13</f>
        <v>1.002004008016032E-2</v>
      </c>
      <c r="Q14">
        <f>SMALL(SimData1!$F$9:$F$508,6)</f>
        <v>0.23</v>
      </c>
      <c r="R14">
        <f>1/(COUNT(SimData1!$F$9:$F$508)-1)+$R$13</f>
        <v>1.002004008016032E-2</v>
      </c>
      <c r="S14">
        <f>SMALL(SimData1!$G$9:$G$508,6)</f>
        <v>2</v>
      </c>
      <c r="T14">
        <f>1/(COUNT(SimData1!$G$9:$G$508)-1)+$T$13</f>
        <v>1.002004008016032E-2</v>
      </c>
    </row>
    <row r="15" spans="1:20">
      <c r="A15">
        <v>7</v>
      </c>
      <c r="B15">
        <v>11.645954476042119</v>
      </c>
      <c r="C15">
        <v>7.1956204056990378</v>
      </c>
      <c r="D15">
        <v>9.9204473959823254</v>
      </c>
      <c r="E15">
        <v>21.997945049594282</v>
      </c>
      <c r="F15">
        <v>0.23</v>
      </c>
      <c r="G15">
        <v>9</v>
      </c>
      <c r="I15">
        <f>SMALL(SimData1!$B$9:$B$508,7)</f>
        <v>3.3670568133775802</v>
      </c>
      <c r="J15">
        <f>1/(COUNT(SimData1!$B$9:$B$508)-1)+$J$14</f>
        <v>1.2024048096192385E-2</v>
      </c>
      <c r="K15">
        <f>SMALL(SimData1!$C$9:$C$508,7)</f>
        <v>2.1046972934884711</v>
      </c>
      <c r="L15">
        <f>1/(COUNT(SimData1!$C$9:$C$508)-1)+$L$14</f>
        <v>1.2024048096192385E-2</v>
      </c>
      <c r="M15">
        <f>SMALL(SimData1!$D$9:$D$508,7)</f>
        <v>2.0501874287673707</v>
      </c>
      <c r="N15">
        <f>1/(COUNT(SimData1!$D$9:$D$508)-1)+$N$14</f>
        <v>1.2024048096192385E-2</v>
      </c>
      <c r="O15">
        <f>SMALL(SimData1!$E$9:$E$508,7)</f>
        <v>-1.4540903480586256</v>
      </c>
      <c r="P15">
        <f>1/(COUNT(SimData1!$E$9:$E$508)-1)+$P$14</f>
        <v>1.2024048096192385E-2</v>
      </c>
      <c r="Q15">
        <f>SMALL(SimData1!$F$9:$F$508,7)</f>
        <v>0.23</v>
      </c>
      <c r="R15">
        <f>1/(COUNT(SimData1!$F$9:$F$508)-1)+$R$14</f>
        <v>1.2024048096192385E-2</v>
      </c>
      <c r="S15">
        <f>SMALL(SimData1!$G$9:$G$508,7)</f>
        <v>2</v>
      </c>
      <c r="T15">
        <f>1/(COUNT(SimData1!$G$9:$G$508)-1)+$T$14</f>
        <v>1.2024048096192385E-2</v>
      </c>
    </row>
    <row r="16" spans="1:20">
      <c r="A16">
        <v>8</v>
      </c>
      <c r="B16">
        <v>9.1672044276587563</v>
      </c>
      <c r="C16">
        <v>6.6380830367612846</v>
      </c>
      <c r="D16">
        <v>2.4052315683879963</v>
      </c>
      <c r="E16">
        <v>-1.2844717219851651</v>
      </c>
      <c r="F16">
        <v>0.23</v>
      </c>
      <c r="G16">
        <v>9</v>
      </c>
      <c r="I16">
        <f>SMALL(SimData1!$B$9:$B$508,8)</f>
        <v>3.5529804502950437</v>
      </c>
      <c r="J16">
        <f>1/(COUNT(SimData1!$B$9:$B$508)-1)+$J$15</f>
        <v>1.4028056112224449E-2</v>
      </c>
      <c r="K16">
        <f>SMALL(SimData1!$C$9:$C$508,8)</f>
        <v>2.1279762263558748</v>
      </c>
      <c r="L16">
        <f>1/(COUNT(SimData1!$C$9:$C$508)-1)+$L$15</f>
        <v>1.4028056112224449E-2</v>
      </c>
      <c r="M16">
        <f>SMALL(SimData1!$D$9:$D$508,8)</f>
        <v>2.0638420841283729</v>
      </c>
      <c r="N16">
        <f>1/(COUNT(SimData1!$D$9:$D$508)-1)+$N$15</f>
        <v>1.4028056112224449E-2</v>
      </c>
      <c r="O16">
        <f>SMALL(SimData1!$E$9:$E$508,8)</f>
        <v>-1.4464945203311976</v>
      </c>
      <c r="P16">
        <f>1/(COUNT(SimData1!$E$9:$E$508)-1)+$P$15</f>
        <v>1.4028056112224449E-2</v>
      </c>
      <c r="Q16">
        <f>SMALL(SimData1!$F$9:$F$508,8)</f>
        <v>0.23</v>
      </c>
      <c r="R16">
        <f>1/(COUNT(SimData1!$F$9:$F$508)-1)+$R$15</f>
        <v>1.4028056112224449E-2</v>
      </c>
      <c r="S16">
        <f>SMALL(SimData1!$G$9:$G$508,8)</f>
        <v>2</v>
      </c>
      <c r="T16">
        <f>1/(COUNT(SimData1!$G$9:$G$508)-1)+$T$15</f>
        <v>1.4028056112224449E-2</v>
      </c>
    </row>
    <row r="17" spans="1:20">
      <c r="A17">
        <v>9</v>
      </c>
      <c r="B17">
        <v>13.709565278851652</v>
      </c>
      <c r="C17">
        <v>8.1712760566685532</v>
      </c>
      <c r="D17">
        <v>4.2160380255375145</v>
      </c>
      <c r="E17">
        <v>21.804511793341277</v>
      </c>
      <c r="F17">
        <v>0.23</v>
      </c>
      <c r="G17">
        <v>9</v>
      </c>
      <c r="I17">
        <f>SMALL(SimData1!$B$9:$B$508,9)</f>
        <v>3.5973985507538977</v>
      </c>
      <c r="J17">
        <f>1/(COUNT(SimData1!$B$9:$B$508)-1)+$J$16</f>
        <v>1.6032064128256512E-2</v>
      </c>
      <c r="K17">
        <f>SMALL(SimData1!$C$9:$C$508,9)</f>
        <v>2.1350129277573462</v>
      </c>
      <c r="L17">
        <f>1/(COUNT(SimData1!$C$9:$C$508)-1)+$L$16</f>
        <v>1.6032064128256512E-2</v>
      </c>
      <c r="M17">
        <f>SMALL(SimData1!$D$9:$D$508,9)</f>
        <v>2.0686895689416418</v>
      </c>
      <c r="N17">
        <f>1/(COUNT(SimData1!$D$9:$D$508)-1)+$N$16</f>
        <v>1.6032064128256512E-2</v>
      </c>
      <c r="O17">
        <f>SMALL(SimData1!$E$9:$E$508,9)</f>
        <v>-1.4422057625217704</v>
      </c>
      <c r="P17">
        <f>1/(COUNT(SimData1!$E$9:$E$508)-1)+$P$16</f>
        <v>1.6032064128256512E-2</v>
      </c>
      <c r="Q17">
        <f>SMALL(SimData1!$F$9:$F$508,9)</f>
        <v>0.23</v>
      </c>
      <c r="R17">
        <f>1/(COUNT(SimData1!$F$9:$F$508)-1)+$R$16</f>
        <v>1.6032064128256512E-2</v>
      </c>
      <c r="S17">
        <f>SMALL(SimData1!$G$9:$G$508,9)</f>
        <v>2</v>
      </c>
      <c r="T17">
        <f>1/(COUNT(SimData1!$G$9:$G$508)-1)+$T$16</f>
        <v>1.6032064128256512E-2</v>
      </c>
    </row>
    <row r="18" spans="1:20">
      <c r="A18">
        <v>10</v>
      </c>
      <c r="B18">
        <v>6.8061009567708117</v>
      </c>
      <c r="C18">
        <v>3.5733372502860932</v>
      </c>
      <c r="D18">
        <v>3.9951584437943897</v>
      </c>
      <c r="E18">
        <v>-0.41348809768854689</v>
      </c>
      <c r="F18">
        <v>0.23</v>
      </c>
      <c r="G18">
        <v>9</v>
      </c>
      <c r="I18">
        <f>SMALL(SimData1!$B$9:$B$508,10)</f>
        <v>3.8295778092723953</v>
      </c>
      <c r="J18">
        <f>1/(COUNT(SimData1!$B$9:$B$508)-1)+$J$17</f>
        <v>1.8036072144288574E-2</v>
      </c>
      <c r="K18">
        <f>SMALL(SimData1!$C$9:$C$508,10)</f>
        <v>2.1541696068742708</v>
      </c>
      <c r="L18">
        <f>1/(COUNT(SimData1!$C$9:$C$508)-1)+$L$17</f>
        <v>1.8036072144288574E-2</v>
      </c>
      <c r="M18">
        <f>SMALL(SimData1!$D$9:$D$508,10)</f>
        <v>2.0737388935130414</v>
      </c>
      <c r="N18">
        <f>1/(COUNT(SimData1!$D$9:$D$508)-1)+$N$17</f>
        <v>1.8036072144288574E-2</v>
      </c>
      <c r="O18">
        <f>SMALL(SimData1!$E$9:$E$508,10)</f>
        <v>-1.4344969079179666</v>
      </c>
      <c r="P18">
        <f>1/(COUNT(SimData1!$E$9:$E$508)-1)+$P$17</f>
        <v>1.8036072144288574E-2</v>
      </c>
      <c r="Q18">
        <f>SMALL(SimData1!$F$9:$F$508,10)</f>
        <v>0.23</v>
      </c>
      <c r="R18">
        <f>1/(COUNT(SimData1!$F$9:$F$508)-1)+$R$17</f>
        <v>1.8036072144288574E-2</v>
      </c>
      <c r="S18">
        <f>SMALL(SimData1!$G$9:$G$508,10)</f>
        <v>2</v>
      </c>
      <c r="T18">
        <f>1/(COUNT(SimData1!$G$9:$G$508)-1)+$T$17</f>
        <v>1.8036072144288574E-2</v>
      </c>
    </row>
    <row r="19" spans="1:20">
      <c r="A19">
        <v>11</v>
      </c>
      <c r="B19">
        <v>16.639189162747513</v>
      </c>
      <c r="C19">
        <v>8.5839393264409019</v>
      </c>
      <c r="D19">
        <v>2.2371122533839922</v>
      </c>
      <c r="E19">
        <v>-1.3744434556305551</v>
      </c>
      <c r="F19">
        <v>0.23</v>
      </c>
      <c r="G19">
        <v>6</v>
      </c>
      <c r="I19">
        <f>SMALL(SimData1!$B$9:$B$508,11)</f>
        <v>3.9051369072441418</v>
      </c>
      <c r="J19">
        <f>1/(COUNT(SimData1!$B$9:$B$508)-1)+$J$18</f>
        <v>2.0040080160320637E-2</v>
      </c>
      <c r="K19">
        <f>SMALL(SimData1!$C$9:$C$508,11)</f>
        <v>2.1739360559279883</v>
      </c>
      <c r="L19">
        <f>1/(COUNT(SimData1!$C$9:$C$508)-1)+$L$18</f>
        <v>2.0040080160320637E-2</v>
      </c>
      <c r="M19">
        <f>SMALL(SimData1!$D$9:$D$508,11)</f>
        <v>2.0858124394076438</v>
      </c>
      <c r="N19">
        <f>1/(COUNT(SimData1!$D$9:$D$508)-1)+$N$18</f>
        <v>2.0040080160320637E-2</v>
      </c>
      <c r="O19">
        <f>SMALL(SimData1!$E$9:$E$508,11)</f>
        <v>-1.425572852100268</v>
      </c>
      <c r="P19">
        <f>1/(COUNT(SimData1!$E$9:$E$508)-1)+$P$18</f>
        <v>2.0040080160320637E-2</v>
      </c>
      <c r="Q19">
        <f>SMALL(SimData1!$F$9:$F$508,11)</f>
        <v>0.23</v>
      </c>
      <c r="R19">
        <f>1/(COUNT(SimData1!$F$9:$F$508)-1)+$R$18</f>
        <v>2.0040080160320637E-2</v>
      </c>
      <c r="S19">
        <f>SMALL(SimData1!$G$9:$G$508,11)</f>
        <v>2</v>
      </c>
      <c r="T19">
        <f>1/(COUNT(SimData1!$G$9:$G$508)-1)+$T$18</f>
        <v>2.0040080160320637E-2</v>
      </c>
    </row>
    <row r="20" spans="1:20">
      <c r="A20">
        <v>12</v>
      </c>
      <c r="B20">
        <v>4.8845290231749132</v>
      </c>
      <c r="C20">
        <v>9.9869767314500599</v>
      </c>
      <c r="D20">
        <v>9.4454472408922037</v>
      </c>
      <c r="E20">
        <v>22.608825679041285</v>
      </c>
      <c r="F20">
        <v>0.23</v>
      </c>
      <c r="G20">
        <v>9</v>
      </c>
      <c r="I20">
        <f>SMALL(SimData1!$B$9:$B$508,12)</f>
        <v>4.0048878256542233</v>
      </c>
      <c r="J20">
        <f>1/(COUNT(SimData1!$B$9:$B$508)-1)+$J$19</f>
        <v>2.20440881763527E-2</v>
      </c>
      <c r="K20">
        <f>SMALL(SimData1!$C$9:$C$508,12)</f>
        <v>2.182667386555734</v>
      </c>
      <c r="L20">
        <f>1/(COUNT(SimData1!$C$9:$C$508)-1)+$L$19</f>
        <v>2.20440881763527E-2</v>
      </c>
      <c r="M20">
        <f>SMALL(SimData1!$D$9:$D$508,12)</f>
        <v>2.0918469304656253</v>
      </c>
      <c r="N20">
        <f>1/(COUNT(SimData1!$D$9:$D$508)-1)+$N$19</f>
        <v>2.20440881763527E-2</v>
      </c>
      <c r="O20">
        <f>SMALL(SimData1!$E$9:$E$508,12)</f>
        <v>-1.4164821741671736</v>
      </c>
      <c r="P20">
        <f>1/(COUNT(SimData1!$E$9:$E$508)-1)+$P$19</f>
        <v>2.20440881763527E-2</v>
      </c>
      <c r="Q20">
        <f>SMALL(SimData1!$F$9:$F$508,12)</f>
        <v>0.23</v>
      </c>
      <c r="R20">
        <f>1/(COUNT(SimData1!$F$9:$F$508)-1)+$R$19</f>
        <v>2.20440881763527E-2</v>
      </c>
      <c r="S20">
        <f>SMALL(SimData1!$G$9:$G$508,12)</f>
        <v>2</v>
      </c>
      <c r="T20">
        <f>1/(COUNT(SimData1!$G$9:$G$508)-1)+$T$19</f>
        <v>2.20440881763527E-2</v>
      </c>
    </row>
    <row r="21" spans="1:20">
      <c r="A21">
        <v>13</v>
      </c>
      <c r="B21">
        <v>15.285089601543849</v>
      </c>
      <c r="C21">
        <v>5.8619794916599011</v>
      </c>
      <c r="D21">
        <v>10.40213081102309</v>
      </c>
      <c r="E21">
        <v>-0.47820442355739212</v>
      </c>
      <c r="F21">
        <v>0.23</v>
      </c>
      <c r="G21">
        <v>9</v>
      </c>
      <c r="I21">
        <f>SMALL(SimData1!$B$9:$B$508,13)</f>
        <v>4.1038954508716827</v>
      </c>
      <c r="J21">
        <f>1/(COUNT(SimData1!$B$9:$B$508)-1)+$J$20</f>
        <v>2.4048096192384762E-2</v>
      </c>
      <c r="K21">
        <f>SMALL(SimData1!$C$9:$C$508,13)</f>
        <v>2.1952567568466201</v>
      </c>
      <c r="L21">
        <f>1/(COUNT(SimData1!$C$9:$C$508)-1)+$L$20</f>
        <v>2.4048096192384762E-2</v>
      </c>
      <c r="M21">
        <f>SMALL(SimData1!$D$9:$D$508,13)</f>
        <v>2.1003137238445491</v>
      </c>
      <c r="N21">
        <f>1/(COUNT(SimData1!$D$9:$D$508)-1)+$N$20</f>
        <v>2.4048096192384762E-2</v>
      </c>
      <c r="O21">
        <f>SMALL(SimData1!$E$9:$E$508,13)</f>
        <v>-1.4111813968360847</v>
      </c>
      <c r="P21">
        <f>1/(COUNT(SimData1!$E$9:$E$508)-1)+$P$20</f>
        <v>2.4048096192384762E-2</v>
      </c>
      <c r="Q21">
        <f>SMALL(SimData1!$F$9:$F$508,13)</f>
        <v>0.23</v>
      </c>
      <c r="R21">
        <f>1/(COUNT(SimData1!$F$9:$F$508)-1)+$R$20</f>
        <v>2.4048096192384762E-2</v>
      </c>
      <c r="S21">
        <f>SMALL(SimData1!$G$9:$G$508,13)</f>
        <v>2</v>
      </c>
      <c r="T21">
        <f>1/(COUNT(SimData1!$G$9:$G$508)-1)+$T$20</f>
        <v>2.4048096192384762E-2</v>
      </c>
    </row>
    <row r="22" spans="1:20">
      <c r="A22">
        <v>14</v>
      </c>
      <c r="B22">
        <v>11.069460621853692</v>
      </c>
      <c r="C22">
        <v>3.1619331878707593</v>
      </c>
      <c r="D22">
        <v>7.3414961571668957</v>
      </c>
      <c r="E22">
        <v>21.548907284394186</v>
      </c>
      <c r="F22">
        <v>0.23</v>
      </c>
      <c r="G22">
        <v>6</v>
      </c>
      <c r="I22">
        <f>SMALL(SimData1!$B$9:$B$508,14)</f>
        <v>4.1877614921754116</v>
      </c>
      <c r="J22">
        <f>1/(COUNT(SimData1!$B$9:$B$508)-1)+$J$21</f>
        <v>2.6052104208416825E-2</v>
      </c>
      <c r="K22">
        <f>SMALL(SimData1!$C$9:$C$508,14)</f>
        <v>2.219302807218233</v>
      </c>
      <c r="L22">
        <f>1/(COUNT(SimData1!$C$9:$C$508)-1)+$L$21</f>
        <v>2.6052104208416825E-2</v>
      </c>
      <c r="M22">
        <f>SMALL(SimData1!$D$9:$D$508,14)</f>
        <v>2.1084919227018233</v>
      </c>
      <c r="N22">
        <f>1/(COUNT(SimData1!$D$9:$D$508)-1)+$N$21</f>
        <v>2.6052104208416825E-2</v>
      </c>
      <c r="O22">
        <f>SMALL(SimData1!$E$9:$E$508,14)</f>
        <v>-1.4046231860275353</v>
      </c>
      <c r="P22">
        <f>1/(COUNT(SimData1!$E$9:$E$508)-1)+$P$21</f>
        <v>2.6052104208416825E-2</v>
      </c>
      <c r="Q22">
        <f>SMALL(SimData1!$F$9:$F$508,14)</f>
        <v>0.23</v>
      </c>
      <c r="R22">
        <f>1/(COUNT(SimData1!$F$9:$F$508)-1)+$R$21</f>
        <v>2.6052104208416825E-2</v>
      </c>
      <c r="S22">
        <f>SMALL(SimData1!$G$9:$G$508,14)</f>
        <v>2</v>
      </c>
      <c r="T22">
        <f>1/(COUNT(SimData1!$G$9:$G$508)-1)+$T$21</f>
        <v>2.6052104208416825E-2</v>
      </c>
    </row>
    <row r="23" spans="1:20">
      <c r="A23">
        <v>15</v>
      </c>
      <c r="B23">
        <v>6.4383949844568669</v>
      </c>
      <c r="C23">
        <v>9.8692956193753751</v>
      </c>
      <c r="D23">
        <v>3.7931753339602556</v>
      </c>
      <c r="E23">
        <v>-1.320575423974645</v>
      </c>
      <c r="F23">
        <v>0.23</v>
      </c>
      <c r="G23">
        <v>9</v>
      </c>
      <c r="I23">
        <f>SMALL(SimData1!$B$9:$B$508,15)</f>
        <v>4.2823793445997103</v>
      </c>
      <c r="J23">
        <f>1/(COUNT(SimData1!$B$9:$B$508)-1)+$J$22</f>
        <v>2.8056112224448888E-2</v>
      </c>
      <c r="K23">
        <f>SMALL(SimData1!$C$9:$C$508,15)</f>
        <v>2.2386312260512802</v>
      </c>
      <c r="L23">
        <f>1/(COUNT(SimData1!$C$9:$C$508)-1)+$L$22</f>
        <v>2.8056112224448888E-2</v>
      </c>
      <c r="M23">
        <f>SMALL(SimData1!$D$9:$D$508,15)</f>
        <v>2.118112156634711</v>
      </c>
      <c r="N23">
        <f>1/(COUNT(SimData1!$D$9:$D$508)-1)+$N$22</f>
        <v>2.8056112224448888E-2</v>
      </c>
      <c r="O23">
        <f>SMALL(SimData1!$E$9:$E$508,15)</f>
        <v>-1.3964590451850623</v>
      </c>
      <c r="P23">
        <f>1/(COUNT(SimData1!$E$9:$E$508)-1)+$P$22</f>
        <v>2.8056112224448888E-2</v>
      </c>
      <c r="Q23">
        <f>SMALL(SimData1!$F$9:$F$508,15)</f>
        <v>0.23</v>
      </c>
      <c r="R23">
        <f>1/(COUNT(SimData1!$F$9:$F$508)-1)+$R$22</f>
        <v>2.8056112224448888E-2</v>
      </c>
      <c r="S23">
        <f>SMALL(SimData1!$G$9:$G$508,15)</f>
        <v>2</v>
      </c>
      <c r="T23">
        <f>1/(COUNT(SimData1!$G$9:$G$508)-1)+$T$22</f>
        <v>2.8056112224448888E-2</v>
      </c>
    </row>
    <row r="24" spans="1:20">
      <c r="A24">
        <v>16</v>
      </c>
      <c r="B24">
        <v>8.6917086822341556</v>
      </c>
      <c r="C24">
        <v>2.0145099543515848</v>
      </c>
      <c r="D24">
        <v>3.0989658242228826</v>
      </c>
      <c r="E24">
        <v>21.968256809634394</v>
      </c>
      <c r="F24">
        <v>0.23</v>
      </c>
      <c r="G24">
        <v>12</v>
      </c>
      <c r="I24">
        <f>SMALL(SimData1!$B$9:$B$508,16)</f>
        <v>4.368114732074071</v>
      </c>
      <c r="J24">
        <f>1/(COUNT(SimData1!$B$9:$B$508)-1)+$J$23</f>
        <v>3.006012024048095E-2</v>
      </c>
      <c r="K24">
        <f>SMALL(SimData1!$C$9:$C$508,16)</f>
        <v>2.240893467158287</v>
      </c>
      <c r="L24">
        <f>1/(COUNT(SimData1!$C$9:$C$508)-1)+$L$23</f>
        <v>3.006012024048095E-2</v>
      </c>
      <c r="M24">
        <f>SMALL(SimData1!$D$9:$D$508,16)</f>
        <v>2.1223923422960547</v>
      </c>
      <c r="N24">
        <f>1/(COUNT(SimData1!$D$9:$D$508)-1)+$N$23</f>
        <v>3.006012024048095E-2</v>
      </c>
      <c r="O24">
        <f>SMALL(SimData1!$E$9:$E$508,16)</f>
        <v>-1.3918592663224241</v>
      </c>
      <c r="P24">
        <f>1/(COUNT(SimData1!$E$9:$E$508)-1)+$P$23</f>
        <v>3.006012024048095E-2</v>
      </c>
      <c r="Q24">
        <f>SMALL(SimData1!$F$9:$F$508,16)</f>
        <v>0.23</v>
      </c>
      <c r="R24">
        <f>1/(COUNT(SimData1!$F$9:$F$508)-1)+$R$23</f>
        <v>3.006012024048095E-2</v>
      </c>
      <c r="S24">
        <f>SMALL(SimData1!$G$9:$G$508,16)</f>
        <v>2</v>
      </c>
      <c r="T24">
        <f>1/(COUNT(SimData1!$G$9:$G$508)-1)+$T$23</f>
        <v>3.006012024048095E-2</v>
      </c>
    </row>
    <row r="25" spans="1:20">
      <c r="A25">
        <v>17</v>
      </c>
      <c r="B25">
        <v>11.10438849060875</v>
      </c>
      <c r="C25">
        <v>4.7677453155181713</v>
      </c>
      <c r="D25">
        <v>12.383576597312366</v>
      </c>
      <c r="E25">
        <v>21.849941883358948</v>
      </c>
      <c r="F25">
        <v>0.23</v>
      </c>
      <c r="G25">
        <v>4</v>
      </c>
      <c r="I25">
        <f>SMALL(SimData1!$B$9:$B$508,17)</f>
        <v>4.4669063665922568</v>
      </c>
      <c r="J25">
        <f>1/(COUNT(SimData1!$B$9:$B$508)-1)+$J$24</f>
        <v>3.2064128256513016E-2</v>
      </c>
      <c r="K25">
        <f>SMALL(SimData1!$C$9:$C$508,17)</f>
        <v>2.269052236869245</v>
      </c>
      <c r="L25">
        <f>1/(COUNT(SimData1!$C$9:$C$508)-1)+$L$24</f>
        <v>3.2064128256513016E-2</v>
      </c>
      <c r="M25">
        <f>SMALL(SimData1!$D$9:$D$508,17)</f>
        <v>2.130333900785617</v>
      </c>
      <c r="N25">
        <f>1/(COUNT(SimData1!$D$9:$D$508)-1)+$N$24</f>
        <v>3.2064128256513016E-2</v>
      </c>
      <c r="O25">
        <f>SMALL(SimData1!$E$9:$E$508,17)</f>
        <v>-1.3845851893070813</v>
      </c>
      <c r="P25">
        <f>1/(COUNT(SimData1!$E$9:$E$508)-1)+$P$24</f>
        <v>3.2064128256513016E-2</v>
      </c>
      <c r="Q25">
        <f>SMALL(SimData1!$F$9:$F$508,17)</f>
        <v>0.23</v>
      </c>
      <c r="R25">
        <f>1/(COUNT(SimData1!$F$9:$F$508)-1)+$R$24</f>
        <v>3.2064128256513016E-2</v>
      </c>
      <c r="S25">
        <f>SMALL(SimData1!$G$9:$G$508,17)</f>
        <v>2</v>
      </c>
      <c r="T25">
        <f>1/(COUNT(SimData1!$G$9:$G$508)-1)+$T$24</f>
        <v>3.2064128256513016E-2</v>
      </c>
    </row>
    <row r="26" spans="1:20">
      <c r="A26">
        <v>18</v>
      </c>
      <c r="B26">
        <v>14.840347274746131</v>
      </c>
      <c r="C26">
        <v>3.3138292857487288</v>
      </c>
      <c r="D26">
        <v>2.0217261209817896</v>
      </c>
      <c r="E26">
        <v>0.10130424216704226</v>
      </c>
      <c r="F26">
        <v>0.23</v>
      </c>
      <c r="G26">
        <v>2</v>
      </c>
      <c r="I26">
        <f>SMALL(SimData1!$B$9:$B$508,18)</f>
        <v>4.5940721845878256</v>
      </c>
      <c r="J26">
        <f>1/(COUNT(SimData1!$B$9:$B$508)-1)+$J$25</f>
        <v>3.4068136272545083E-2</v>
      </c>
      <c r="K26">
        <f>SMALL(SimData1!$C$9:$C$508,18)</f>
        <v>2.2733057607787908</v>
      </c>
      <c r="L26">
        <f>1/(COUNT(SimData1!$C$9:$C$508)-1)+$L$25</f>
        <v>3.4068136272545083E-2</v>
      </c>
      <c r="M26">
        <f>SMALL(SimData1!$D$9:$D$508,18)</f>
        <v>2.1426385222782005</v>
      </c>
      <c r="N26">
        <f>1/(COUNT(SimData1!$D$9:$D$508)-1)+$N$25</f>
        <v>3.4068136272545083E-2</v>
      </c>
      <c r="O26">
        <f>SMALL(SimData1!$E$9:$E$508,18)</f>
        <v>-1.3744434556305551</v>
      </c>
      <c r="P26">
        <f>1/(COUNT(SimData1!$E$9:$E$508)-1)+$P$25</f>
        <v>3.4068136272545083E-2</v>
      </c>
      <c r="Q26">
        <f>SMALL(SimData1!$F$9:$F$508,18)</f>
        <v>0.23</v>
      </c>
      <c r="R26">
        <f>1/(COUNT(SimData1!$F$9:$F$508)-1)+$R$25</f>
        <v>3.4068136272545083E-2</v>
      </c>
      <c r="S26">
        <f>SMALL(SimData1!$G$9:$G$508,18)</f>
        <v>2</v>
      </c>
      <c r="T26">
        <f>1/(COUNT(SimData1!$G$9:$G$508)-1)+$T$25</f>
        <v>3.4068136272545083E-2</v>
      </c>
    </row>
    <row r="27" spans="1:20">
      <c r="A27">
        <v>19</v>
      </c>
      <c r="B27">
        <v>5.3782761106925516</v>
      </c>
      <c r="C27">
        <v>4.537733810829403</v>
      </c>
      <c r="D27">
        <v>5.2613672949572479</v>
      </c>
      <c r="E27">
        <v>21.58455736329676</v>
      </c>
      <c r="F27">
        <v>0.23</v>
      </c>
      <c r="G27">
        <v>4</v>
      </c>
      <c r="I27">
        <f>SMALL(SimData1!$B$9:$B$508,19)</f>
        <v>4.6295485492624495</v>
      </c>
      <c r="J27">
        <f>1/(COUNT(SimData1!$B$9:$B$508)-1)+$J$26</f>
        <v>3.6072144288577149E-2</v>
      </c>
      <c r="K27">
        <f>SMALL(SimData1!$C$9:$C$508,19)</f>
        <v>2.289094591923313</v>
      </c>
      <c r="L27">
        <f>1/(COUNT(SimData1!$C$9:$C$508)-1)+$L$26</f>
        <v>3.6072144288577149E-2</v>
      </c>
      <c r="M27">
        <f>SMALL(SimData1!$D$9:$D$508,19)</f>
        <v>2.1474740804237022</v>
      </c>
      <c r="N27">
        <f>1/(COUNT(SimData1!$D$9:$D$508)-1)+$N$26</f>
        <v>3.6072144288577149E-2</v>
      </c>
      <c r="O27">
        <f>SMALL(SimData1!$E$9:$E$508,19)</f>
        <v>-1.3673808443416462</v>
      </c>
      <c r="P27">
        <f>1/(COUNT(SimData1!$E$9:$E$508)-1)+$P$26</f>
        <v>3.6072144288577149E-2</v>
      </c>
      <c r="Q27">
        <f>SMALL(SimData1!$F$9:$F$508,19)</f>
        <v>0.23</v>
      </c>
      <c r="R27">
        <f>1/(COUNT(SimData1!$F$9:$F$508)-1)+$R$26</f>
        <v>3.6072144288577149E-2</v>
      </c>
      <c r="S27">
        <f>SMALL(SimData1!$G$9:$G$508,19)</f>
        <v>2</v>
      </c>
      <c r="T27">
        <f>1/(COUNT(SimData1!$G$9:$G$508)-1)+$T$26</f>
        <v>3.6072144288577149E-2</v>
      </c>
    </row>
    <row r="28" spans="1:20">
      <c r="A28">
        <v>20</v>
      </c>
      <c r="B28">
        <v>8.4756272546270708</v>
      </c>
      <c r="C28">
        <v>5.8937258159494323</v>
      </c>
      <c r="D28">
        <v>2.3132068949959255</v>
      </c>
      <c r="E28">
        <v>0.16249502342633182</v>
      </c>
      <c r="F28">
        <v>0.23</v>
      </c>
      <c r="G28">
        <v>10</v>
      </c>
      <c r="I28">
        <f>SMALL(SimData1!$B$9:$B$508,20)</f>
        <v>4.7383003512835868</v>
      </c>
      <c r="J28">
        <f>1/(COUNT(SimData1!$B$9:$B$508)-1)+$J$27</f>
        <v>3.8076152304609215E-2</v>
      </c>
      <c r="K28">
        <f>SMALL(SimData1!$C$9:$C$508,20)</f>
        <v>2.307913691465723</v>
      </c>
      <c r="L28">
        <f>1/(COUNT(SimData1!$C$9:$C$508)-1)+$L$27</f>
        <v>3.8076152304609215E-2</v>
      </c>
      <c r="M28">
        <f>SMALL(SimData1!$D$9:$D$508,20)</f>
        <v>2.1529269894587171</v>
      </c>
      <c r="N28">
        <f>1/(COUNT(SimData1!$D$9:$D$508)-1)+$N$27</f>
        <v>3.8076152304609215E-2</v>
      </c>
      <c r="O28">
        <f>SMALL(SimData1!$E$9:$E$508,20)</f>
        <v>-1.3622056227290054</v>
      </c>
      <c r="P28">
        <f>1/(COUNT(SimData1!$E$9:$E$508)-1)+$P$27</f>
        <v>3.8076152304609215E-2</v>
      </c>
      <c r="Q28">
        <f>SMALL(SimData1!$F$9:$F$508,20)</f>
        <v>0.23</v>
      </c>
      <c r="R28">
        <f>1/(COUNT(SimData1!$F$9:$F$508)-1)+$R$27</f>
        <v>3.8076152304609215E-2</v>
      </c>
      <c r="S28">
        <f>SMALL(SimData1!$G$9:$G$508,20)</f>
        <v>2</v>
      </c>
      <c r="T28">
        <f>1/(COUNT(SimData1!$G$9:$G$508)-1)+$T$27</f>
        <v>3.8076152304609215E-2</v>
      </c>
    </row>
    <row r="29" spans="1:20">
      <c r="A29">
        <v>21</v>
      </c>
      <c r="B29">
        <v>10.69316460550861</v>
      </c>
      <c r="C29">
        <v>2.3475165385518961</v>
      </c>
      <c r="D29">
        <v>7.4611715297822778</v>
      </c>
      <c r="E29">
        <v>-1.1179874095961282</v>
      </c>
      <c r="F29">
        <v>0.23</v>
      </c>
      <c r="G29">
        <v>6</v>
      </c>
      <c r="I29">
        <f>SMALL(SimData1!$B$9:$B$508,21)</f>
        <v>4.7826437121984009</v>
      </c>
      <c r="J29">
        <f>1/(COUNT(SimData1!$B$9:$B$508)-1)+$J$28</f>
        <v>4.0080160320641281E-2</v>
      </c>
      <c r="K29">
        <f>SMALL(SimData1!$C$9:$C$508,21)</f>
        <v>2.326971830470248</v>
      </c>
      <c r="L29">
        <f>1/(COUNT(SimData1!$C$9:$C$508)-1)+$L$28</f>
        <v>4.0080160320641281E-2</v>
      </c>
      <c r="M29">
        <f>SMALL(SimData1!$D$9:$D$508,21)</f>
        <v>2.16342117075888</v>
      </c>
      <c r="N29">
        <f>1/(COUNT(SimData1!$D$9:$D$508)-1)+$N$28</f>
        <v>4.0080160320641281E-2</v>
      </c>
      <c r="O29">
        <f>SMALL(SimData1!$E$9:$E$508,21)</f>
        <v>-1.3574155900860663</v>
      </c>
      <c r="P29">
        <f>1/(COUNT(SimData1!$E$9:$E$508)-1)+$P$28</f>
        <v>4.0080160320641281E-2</v>
      </c>
      <c r="Q29">
        <f>SMALL(SimData1!$F$9:$F$508,21)</f>
        <v>0.23</v>
      </c>
      <c r="R29">
        <f>1/(COUNT(SimData1!$F$9:$F$508)-1)+$R$28</f>
        <v>4.0080160320641281E-2</v>
      </c>
      <c r="S29">
        <f>SMALL(SimData1!$G$9:$G$508,21)</f>
        <v>2</v>
      </c>
      <c r="T29">
        <f>1/(COUNT(SimData1!$G$9:$G$508)-1)+$T$28</f>
        <v>4.0080160320641281E-2</v>
      </c>
    </row>
    <row r="30" spans="1:20">
      <c r="A30">
        <v>22</v>
      </c>
      <c r="B30">
        <v>10.552243818114956</v>
      </c>
      <c r="C30">
        <v>8.0844630789171124</v>
      </c>
      <c r="D30">
        <v>2.0440510357199355</v>
      </c>
      <c r="E30">
        <v>0.18673924787384455</v>
      </c>
      <c r="F30">
        <v>0.23</v>
      </c>
      <c r="G30">
        <v>12</v>
      </c>
      <c r="I30">
        <f>SMALL(SimData1!$B$9:$B$508,22)</f>
        <v>4.8163394916423394</v>
      </c>
      <c r="J30">
        <f>1/(COUNT(SimData1!$B$9:$B$508)-1)+$J$29</f>
        <v>4.2084168336673347E-2</v>
      </c>
      <c r="K30">
        <f>SMALL(SimData1!$C$9:$C$508,22)</f>
        <v>2.3475165385518961</v>
      </c>
      <c r="L30">
        <f>1/(COUNT(SimData1!$C$9:$C$508)-1)+$L$29</f>
        <v>4.2084168336673347E-2</v>
      </c>
      <c r="M30">
        <f>SMALL(SimData1!$D$9:$D$508,22)</f>
        <v>2.1705426293915471</v>
      </c>
      <c r="N30">
        <f>1/(COUNT(SimData1!$D$9:$D$508)-1)+$N$29</f>
        <v>4.2084168336673347E-2</v>
      </c>
      <c r="O30">
        <f>SMALL(SimData1!$E$9:$E$508,22)</f>
        <v>-1.3514480272205851</v>
      </c>
      <c r="P30">
        <f>1/(COUNT(SimData1!$E$9:$E$508)-1)+$P$29</f>
        <v>4.2084168336673347E-2</v>
      </c>
      <c r="Q30">
        <f>SMALL(SimData1!$F$9:$F$508,22)</f>
        <v>0.23</v>
      </c>
      <c r="R30">
        <f>1/(COUNT(SimData1!$F$9:$F$508)-1)+$R$29</f>
        <v>4.2084168336673347E-2</v>
      </c>
      <c r="S30">
        <f>SMALL(SimData1!$G$9:$G$508,22)</f>
        <v>2</v>
      </c>
      <c r="T30">
        <f>1/(COUNT(SimData1!$G$9:$G$508)-1)+$T$29</f>
        <v>4.2084168336673347E-2</v>
      </c>
    </row>
    <row r="31" spans="1:20">
      <c r="A31">
        <v>23</v>
      </c>
      <c r="B31">
        <v>14.925695896474243</v>
      </c>
      <c r="C31">
        <v>6.1369233094735351</v>
      </c>
      <c r="D31">
        <v>9.1137180711780026</v>
      </c>
      <c r="E31">
        <v>22.352185440977038</v>
      </c>
      <c r="F31">
        <v>0.23</v>
      </c>
      <c r="G31">
        <v>10</v>
      </c>
      <c r="I31">
        <f>SMALL(SimData1!$B$9:$B$508,23)</f>
        <v>4.8845290231749132</v>
      </c>
      <c r="J31">
        <f>1/(COUNT(SimData1!$B$9:$B$508)-1)+$J$30</f>
        <v>4.4088176352705413E-2</v>
      </c>
      <c r="K31">
        <f>SMALL(SimData1!$C$9:$C$508,23)</f>
        <v>2.3677403604834666</v>
      </c>
      <c r="L31">
        <f>1/(COUNT(SimData1!$C$9:$C$508)-1)+$L$30</f>
        <v>4.4088176352705413E-2</v>
      </c>
      <c r="M31">
        <f>SMALL(SimData1!$D$9:$D$508,23)</f>
        <v>2.179673671164474</v>
      </c>
      <c r="N31">
        <f>1/(COUNT(SimData1!$D$9:$D$508)-1)+$N$30</f>
        <v>4.4088176352705413E-2</v>
      </c>
      <c r="O31">
        <f>SMALL(SimData1!$E$9:$E$508,23)</f>
        <v>-1.3456399279813063</v>
      </c>
      <c r="P31">
        <f>1/(COUNT(SimData1!$E$9:$E$508)-1)+$P$30</f>
        <v>4.4088176352705413E-2</v>
      </c>
      <c r="Q31">
        <f>SMALL(SimData1!$F$9:$F$508,23)</f>
        <v>0.23</v>
      </c>
      <c r="R31">
        <f>1/(COUNT(SimData1!$F$9:$F$508)-1)+$R$30</f>
        <v>4.4088176352705413E-2</v>
      </c>
      <c r="S31">
        <f>SMALL(SimData1!$G$9:$G$508,23)</f>
        <v>2</v>
      </c>
      <c r="T31">
        <f>1/(COUNT(SimData1!$G$9:$G$508)-1)+$T$30</f>
        <v>4.4088176352705413E-2</v>
      </c>
    </row>
    <row r="32" spans="1:20">
      <c r="A32">
        <v>24</v>
      </c>
      <c r="B32">
        <v>6.0063967339290505</v>
      </c>
      <c r="C32">
        <v>5.4498092869729291</v>
      </c>
      <c r="D32">
        <v>10.619682228670381</v>
      </c>
      <c r="E32">
        <v>21.573926914643266</v>
      </c>
      <c r="F32">
        <v>0.23</v>
      </c>
      <c r="G32">
        <v>9</v>
      </c>
      <c r="I32">
        <f>SMALL(SimData1!$B$9:$B$508,24)</f>
        <v>4.9529736784674592</v>
      </c>
      <c r="J32">
        <f>1/(COUNT(SimData1!$B$9:$B$508)-1)+$J$31</f>
        <v>4.6092184368737479E-2</v>
      </c>
      <c r="K32">
        <f>SMALL(SimData1!$C$9:$C$508,24)</f>
        <v>2.3698007675152741</v>
      </c>
      <c r="L32">
        <f>1/(COUNT(SimData1!$C$9:$C$508)-1)+$L$31</f>
        <v>4.6092184368737479E-2</v>
      </c>
      <c r="M32">
        <f>SMALL(SimData1!$D$9:$D$508,24)</f>
        <v>2.1907053600118274</v>
      </c>
      <c r="N32">
        <f>1/(COUNT(SimData1!$D$9:$D$508)-1)+$N$31</f>
        <v>4.6092184368737479E-2</v>
      </c>
      <c r="O32">
        <f>SMALL(SimData1!$E$9:$E$508,24)</f>
        <v>-1.3358752639362963</v>
      </c>
      <c r="P32">
        <f>1/(COUNT(SimData1!$E$9:$E$508)-1)+$P$31</f>
        <v>4.6092184368737479E-2</v>
      </c>
      <c r="Q32">
        <f>SMALL(SimData1!$F$9:$F$508,24)</f>
        <v>0.23</v>
      </c>
      <c r="R32">
        <f>1/(COUNT(SimData1!$F$9:$F$508)-1)+$R$31</f>
        <v>4.6092184368737479E-2</v>
      </c>
      <c r="S32">
        <f>SMALL(SimData1!$G$9:$G$508,24)</f>
        <v>2</v>
      </c>
      <c r="T32">
        <f>1/(COUNT(SimData1!$G$9:$G$508)-1)+$T$31</f>
        <v>4.6092184368737479E-2</v>
      </c>
    </row>
    <row r="33" spans="1:20">
      <c r="A33">
        <v>25</v>
      </c>
      <c r="B33">
        <v>14.51235548039875</v>
      </c>
      <c r="C33">
        <v>3.9562366732629566</v>
      </c>
      <c r="D33">
        <v>3.455504490448047</v>
      </c>
      <c r="E33">
        <v>22.146557503761983</v>
      </c>
      <c r="F33">
        <v>0.23</v>
      </c>
      <c r="G33">
        <v>12</v>
      </c>
      <c r="I33">
        <f>SMALL(SimData1!$B$9:$B$508,25)</f>
        <v>5.013373504103253</v>
      </c>
      <c r="J33">
        <f>1/(COUNT(SimData1!$B$9:$B$508)-1)+$J$32</f>
        <v>4.8096192384769546E-2</v>
      </c>
      <c r="K33">
        <f>SMALL(SimData1!$C$9:$C$508,25)</f>
        <v>2.3957596820918283</v>
      </c>
      <c r="L33">
        <f>1/(COUNT(SimData1!$C$9:$C$508)-1)+$L$32</f>
        <v>4.8096192384769546E-2</v>
      </c>
      <c r="M33">
        <f>SMALL(SimData1!$D$9:$D$508,25)</f>
        <v>2.192572913717612</v>
      </c>
      <c r="N33">
        <f>1/(COUNT(SimData1!$D$9:$D$508)-1)+$N$32</f>
        <v>4.8096192384769546E-2</v>
      </c>
      <c r="O33">
        <f>SMALL(SimData1!$E$9:$E$508,25)</f>
        <v>-1.3279076977608986</v>
      </c>
      <c r="P33">
        <f>1/(COUNT(SimData1!$E$9:$E$508)-1)+$P$32</f>
        <v>4.8096192384769546E-2</v>
      </c>
      <c r="Q33">
        <f>SMALL(SimData1!$F$9:$F$508,25)</f>
        <v>0.23</v>
      </c>
      <c r="R33">
        <f>1/(COUNT(SimData1!$F$9:$F$508)-1)+$R$32</f>
        <v>4.8096192384769546E-2</v>
      </c>
      <c r="S33">
        <f>SMALL(SimData1!$G$9:$G$508,25)</f>
        <v>2</v>
      </c>
      <c r="T33">
        <f>1/(COUNT(SimData1!$G$9:$G$508)-1)+$T$32</f>
        <v>4.8096192384769546E-2</v>
      </c>
    </row>
    <row r="34" spans="1:20">
      <c r="A34">
        <v>26</v>
      </c>
      <c r="B34">
        <v>10.268897057095622</v>
      </c>
      <c r="C34">
        <v>8.1336477182520674</v>
      </c>
      <c r="D34">
        <v>15.305928916845918</v>
      </c>
      <c r="E34">
        <v>23.014944025190605</v>
      </c>
      <c r="F34">
        <v>0.23</v>
      </c>
      <c r="G34">
        <v>9</v>
      </c>
      <c r="I34">
        <f>SMALL(SimData1!$B$9:$B$508,26)</f>
        <v>5.0714375146645203</v>
      </c>
      <c r="J34">
        <f>1/(COUNT(SimData1!$B$9:$B$508)-1)+$J$33</f>
        <v>5.0100200400801612E-2</v>
      </c>
      <c r="K34">
        <f>SMALL(SimData1!$C$9:$C$508,26)</f>
        <v>2.4032363795049574</v>
      </c>
      <c r="L34">
        <f>1/(COUNT(SimData1!$C$9:$C$508)-1)+$L$33</f>
        <v>5.0100200400801612E-2</v>
      </c>
      <c r="M34">
        <f>SMALL(SimData1!$D$9:$D$508,26)</f>
        <v>2.2011814961082257</v>
      </c>
      <c r="N34">
        <f>1/(COUNT(SimData1!$D$9:$D$508)-1)+$N$33</f>
        <v>5.0100200400801612E-2</v>
      </c>
      <c r="O34">
        <f>SMALL(SimData1!$E$9:$E$508,26)</f>
        <v>-1.320575423974645</v>
      </c>
      <c r="P34">
        <f>1/(COUNT(SimData1!$E$9:$E$508)-1)+$P$33</f>
        <v>5.0100200400801612E-2</v>
      </c>
      <c r="Q34">
        <f>SMALL(SimData1!$F$9:$F$508,26)</f>
        <v>0.23</v>
      </c>
      <c r="R34">
        <f>1/(COUNT(SimData1!$F$9:$F$508)-1)+$R$33</f>
        <v>5.0100200400801612E-2</v>
      </c>
      <c r="S34">
        <f>SMALL(SimData1!$G$9:$G$508,26)</f>
        <v>2</v>
      </c>
      <c r="T34">
        <f>1/(COUNT(SimData1!$G$9:$G$508)-1)+$T$33</f>
        <v>5.0100200400801612E-2</v>
      </c>
    </row>
    <row r="35" spans="1:20">
      <c r="A35">
        <v>27</v>
      </c>
      <c r="B35">
        <v>11.734211358616331</v>
      </c>
      <c r="C35">
        <v>5.8281202691579521</v>
      </c>
      <c r="D35">
        <v>3.0395576205755486</v>
      </c>
      <c r="E35">
        <v>3.9679144872980299E-2</v>
      </c>
      <c r="F35">
        <v>0.23</v>
      </c>
      <c r="G35">
        <v>2</v>
      </c>
      <c r="I35">
        <f>SMALL(SimData1!$B$9:$B$508,27)</f>
        <v>5.1614816264569132</v>
      </c>
      <c r="J35">
        <f>1/(COUNT(SimData1!$B$9:$B$508)-1)+$J$34</f>
        <v>5.2104208416833678E-2</v>
      </c>
      <c r="K35">
        <f>SMALL(SimData1!$C$9:$C$508,27)</f>
        <v>2.4271916972238552</v>
      </c>
      <c r="L35">
        <f>1/(COUNT(SimData1!$C$9:$C$508)-1)+$L$34</f>
        <v>5.2104208416833678E-2</v>
      </c>
      <c r="M35">
        <f>SMALL(SimData1!$D$9:$D$508,27)</f>
        <v>2.2117642111060594</v>
      </c>
      <c r="N35">
        <f>1/(COUNT(SimData1!$D$9:$D$508)-1)+$N$34</f>
        <v>5.2104208416833678E-2</v>
      </c>
      <c r="O35">
        <f>SMALL(SimData1!$E$9:$E$508,27)</f>
        <v>-1.3135600715368159</v>
      </c>
      <c r="P35">
        <f>1/(COUNT(SimData1!$E$9:$E$508)-1)+$P$34</f>
        <v>5.2104208416833678E-2</v>
      </c>
      <c r="Q35">
        <f>SMALL(SimData1!$F$9:$F$508,27)</f>
        <v>0.23</v>
      </c>
      <c r="R35">
        <f>1/(COUNT(SimData1!$F$9:$F$508)-1)+$R$34</f>
        <v>5.2104208416833678E-2</v>
      </c>
      <c r="S35">
        <f>SMALL(SimData1!$G$9:$G$508,27)</f>
        <v>2</v>
      </c>
      <c r="T35">
        <f>1/(COUNT(SimData1!$G$9:$G$508)-1)+$T$34</f>
        <v>5.2104208416833678E-2</v>
      </c>
    </row>
    <row r="36" spans="1:20">
      <c r="A36">
        <v>28</v>
      </c>
      <c r="B36">
        <v>9.0693168307670184</v>
      </c>
      <c r="C36">
        <v>9.1599648101273843</v>
      </c>
      <c r="D36">
        <v>9.3196285307369262</v>
      </c>
      <c r="E36">
        <v>21.693262327402905</v>
      </c>
      <c r="F36">
        <v>0.23</v>
      </c>
      <c r="G36">
        <v>6</v>
      </c>
      <c r="I36">
        <f>SMALL(SimData1!$B$9:$B$508,28)</f>
        <v>5.2097251501975128</v>
      </c>
      <c r="J36">
        <f>1/(COUNT(SimData1!$B$9:$B$508)-1)+$J$35</f>
        <v>5.4108216432865744E-2</v>
      </c>
      <c r="K36">
        <f>SMALL(SimData1!$C$9:$C$508,28)</f>
        <v>2.4328532081546386</v>
      </c>
      <c r="L36">
        <f>1/(COUNT(SimData1!$C$9:$C$508)-1)+$L$35</f>
        <v>5.4108216432865744E-2</v>
      </c>
      <c r="M36">
        <f>SMALL(SimData1!$D$9:$D$508,28)</f>
        <v>2.2189094734831967</v>
      </c>
      <c r="N36">
        <f>1/(COUNT(SimData1!$D$9:$D$508)-1)+$N$35</f>
        <v>5.4108216432865744E-2</v>
      </c>
      <c r="O36">
        <f>SMALL(SimData1!$E$9:$E$508,28)</f>
        <v>-1.3070579419640951</v>
      </c>
      <c r="P36">
        <f>1/(COUNT(SimData1!$E$9:$E$508)-1)+$P$35</f>
        <v>5.4108216432865744E-2</v>
      </c>
      <c r="Q36">
        <f>SMALL(SimData1!$F$9:$F$508,28)</f>
        <v>0.23</v>
      </c>
      <c r="R36">
        <f>1/(COUNT(SimData1!$F$9:$F$508)-1)+$R$35</f>
        <v>5.4108216432865744E-2</v>
      </c>
      <c r="S36">
        <f>SMALL(SimData1!$G$9:$G$508,28)</f>
        <v>2</v>
      </c>
      <c r="T36">
        <f>1/(COUNT(SimData1!$G$9:$G$508)-1)+$T$35</f>
        <v>5.4108216432865744E-2</v>
      </c>
    </row>
    <row r="37" spans="1:20">
      <c r="A37">
        <v>29</v>
      </c>
      <c r="B37">
        <v>16.914928778694936</v>
      </c>
      <c r="C37">
        <v>7.6162343635634135</v>
      </c>
      <c r="D37">
        <v>16.016620186006797</v>
      </c>
      <c r="E37">
        <v>-1.175826496218616</v>
      </c>
      <c r="F37">
        <v>0.23</v>
      </c>
      <c r="G37">
        <v>12</v>
      </c>
      <c r="I37">
        <f>SMALL(SimData1!$B$9:$B$508,29)</f>
        <v>5.2335964368841719</v>
      </c>
      <c r="J37">
        <f>1/(COUNT(SimData1!$B$9:$B$508)-1)+$J$36</f>
        <v>5.611222444889781E-2</v>
      </c>
      <c r="K37">
        <f>SMALL(SimData1!$C$9:$C$508,29)</f>
        <v>2.4492174914556597</v>
      </c>
      <c r="L37">
        <f>1/(COUNT(SimData1!$C$9:$C$508)-1)+$L$36</f>
        <v>5.611222444889781E-2</v>
      </c>
      <c r="M37">
        <f>SMALL(SimData1!$D$9:$D$508,29)</f>
        <v>2.2257386691816472</v>
      </c>
      <c r="N37">
        <f>1/(COUNT(SimData1!$D$9:$D$508)-1)+$N$36</f>
        <v>5.611222444889781E-2</v>
      </c>
      <c r="O37">
        <f>SMALL(SimData1!$E$9:$E$508,29)</f>
        <v>-1.3005329312804956</v>
      </c>
      <c r="P37">
        <f>1/(COUNT(SimData1!$E$9:$E$508)-1)+$P$36</f>
        <v>5.611222444889781E-2</v>
      </c>
      <c r="Q37">
        <f>SMALL(SimData1!$F$9:$F$508,29)</f>
        <v>0.23</v>
      </c>
      <c r="R37">
        <f>1/(COUNT(SimData1!$F$9:$F$508)-1)+$R$36</f>
        <v>5.611222444889781E-2</v>
      </c>
      <c r="S37">
        <f>SMALL(SimData1!$G$9:$G$508,29)</f>
        <v>2</v>
      </c>
      <c r="T37">
        <f>1/(COUNT(SimData1!$G$9:$G$508)-1)+$T$36</f>
        <v>5.611222444889781E-2</v>
      </c>
    </row>
    <row r="38" spans="1:20">
      <c r="A38">
        <v>30</v>
      </c>
      <c r="B38">
        <v>8.0587008819138592</v>
      </c>
      <c r="C38">
        <v>5.9628132627482557</v>
      </c>
      <c r="D38">
        <v>3.3092487011452314</v>
      </c>
      <c r="E38">
        <v>-1.4594838578827058</v>
      </c>
      <c r="F38">
        <v>0.23</v>
      </c>
      <c r="G38">
        <v>9</v>
      </c>
      <c r="I38">
        <f>SMALL(SimData1!$B$9:$B$508,30)</f>
        <v>5.3334054164732532</v>
      </c>
      <c r="J38">
        <f>1/(COUNT(SimData1!$B$9:$B$508)-1)+$J$37</f>
        <v>5.8116232464929876E-2</v>
      </c>
      <c r="K38">
        <f>SMALL(SimData1!$C$9:$C$508,30)</f>
        <v>2.4695416827922552</v>
      </c>
      <c r="L38">
        <f>1/(COUNT(SimData1!$C$9:$C$508)-1)+$L$37</f>
        <v>5.8116232464929876E-2</v>
      </c>
      <c r="M38">
        <f>SMALL(SimData1!$D$9:$D$508,30)</f>
        <v>2.2371122533839922</v>
      </c>
      <c r="N38">
        <f>1/(COUNT(SimData1!$D$9:$D$508)-1)+$N$37</f>
        <v>5.8116232464929876E-2</v>
      </c>
      <c r="O38">
        <f>SMALL(SimData1!$E$9:$E$508,30)</f>
        <v>-1.2917198317804517</v>
      </c>
      <c r="P38">
        <f>1/(COUNT(SimData1!$E$9:$E$508)-1)+$P$37</f>
        <v>5.8116232464929876E-2</v>
      </c>
      <c r="Q38">
        <f>SMALL(SimData1!$F$9:$F$508,30)</f>
        <v>0.23</v>
      </c>
      <c r="R38">
        <f>1/(COUNT(SimData1!$F$9:$F$508)-1)+$R$37</f>
        <v>5.8116232464929876E-2</v>
      </c>
      <c r="S38">
        <f>SMALL(SimData1!$G$9:$G$508,30)</f>
        <v>2</v>
      </c>
      <c r="T38">
        <f>1/(COUNT(SimData1!$G$9:$G$508)-1)+$T$37</f>
        <v>5.8116232464929876E-2</v>
      </c>
    </row>
    <row r="39" spans="1:20">
      <c r="A39">
        <v>31</v>
      </c>
      <c r="B39">
        <v>10.290503308488876</v>
      </c>
      <c r="C39">
        <v>8.5434857174119649</v>
      </c>
      <c r="D39">
        <v>9.6756914937840044</v>
      </c>
      <c r="E39">
        <v>21.874581826863121</v>
      </c>
      <c r="F39">
        <v>0.23</v>
      </c>
      <c r="G39">
        <v>4</v>
      </c>
      <c r="I39">
        <f>SMALL(SimData1!$B$9:$B$508,31)</f>
        <v>5.3782761106925516</v>
      </c>
      <c r="J39">
        <f>1/(COUNT(SimData1!$B$9:$B$508)-1)+$J$38</f>
        <v>6.0120240480961942E-2</v>
      </c>
      <c r="K39">
        <f>SMALL(SimData1!$C$9:$C$508,31)</f>
        <v>2.4947625365589658</v>
      </c>
      <c r="L39">
        <f>1/(COUNT(SimData1!$C$9:$C$508)-1)+$L$38</f>
        <v>6.0120240480961942E-2</v>
      </c>
      <c r="M39">
        <f>SMALL(SimData1!$D$9:$D$508,31)</f>
        <v>2.2408972508834903</v>
      </c>
      <c r="N39">
        <f>1/(COUNT(SimData1!$D$9:$D$508)-1)+$N$38</f>
        <v>6.0120240480961942E-2</v>
      </c>
      <c r="O39">
        <f>SMALL(SimData1!$E$9:$E$508,31)</f>
        <v>-1.2844717219851651</v>
      </c>
      <c r="P39">
        <f>1/(COUNT(SimData1!$E$9:$E$508)-1)+$P$38</f>
        <v>6.0120240480961942E-2</v>
      </c>
      <c r="Q39">
        <f>SMALL(SimData1!$F$9:$F$508,31)</f>
        <v>0.23</v>
      </c>
      <c r="R39">
        <f>1/(COUNT(SimData1!$F$9:$F$508)-1)+$R$38</f>
        <v>6.0120240480961942E-2</v>
      </c>
      <c r="S39">
        <f>SMALL(SimData1!$G$9:$G$508,31)</f>
        <v>2</v>
      </c>
      <c r="T39">
        <f>1/(COUNT(SimData1!$G$9:$G$508)-1)+$T$38</f>
        <v>6.0120240480961942E-2</v>
      </c>
    </row>
    <row r="40" spans="1:20">
      <c r="A40">
        <v>32</v>
      </c>
      <c r="B40">
        <v>14.80450794885375</v>
      </c>
      <c r="C40">
        <v>8.377505628029235</v>
      </c>
      <c r="D40">
        <v>4.3091174412400273</v>
      </c>
      <c r="E40">
        <v>-1.4960406693175643</v>
      </c>
      <c r="F40">
        <v>0.23</v>
      </c>
      <c r="G40">
        <v>4</v>
      </c>
      <c r="I40">
        <f>SMALL(SimData1!$B$9:$B$508,32)</f>
        <v>5.4170055484396356</v>
      </c>
      <c r="J40">
        <f>1/(COUNT(SimData1!$B$9:$B$508)-1)+$J$39</f>
        <v>6.2124248496994008E-2</v>
      </c>
      <c r="K40">
        <f>SMALL(SimData1!$C$9:$C$508,32)</f>
        <v>2.5013651043896949</v>
      </c>
      <c r="L40">
        <f>1/(COUNT(SimData1!$C$9:$C$508)-1)+$L$39</f>
        <v>6.2124248496994008E-2</v>
      </c>
      <c r="M40">
        <f>SMALL(SimData1!$D$9:$D$508,32)</f>
        <v>2.2483662824594335</v>
      </c>
      <c r="N40">
        <f>1/(COUNT(SimData1!$D$9:$D$508)-1)+$N$39</f>
        <v>6.2124248496994008E-2</v>
      </c>
      <c r="O40">
        <f>SMALL(SimData1!$E$9:$E$508,32)</f>
        <v>-1.2799549691052954</v>
      </c>
      <c r="P40">
        <f>1/(COUNT(SimData1!$E$9:$E$508)-1)+$P$39</f>
        <v>6.2124248496994008E-2</v>
      </c>
      <c r="Q40">
        <f>SMALL(SimData1!$F$9:$F$508,32)</f>
        <v>0.23</v>
      </c>
      <c r="R40">
        <f>1/(COUNT(SimData1!$F$9:$F$508)-1)+$R$39</f>
        <v>6.2124248496994008E-2</v>
      </c>
      <c r="S40">
        <f>SMALL(SimData1!$G$9:$G$508,32)</f>
        <v>2</v>
      </c>
      <c r="T40">
        <f>1/(COUNT(SimData1!$G$9:$G$508)-1)+$T$39</f>
        <v>6.2124248496994008E-2</v>
      </c>
    </row>
    <row r="41" spans="1:20">
      <c r="A41">
        <v>33</v>
      </c>
      <c r="B41">
        <v>9.2711356070965376</v>
      </c>
      <c r="C41">
        <v>2.1739360559279883</v>
      </c>
      <c r="D41">
        <v>2.0918469304656253</v>
      </c>
      <c r="E41">
        <v>-1.0969880799380585</v>
      </c>
      <c r="F41">
        <v>0.23</v>
      </c>
      <c r="G41">
        <v>2</v>
      </c>
      <c r="I41">
        <f>SMALL(SimData1!$B$9:$B$508,33)</f>
        <v>5.4727918421219552</v>
      </c>
      <c r="J41">
        <f>1/(COUNT(SimData1!$B$9:$B$508)-1)+$J$40</f>
        <v>6.4128256513026075E-2</v>
      </c>
      <c r="K41">
        <f>SMALL(SimData1!$C$9:$C$508,33)</f>
        <v>2.5143246322130608</v>
      </c>
      <c r="L41">
        <f>1/(COUNT(SimData1!$C$9:$C$508)-1)+$L$40</f>
        <v>6.4128256513026075E-2</v>
      </c>
      <c r="M41">
        <f>SMALL(SimData1!$D$9:$D$508,33)</f>
        <v>2.2599222678215991</v>
      </c>
      <c r="N41">
        <f>1/(COUNT(SimData1!$D$9:$D$508)-1)+$N$40</f>
        <v>6.4128256513026075E-2</v>
      </c>
      <c r="O41">
        <f>SMALL(SimData1!$E$9:$E$508,33)</f>
        <v>-1.2733405425099511</v>
      </c>
      <c r="P41">
        <f>1/(COUNT(SimData1!$E$9:$E$508)-1)+$P$40</f>
        <v>6.4128256513026075E-2</v>
      </c>
      <c r="Q41">
        <f>SMALL(SimData1!$F$9:$F$508,33)</f>
        <v>0.23</v>
      </c>
      <c r="R41">
        <f>1/(COUNT(SimData1!$F$9:$F$508)-1)+$R$40</f>
        <v>6.4128256513026075E-2</v>
      </c>
      <c r="S41">
        <f>SMALL(SimData1!$G$9:$G$508,33)</f>
        <v>2</v>
      </c>
      <c r="T41">
        <f>1/(COUNT(SimData1!$G$9:$G$508)-1)+$T$40</f>
        <v>6.4128256513026075E-2</v>
      </c>
    </row>
    <row r="42" spans="1:20">
      <c r="A42">
        <v>34</v>
      </c>
      <c r="B42">
        <v>14.096828838426442</v>
      </c>
      <c r="C42">
        <v>2.9104363929849204</v>
      </c>
      <c r="D42">
        <v>14.434610144386674</v>
      </c>
      <c r="E42">
        <v>23.951159677254264</v>
      </c>
      <c r="F42">
        <v>0.23</v>
      </c>
      <c r="G42">
        <v>12</v>
      </c>
      <c r="I42">
        <f>SMALL(SimData1!$B$9:$B$508,34)</f>
        <v>5.5184660782527875</v>
      </c>
      <c r="J42">
        <f>1/(COUNT(SimData1!$B$9:$B$508)-1)+$J$41</f>
        <v>6.6132264529058141E-2</v>
      </c>
      <c r="K42">
        <f>SMALL(SimData1!$C$9:$C$508,34)</f>
        <v>2.54010944655447</v>
      </c>
      <c r="L42">
        <f>1/(COUNT(SimData1!$C$9:$C$508)-1)+$L$41</f>
        <v>6.6132264529058141E-2</v>
      </c>
      <c r="M42">
        <f>SMALL(SimData1!$D$9:$D$508,34)</f>
        <v>2.2700356235406445</v>
      </c>
      <c r="N42">
        <f>1/(COUNT(SimData1!$D$9:$D$508)-1)+$N$41</f>
        <v>6.6132264529058141E-2</v>
      </c>
      <c r="O42">
        <f>SMALL(SimData1!$E$9:$E$508,34)</f>
        <v>-1.2620628199814121</v>
      </c>
      <c r="P42">
        <f>1/(COUNT(SimData1!$E$9:$E$508)-1)+$P$41</f>
        <v>6.6132264529058141E-2</v>
      </c>
      <c r="Q42">
        <f>SMALL(SimData1!$F$9:$F$508,34)</f>
        <v>0.23</v>
      </c>
      <c r="R42">
        <f>1/(COUNT(SimData1!$F$9:$F$508)-1)+$R$41</f>
        <v>6.6132264529058141E-2</v>
      </c>
      <c r="S42">
        <f>SMALL(SimData1!$G$9:$G$508,34)</f>
        <v>2</v>
      </c>
      <c r="T42">
        <f>1/(COUNT(SimData1!$G$9:$G$508)-1)+$T$41</f>
        <v>6.6132264529058141E-2</v>
      </c>
    </row>
    <row r="43" spans="1:20">
      <c r="A43">
        <v>35</v>
      </c>
      <c r="B43">
        <v>14.699175844658132</v>
      </c>
      <c r="C43">
        <v>7.5736799209913421</v>
      </c>
      <c r="D43">
        <v>5.9543142393534803</v>
      </c>
      <c r="E43">
        <v>23.93542671480084</v>
      </c>
      <c r="F43">
        <v>0.23</v>
      </c>
      <c r="G43">
        <v>12</v>
      </c>
      <c r="I43">
        <f>SMALL(SimData1!$B$9:$B$508,35)</f>
        <v>5.5574951292501602</v>
      </c>
      <c r="J43">
        <f>1/(COUNT(SimData1!$B$9:$B$508)-1)+$J$42</f>
        <v>6.8136272545090207E-2</v>
      </c>
      <c r="K43">
        <f>SMALL(SimData1!$C$9:$C$508,35)</f>
        <v>2.5564860582194493</v>
      </c>
      <c r="L43">
        <f>1/(COUNT(SimData1!$C$9:$C$508)-1)+$L$42</f>
        <v>6.8136272545090207E-2</v>
      </c>
      <c r="M43">
        <f>SMALL(SimData1!$D$9:$D$508,35)</f>
        <v>2.2770903052550486</v>
      </c>
      <c r="N43">
        <f>1/(COUNT(SimData1!$D$9:$D$508)-1)+$N$42</f>
        <v>6.8136272545090207E-2</v>
      </c>
      <c r="O43">
        <f>SMALL(SimData1!$E$9:$E$508,35)</f>
        <v>-1.2573748585039624</v>
      </c>
      <c r="P43">
        <f>1/(COUNT(SimData1!$E$9:$E$508)-1)+$P$42</f>
        <v>6.8136272545090207E-2</v>
      </c>
      <c r="Q43">
        <f>SMALL(SimData1!$F$9:$F$508,35)</f>
        <v>0.23</v>
      </c>
      <c r="R43">
        <f>1/(COUNT(SimData1!$F$9:$F$508)-1)+$R$42</f>
        <v>6.8136272545090207E-2</v>
      </c>
      <c r="S43">
        <f>SMALL(SimData1!$G$9:$G$508,35)</f>
        <v>2</v>
      </c>
      <c r="T43">
        <f>1/(COUNT(SimData1!$G$9:$G$508)-1)+$T$42</f>
        <v>6.8136272545090207E-2</v>
      </c>
    </row>
    <row r="44" spans="1:20">
      <c r="A44">
        <v>36</v>
      </c>
      <c r="B44">
        <v>11.176305744675489</v>
      </c>
      <c r="C44">
        <v>9.3566038823194351</v>
      </c>
      <c r="D44">
        <v>14.255784394783849</v>
      </c>
      <c r="E44">
        <v>21.924054906306683</v>
      </c>
      <c r="F44">
        <v>0.23</v>
      </c>
      <c r="G44">
        <v>6</v>
      </c>
      <c r="I44">
        <f>SMALL(SimData1!$B$9:$B$508,36)</f>
        <v>5.5983166222292509</v>
      </c>
      <c r="J44">
        <f>1/(COUNT(SimData1!$B$9:$B$508)-1)+$J$43</f>
        <v>7.0140280561122273E-2</v>
      </c>
      <c r="K44">
        <f>SMALL(SimData1!$C$9:$C$508,36)</f>
        <v>2.5735659252585763</v>
      </c>
      <c r="L44">
        <f>1/(COUNT(SimData1!$C$9:$C$508)-1)+$L$43</f>
        <v>7.0140280561122273E-2</v>
      </c>
      <c r="M44">
        <f>SMALL(SimData1!$D$9:$D$508,36)</f>
        <v>2.283700204287586</v>
      </c>
      <c r="N44">
        <f>1/(COUNT(SimData1!$D$9:$D$508)-1)+$N$43</f>
        <v>7.0140280561122273E-2</v>
      </c>
      <c r="O44">
        <f>SMALL(SimData1!$E$9:$E$508,36)</f>
        <v>-1.2513555854168401</v>
      </c>
      <c r="P44">
        <f>1/(COUNT(SimData1!$E$9:$E$508)-1)+$P$43</f>
        <v>7.0140280561122273E-2</v>
      </c>
      <c r="Q44">
        <f>SMALL(SimData1!$F$9:$F$508,36)</f>
        <v>0.23</v>
      </c>
      <c r="R44">
        <f>1/(COUNT(SimData1!$F$9:$F$508)-1)+$R$43</f>
        <v>7.0140280561122273E-2</v>
      </c>
      <c r="S44">
        <f>SMALL(SimData1!$G$9:$G$508,36)</f>
        <v>2</v>
      </c>
      <c r="T44">
        <f>1/(COUNT(SimData1!$G$9:$G$508)-1)+$T$43</f>
        <v>7.0140280561122273E-2</v>
      </c>
    </row>
    <row r="45" spans="1:20">
      <c r="A45">
        <v>37</v>
      </c>
      <c r="B45">
        <v>7.4025009655028668</v>
      </c>
      <c r="C45">
        <v>8.4283780134945125</v>
      </c>
      <c r="D45">
        <v>8.6459360048002409</v>
      </c>
      <c r="E45">
        <v>-7.2272126693178507E-2</v>
      </c>
      <c r="F45">
        <v>0.23</v>
      </c>
      <c r="G45">
        <v>12</v>
      </c>
      <c r="I45">
        <f>SMALL(SimData1!$B$9:$B$508,37)</f>
        <v>5.6401676729609083</v>
      </c>
      <c r="J45">
        <f>1/(COUNT(SimData1!$B$9:$B$508)-1)+$J$44</f>
        <v>7.2144288577154339E-2</v>
      </c>
      <c r="K45">
        <f>SMALL(SimData1!$C$9:$C$508,37)</f>
        <v>2.5914749427101285</v>
      </c>
      <c r="L45">
        <f>1/(COUNT(SimData1!$C$9:$C$508)-1)+$L$44</f>
        <v>7.2144288577154339E-2</v>
      </c>
      <c r="M45">
        <f>SMALL(SimData1!$D$9:$D$508,37)</f>
        <v>2.2924810260693729</v>
      </c>
      <c r="N45">
        <f>1/(COUNT(SimData1!$D$9:$D$508)-1)+$N$44</f>
        <v>7.2144288577154339E-2</v>
      </c>
      <c r="O45">
        <f>SMALL(SimData1!$E$9:$E$508,37)</f>
        <v>-1.2428325682834633</v>
      </c>
      <c r="P45">
        <f>1/(COUNT(SimData1!$E$9:$E$508)-1)+$P$44</f>
        <v>7.2144288577154339E-2</v>
      </c>
      <c r="Q45">
        <f>SMALL(SimData1!$F$9:$F$508,37)</f>
        <v>0.23</v>
      </c>
      <c r="R45">
        <f>1/(COUNT(SimData1!$F$9:$F$508)-1)+$R$44</f>
        <v>7.2144288577154339E-2</v>
      </c>
      <c r="S45">
        <f>SMALL(SimData1!$G$9:$G$508,37)</f>
        <v>2</v>
      </c>
      <c r="T45">
        <f>1/(COUNT(SimData1!$G$9:$G$508)-1)+$T$44</f>
        <v>7.2144288577154339E-2</v>
      </c>
    </row>
    <row r="46" spans="1:20">
      <c r="A46">
        <v>38</v>
      </c>
      <c r="B46">
        <v>7.922486011132281</v>
      </c>
      <c r="C46">
        <v>6.4480950777754407</v>
      </c>
      <c r="D46">
        <v>8.3851464902854396</v>
      </c>
      <c r="E46">
        <v>-1.0727708923154859</v>
      </c>
      <c r="F46">
        <v>0.23</v>
      </c>
      <c r="G46">
        <v>12</v>
      </c>
      <c r="I46">
        <f>SMALL(SimData1!$B$9:$B$508,38)</f>
        <v>5.7009437986306057</v>
      </c>
      <c r="J46">
        <f>1/(COUNT(SimData1!$B$9:$B$508)-1)+$J$45</f>
        <v>7.4148296593186405E-2</v>
      </c>
      <c r="K46">
        <f>SMALL(SimData1!$C$9:$C$508,38)</f>
        <v>2.6049017982661962</v>
      </c>
      <c r="L46">
        <f>1/(COUNT(SimData1!$C$9:$C$508)-1)+$L$45</f>
        <v>7.4148296593186405E-2</v>
      </c>
      <c r="M46">
        <f>SMALL(SimData1!$D$9:$D$508,38)</f>
        <v>2.2962032572664794</v>
      </c>
      <c r="N46">
        <f>1/(COUNT(SimData1!$D$9:$D$508)-1)+$N$45</f>
        <v>7.4148296593186405E-2</v>
      </c>
      <c r="O46">
        <f>SMALL(SimData1!$E$9:$E$508,38)</f>
        <v>-1.234254486475199</v>
      </c>
      <c r="P46">
        <f>1/(COUNT(SimData1!$E$9:$E$508)-1)+$P$45</f>
        <v>7.4148296593186405E-2</v>
      </c>
      <c r="Q46">
        <f>SMALL(SimData1!$F$9:$F$508,38)</f>
        <v>0.23</v>
      </c>
      <c r="R46">
        <f>1/(COUNT(SimData1!$F$9:$F$508)-1)+$R$45</f>
        <v>7.4148296593186405E-2</v>
      </c>
      <c r="S46">
        <f>SMALL(SimData1!$G$9:$G$508,38)</f>
        <v>2</v>
      </c>
      <c r="T46">
        <f>1/(COUNT(SimData1!$G$9:$G$508)-1)+$T$45</f>
        <v>7.4148296593186405E-2</v>
      </c>
    </row>
    <row r="47" spans="1:20">
      <c r="A47">
        <v>39</v>
      </c>
      <c r="B47">
        <v>10.183800660695264</v>
      </c>
      <c r="C47">
        <v>5.4120833854573043</v>
      </c>
      <c r="D47">
        <v>6.5269235124175724</v>
      </c>
      <c r="E47">
        <v>22.074620104922182</v>
      </c>
      <c r="F47">
        <v>0.23</v>
      </c>
      <c r="G47">
        <v>10</v>
      </c>
      <c r="I47">
        <f>SMALL(SimData1!$B$9:$B$508,39)</f>
        <v>5.7277076591587468</v>
      </c>
      <c r="J47">
        <f>1/(COUNT(SimData1!$B$9:$B$508)-1)+$J$46</f>
        <v>7.6152304609218471E-2</v>
      </c>
      <c r="K47">
        <f>SMALL(SimData1!$C$9:$C$508,39)</f>
        <v>2.6083122930378448</v>
      </c>
      <c r="L47">
        <f>1/(COUNT(SimData1!$C$9:$C$508)-1)+$L$46</f>
        <v>7.6152304609218471E-2</v>
      </c>
      <c r="M47">
        <f>SMALL(SimData1!$D$9:$D$508,39)</f>
        <v>2.3088928761568135</v>
      </c>
      <c r="N47">
        <f>1/(COUNT(SimData1!$D$9:$D$508)-1)+$N$46</f>
        <v>7.6152304609218471E-2</v>
      </c>
      <c r="O47">
        <f>SMALL(SimData1!$E$9:$E$508,39)</f>
        <v>-1.2304123177578981</v>
      </c>
      <c r="P47">
        <f>1/(COUNT(SimData1!$E$9:$E$508)-1)+$P$46</f>
        <v>7.6152304609218471E-2</v>
      </c>
      <c r="Q47">
        <f>SMALL(SimData1!$F$9:$F$508,39)</f>
        <v>0.23</v>
      </c>
      <c r="R47">
        <f>1/(COUNT(SimData1!$F$9:$F$508)-1)+$R$46</f>
        <v>7.6152304609218471E-2</v>
      </c>
      <c r="S47">
        <f>SMALL(SimData1!$G$9:$G$508,39)</f>
        <v>2</v>
      </c>
      <c r="T47">
        <f>1/(COUNT(SimData1!$G$9:$G$508)-1)+$T$46</f>
        <v>7.6152304609218471E-2</v>
      </c>
    </row>
    <row r="48" spans="1:20">
      <c r="A48">
        <v>40</v>
      </c>
      <c r="B48">
        <v>6.3803287677678249</v>
      </c>
      <c r="C48">
        <v>6.0495224845673707</v>
      </c>
      <c r="D48">
        <v>9.2529603588126967</v>
      </c>
      <c r="E48">
        <v>23.195644419228088</v>
      </c>
      <c r="F48">
        <v>0.23</v>
      </c>
      <c r="G48">
        <v>9</v>
      </c>
      <c r="I48">
        <f>SMALL(SimData1!$B$9:$B$508,40)</f>
        <v>5.7635861701898712</v>
      </c>
      <c r="J48">
        <f>1/(COUNT(SimData1!$B$9:$B$508)-1)+$J$47</f>
        <v>7.8156312625250537E-2</v>
      </c>
      <c r="K48">
        <f>SMALL(SimData1!$C$9:$C$508,40)</f>
        <v>2.6356913644251625</v>
      </c>
      <c r="L48">
        <f>1/(COUNT(SimData1!$C$9:$C$508)-1)+$L$47</f>
        <v>7.8156312625250537E-2</v>
      </c>
      <c r="M48">
        <f>SMALL(SimData1!$D$9:$D$508,40)</f>
        <v>2.3132068949959255</v>
      </c>
      <c r="N48">
        <f>1/(COUNT(SimData1!$D$9:$D$508)-1)+$N$47</f>
        <v>7.8156312625250537E-2</v>
      </c>
      <c r="O48">
        <f>SMALL(SimData1!$E$9:$E$508,40)</f>
        <v>-1.2266357311203566</v>
      </c>
      <c r="P48">
        <f>1/(COUNT(SimData1!$E$9:$E$508)-1)+$P$47</f>
        <v>7.8156312625250537E-2</v>
      </c>
      <c r="Q48">
        <f>SMALL(SimData1!$F$9:$F$508,40)</f>
        <v>0.23</v>
      </c>
      <c r="R48">
        <f>1/(COUNT(SimData1!$F$9:$F$508)-1)+$R$47</f>
        <v>7.8156312625250537E-2</v>
      </c>
      <c r="S48">
        <f>SMALL(SimData1!$G$9:$G$508,40)</f>
        <v>2</v>
      </c>
      <c r="T48">
        <f>1/(COUNT(SimData1!$G$9:$G$508)-1)+$T$47</f>
        <v>7.8156312625250537E-2</v>
      </c>
    </row>
    <row r="49" spans="1:20">
      <c r="A49">
        <v>41</v>
      </c>
      <c r="B49">
        <v>12.176246575130779</v>
      </c>
      <c r="C49">
        <v>4.9092194996283434</v>
      </c>
      <c r="D49">
        <v>5.4068588269443385</v>
      </c>
      <c r="E49">
        <v>-1.0650120334054736</v>
      </c>
      <c r="F49">
        <v>0.23</v>
      </c>
      <c r="G49">
        <v>9</v>
      </c>
      <c r="I49">
        <f>SMALL(SimData1!$B$9:$B$508,41)</f>
        <v>5.8004401956078269</v>
      </c>
      <c r="J49">
        <f>1/(COUNT(SimData1!$B$9:$B$508)-1)+$J$48</f>
        <v>8.0160320641282604E-2</v>
      </c>
      <c r="K49">
        <f>SMALL(SimData1!$C$9:$C$508,41)</f>
        <v>2.6481363724675346</v>
      </c>
      <c r="L49">
        <f>1/(COUNT(SimData1!$C$9:$C$508)-1)+$L$48</f>
        <v>8.0160320641282604E-2</v>
      </c>
      <c r="M49">
        <f>SMALL(SimData1!$D$9:$D$508,41)</f>
        <v>2.3254002207399811</v>
      </c>
      <c r="N49">
        <f>1/(COUNT(SimData1!$D$9:$D$508)-1)+$N$48</f>
        <v>8.0160320641282604E-2</v>
      </c>
      <c r="O49">
        <f>SMALL(SimData1!$E$9:$E$508,41)</f>
        <v>-1.215305522819685</v>
      </c>
      <c r="P49">
        <f>1/(COUNT(SimData1!$E$9:$E$508)-1)+$P$48</f>
        <v>8.0160320641282604E-2</v>
      </c>
      <c r="Q49">
        <f>SMALL(SimData1!$F$9:$F$508,41)</f>
        <v>0.23</v>
      </c>
      <c r="R49">
        <f>1/(COUNT(SimData1!$F$9:$F$508)-1)+$R$48</f>
        <v>8.0160320641282604E-2</v>
      </c>
      <c r="S49">
        <f>SMALL(SimData1!$G$9:$G$508,41)</f>
        <v>2</v>
      </c>
      <c r="T49">
        <f>1/(COUNT(SimData1!$G$9:$G$508)-1)+$T$48</f>
        <v>8.0160320641282604E-2</v>
      </c>
    </row>
    <row r="50" spans="1:20">
      <c r="A50">
        <v>42</v>
      </c>
      <c r="B50">
        <v>5.9660182578043894</v>
      </c>
      <c r="C50">
        <v>4.1751192653326132</v>
      </c>
      <c r="D50">
        <v>2.2599222678215991</v>
      </c>
      <c r="E50">
        <v>23.813989843825215</v>
      </c>
      <c r="F50">
        <v>0.23</v>
      </c>
      <c r="G50">
        <v>2</v>
      </c>
      <c r="I50">
        <f>SMALL(SimData1!$B$9:$B$508,42)</f>
        <v>5.8468907066187068</v>
      </c>
      <c r="J50">
        <f>1/(COUNT(SimData1!$B$9:$B$508)-1)+$J$49</f>
        <v>8.216432865731467E-2</v>
      </c>
      <c r="K50">
        <f>SMALL(SimData1!$C$9:$C$508,42)</f>
        <v>2.6701812834176657</v>
      </c>
      <c r="L50">
        <f>1/(COUNT(SimData1!$C$9:$C$508)-1)+$L$49</f>
        <v>8.216432865731467E-2</v>
      </c>
      <c r="M50">
        <f>SMALL(SimData1!$D$9:$D$508,42)</f>
        <v>2.3298050166335433</v>
      </c>
      <c r="N50">
        <f>1/(COUNT(SimData1!$D$9:$D$508)-1)+$N$49</f>
        <v>8.216432865731467E-2</v>
      </c>
      <c r="O50">
        <f>SMALL(SimData1!$E$9:$E$508,42)</f>
        <v>-1.2126598572155949</v>
      </c>
      <c r="P50">
        <f>1/(COUNT(SimData1!$E$9:$E$508)-1)+$P$49</f>
        <v>8.216432865731467E-2</v>
      </c>
      <c r="Q50">
        <f>SMALL(SimData1!$F$9:$F$508,42)</f>
        <v>0.23</v>
      </c>
      <c r="R50">
        <f>1/(COUNT(SimData1!$F$9:$F$508)-1)+$R$49</f>
        <v>8.216432865731467E-2</v>
      </c>
      <c r="S50">
        <f>SMALL(SimData1!$G$9:$G$508,42)</f>
        <v>2</v>
      </c>
      <c r="T50">
        <f>1/(COUNT(SimData1!$G$9:$G$508)-1)+$T$49</f>
        <v>8.216432865731467E-2</v>
      </c>
    </row>
    <row r="51" spans="1:20">
      <c r="A51">
        <v>43</v>
      </c>
      <c r="B51">
        <v>10.358996613318391</v>
      </c>
      <c r="C51">
        <v>8.8683228671225542</v>
      </c>
      <c r="D51">
        <v>14.044803059169276</v>
      </c>
      <c r="E51">
        <v>-1.3918592663224241</v>
      </c>
      <c r="F51">
        <v>0.23</v>
      </c>
      <c r="G51">
        <v>2</v>
      </c>
      <c r="I51">
        <f>SMALL(SimData1!$B$9:$B$508,43)</f>
        <v>5.8869872808687509</v>
      </c>
      <c r="J51">
        <f>1/(COUNT(SimData1!$B$9:$B$508)-1)+$J$50</f>
        <v>8.4168336673346736E-2</v>
      </c>
      <c r="K51">
        <f>SMALL(SimData1!$C$9:$C$508,43)</f>
        <v>2.6855285028027205</v>
      </c>
      <c r="L51">
        <f>1/(COUNT(SimData1!$C$9:$C$508)-1)+$L$50</f>
        <v>8.4168336673346736E-2</v>
      </c>
      <c r="M51">
        <f>SMALL(SimData1!$D$9:$D$508,43)</f>
        <v>2.3438159742895084</v>
      </c>
      <c r="N51">
        <f>1/(COUNT(SimData1!$D$9:$D$508)-1)+$N$50</f>
        <v>8.4168336673346736E-2</v>
      </c>
      <c r="O51">
        <f>SMALL(SimData1!$E$9:$E$508,43)</f>
        <v>-1.1996144818693337</v>
      </c>
      <c r="P51">
        <f>1/(COUNT(SimData1!$E$9:$E$508)-1)+$P$50</f>
        <v>8.4168336673346736E-2</v>
      </c>
      <c r="Q51">
        <f>SMALL(SimData1!$F$9:$F$508,43)</f>
        <v>0.23</v>
      </c>
      <c r="R51">
        <f>1/(COUNT(SimData1!$F$9:$F$508)-1)+$R$50</f>
        <v>8.4168336673346736E-2</v>
      </c>
      <c r="S51">
        <f>SMALL(SimData1!$G$9:$G$508,43)</f>
        <v>2</v>
      </c>
      <c r="T51">
        <f>1/(COUNT(SimData1!$G$9:$G$508)-1)+$T$50</f>
        <v>8.4168336673346736E-2</v>
      </c>
    </row>
    <row r="52" spans="1:20">
      <c r="A52">
        <v>44</v>
      </c>
      <c r="B52">
        <v>13.636466401649649</v>
      </c>
      <c r="C52">
        <v>7.9851132788884254</v>
      </c>
      <c r="D52">
        <v>2.4964476104752271</v>
      </c>
      <c r="E52">
        <v>23.79123877342095</v>
      </c>
      <c r="F52">
        <v>0.23</v>
      </c>
      <c r="G52">
        <v>12</v>
      </c>
      <c r="I52">
        <f>SMALL(SimData1!$B$9:$B$508,44)</f>
        <v>5.9203508405163987</v>
      </c>
      <c r="J52">
        <f>1/(COUNT(SimData1!$B$9:$B$508)-1)+$J$51</f>
        <v>8.6172344689378802E-2</v>
      </c>
      <c r="K52">
        <f>SMALL(SimData1!$C$9:$C$508,44)</f>
        <v>2.7024008857008073</v>
      </c>
      <c r="L52">
        <f>1/(COUNT(SimData1!$C$9:$C$508)-1)+$L$51</f>
        <v>8.6172344689378802E-2</v>
      </c>
      <c r="M52">
        <f>SMALL(SimData1!$D$9:$D$508,44)</f>
        <v>2.3504710867922918</v>
      </c>
      <c r="N52">
        <f>1/(COUNT(SimData1!$D$9:$D$508)-1)+$N$51</f>
        <v>8.6172344689378802E-2</v>
      </c>
      <c r="O52">
        <f>SMALL(SimData1!$E$9:$E$508,44)</f>
        <v>-1.1985905389719096</v>
      </c>
      <c r="P52">
        <f>1/(COUNT(SimData1!$E$9:$E$508)-1)+$P$51</f>
        <v>8.6172344689378802E-2</v>
      </c>
      <c r="Q52">
        <f>SMALL(SimData1!$F$9:$F$508,44)</f>
        <v>0.23</v>
      </c>
      <c r="R52">
        <f>1/(COUNT(SimData1!$F$9:$F$508)-1)+$R$51</f>
        <v>8.6172344689378802E-2</v>
      </c>
      <c r="S52">
        <f>SMALL(SimData1!$G$9:$G$508,44)</f>
        <v>2</v>
      </c>
      <c r="T52">
        <f>1/(COUNT(SimData1!$G$9:$G$508)-1)+$T$51</f>
        <v>8.6172344689378802E-2</v>
      </c>
    </row>
    <row r="53" spans="1:20">
      <c r="A53">
        <v>45</v>
      </c>
      <c r="B53">
        <v>11.031791579143333</v>
      </c>
      <c r="C53">
        <v>2.5143246322130608</v>
      </c>
      <c r="D53">
        <v>5.9718881971491244</v>
      </c>
      <c r="E53">
        <v>22.699488346277896</v>
      </c>
      <c r="F53">
        <v>0.23</v>
      </c>
      <c r="G53">
        <v>4</v>
      </c>
      <c r="I53">
        <f>SMALL(SimData1!$B$9:$B$508,45)</f>
        <v>5.9660182578043894</v>
      </c>
      <c r="J53">
        <f>1/(COUNT(SimData1!$B$9:$B$508)-1)+$J$52</f>
        <v>8.8176352705410868E-2</v>
      </c>
      <c r="K53">
        <f>SMALL(SimData1!$C$9:$C$508,45)</f>
        <v>2.7106209215723491</v>
      </c>
      <c r="L53">
        <f>1/(COUNT(SimData1!$C$9:$C$508)-1)+$L$52</f>
        <v>8.8176352705410868E-2</v>
      </c>
      <c r="M53">
        <f>SMALL(SimData1!$D$9:$D$508,45)</f>
        <v>2.3526015890949874</v>
      </c>
      <c r="N53">
        <f>1/(COUNT(SimData1!$D$9:$D$508)-1)+$N$52</f>
        <v>8.8176352705410868E-2</v>
      </c>
      <c r="O53">
        <f>SMALL(SimData1!$E$9:$E$508,45)</f>
        <v>-1.1859054301515841</v>
      </c>
      <c r="P53">
        <f>1/(COUNT(SimData1!$E$9:$E$508)-1)+$P$52</f>
        <v>8.8176352705410868E-2</v>
      </c>
      <c r="Q53">
        <f>SMALL(SimData1!$F$9:$F$508,45)</f>
        <v>0.23</v>
      </c>
      <c r="R53">
        <f>1/(COUNT(SimData1!$F$9:$F$508)-1)+$R$52</f>
        <v>8.8176352705410868E-2</v>
      </c>
      <c r="S53">
        <f>SMALL(SimData1!$G$9:$G$508,45)</f>
        <v>2</v>
      </c>
      <c r="T53">
        <f>1/(COUNT(SimData1!$G$9:$G$508)-1)+$T$52</f>
        <v>8.8176352705410868E-2</v>
      </c>
    </row>
    <row r="54" spans="1:20">
      <c r="A54">
        <v>46</v>
      </c>
      <c r="B54">
        <v>6.2382211056330998</v>
      </c>
      <c r="C54">
        <v>8.4659777645957597</v>
      </c>
      <c r="D54">
        <v>9.3832011717928587</v>
      </c>
      <c r="E54">
        <v>22.558681302517911</v>
      </c>
      <c r="F54">
        <v>0.23</v>
      </c>
      <c r="G54">
        <v>12</v>
      </c>
      <c r="I54">
        <f>SMALL(SimData1!$B$9:$B$508,46)</f>
        <v>6.0063967339290505</v>
      </c>
      <c r="J54">
        <f>1/(COUNT(SimData1!$B$9:$B$508)-1)+$J$53</f>
        <v>9.0180360721442934E-2</v>
      </c>
      <c r="K54">
        <f>SMALL(SimData1!$C$9:$C$508,46)</f>
        <v>2.7285703035054194</v>
      </c>
      <c r="L54">
        <f>1/(COUNT(SimData1!$C$9:$C$508)-1)+$L$53</f>
        <v>9.0180360721442934E-2</v>
      </c>
      <c r="M54">
        <f>SMALL(SimData1!$D$9:$D$508,46)</f>
        <v>2.3634262051962844</v>
      </c>
      <c r="N54">
        <f>1/(COUNT(SimData1!$D$9:$D$508)-1)+$N$53</f>
        <v>9.0180360721442934E-2</v>
      </c>
      <c r="O54">
        <f>SMALL(SimData1!$E$9:$E$508,46)</f>
        <v>-1.1791267671910222</v>
      </c>
      <c r="P54">
        <f>1/(COUNT(SimData1!$E$9:$E$508)-1)+$P$53</f>
        <v>9.0180360721442934E-2</v>
      </c>
      <c r="Q54">
        <f>SMALL(SimData1!$F$9:$F$508,46)</f>
        <v>0.23</v>
      </c>
      <c r="R54">
        <f>1/(COUNT(SimData1!$F$9:$F$508)-1)+$R$53</f>
        <v>9.0180360721442934E-2</v>
      </c>
      <c r="S54">
        <f>SMALL(SimData1!$G$9:$G$508,46)</f>
        <v>2</v>
      </c>
      <c r="T54">
        <f>1/(COUNT(SimData1!$G$9:$G$508)-1)+$T$53</f>
        <v>9.0180360721442934E-2</v>
      </c>
    </row>
    <row r="55" spans="1:20">
      <c r="A55">
        <v>47</v>
      </c>
      <c r="B55">
        <v>10.666918502239728</v>
      </c>
      <c r="C55">
        <v>5.2557291577215608</v>
      </c>
      <c r="D55">
        <v>4.3265797613390209</v>
      </c>
      <c r="E55">
        <v>23.27055973077011</v>
      </c>
      <c r="F55">
        <v>0.23</v>
      </c>
      <c r="G55">
        <v>10</v>
      </c>
      <c r="I55">
        <f>SMALL(SimData1!$B$9:$B$508,47)</f>
        <v>6.0317753711668516</v>
      </c>
      <c r="J55">
        <f>1/(COUNT(SimData1!$B$9:$B$508)-1)+$J$54</f>
        <v>9.2184368737475E-2</v>
      </c>
      <c r="K55">
        <f>SMALL(SimData1!$C$9:$C$508,47)</f>
        <v>2.743792931454208</v>
      </c>
      <c r="L55">
        <f>1/(COUNT(SimData1!$C$9:$C$508)-1)+$L$54</f>
        <v>9.2184368737475E-2</v>
      </c>
      <c r="M55">
        <f>SMALL(SimData1!$D$9:$D$508,47)</f>
        <v>2.3750415826884659</v>
      </c>
      <c r="N55">
        <f>1/(COUNT(SimData1!$D$9:$D$508)-1)+$N$54</f>
        <v>9.2184368737475E-2</v>
      </c>
      <c r="O55">
        <f>SMALL(SimData1!$E$9:$E$508,47)</f>
        <v>-1.175826496218616</v>
      </c>
      <c r="P55">
        <f>1/(COUNT(SimData1!$E$9:$E$508)-1)+$P$54</f>
        <v>9.2184368737475E-2</v>
      </c>
      <c r="Q55">
        <f>SMALL(SimData1!$F$9:$F$508,47)</f>
        <v>0.23</v>
      </c>
      <c r="R55">
        <f>1/(COUNT(SimData1!$F$9:$F$508)-1)+$R$54</f>
        <v>9.2184368737475E-2</v>
      </c>
      <c r="S55">
        <f>SMALL(SimData1!$G$9:$G$508,47)</f>
        <v>2</v>
      </c>
      <c r="T55">
        <f>1/(COUNT(SimData1!$G$9:$G$508)-1)+$T$54</f>
        <v>9.2184368737475E-2</v>
      </c>
    </row>
    <row r="56" spans="1:20">
      <c r="A56">
        <v>48</v>
      </c>
      <c r="B56">
        <v>13.420995305428356</v>
      </c>
      <c r="C56">
        <v>3.0107825433469335</v>
      </c>
      <c r="D56">
        <v>10.013842442718763</v>
      </c>
      <c r="E56">
        <v>21.931461833376982</v>
      </c>
      <c r="F56">
        <v>0.23</v>
      </c>
      <c r="G56">
        <v>4</v>
      </c>
      <c r="I56">
        <f>SMALL(SimData1!$B$9:$B$508,48)</f>
        <v>6.064402576100135</v>
      </c>
      <c r="J56">
        <f>1/(COUNT(SimData1!$B$9:$B$508)-1)+$J$55</f>
        <v>9.4188376753507067E-2</v>
      </c>
      <c r="K56">
        <f>SMALL(SimData1!$C$9:$C$508,48)</f>
        <v>2.7575683299763054</v>
      </c>
      <c r="L56">
        <f>1/(COUNT(SimData1!$C$9:$C$508)-1)+$L$55</f>
        <v>9.4188376753507067E-2</v>
      </c>
      <c r="M56">
        <f>SMALL(SimData1!$D$9:$D$508,48)</f>
        <v>2.3815607034204436</v>
      </c>
      <c r="N56">
        <f>1/(COUNT(SimData1!$D$9:$D$508)-1)+$N$55</f>
        <v>9.4188376753507067E-2</v>
      </c>
      <c r="O56">
        <f>SMALL(SimData1!$E$9:$E$508,48)</f>
        <v>-1.168142901532859</v>
      </c>
      <c r="P56">
        <f>1/(COUNT(SimData1!$E$9:$E$508)-1)+$P$55</f>
        <v>9.4188376753507067E-2</v>
      </c>
      <c r="Q56">
        <f>SMALL(SimData1!$F$9:$F$508,48)</f>
        <v>0.23</v>
      </c>
      <c r="R56">
        <f>1/(COUNT(SimData1!$F$9:$F$508)-1)+$R$55</f>
        <v>9.4188376753507067E-2</v>
      </c>
      <c r="S56">
        <f>SMALL(SimData1!$G$9:$G$508,48)</f>
        <v>2</v>
      </c>
      <c r="T56">
        <f>1/(COUNT(SimData1!$G$9:$G$508)-1)+$T$55</f>
        <v>9.4188376753507067E-2</v>
      </c>
    </row>
    <row r="57" spans="1:20">
      <c r="A57">
        <v>49</v>
      </c>
      <c r="B57">
        <v>7.911070976064682</v>
      </c>
      <c r="C57">
        <v>4.2912043201036765</v>
      </c>
      <c r="D57">
        <v>7.3942907855180771</v>
      </c>
      <c r="E57">
        <v>23.712652408330996</v>
      </c>
      <c r="F57">
        <v>0.23</v>
      </c>
      <c r="G57">
        <v>12</v>
      </c>
      <c r="I57">
        <f>SMALL(SimData1!$B$9:$B$508,49)</f>
        <v>6.0888036754602437</v>
      </c>
      <c r="J57">
        <f>1/(COUNT(SimData1!$B$9:$B$508)-1)+$J$56</f>
        <v>9.6192384769539133E-2</v>
      </c>
      <c r="K57">
        <f>SMALL(SimData1!$C$9:$C$508,49)</f>
        <v>2.7752872310074248</v>
      </c>
      <c r="L57">
        <f>1/(COUNT(SimData1!$C$9:$C$508)-1)+$L$56</f>
        <v>9.6192384769539133E-2</v>
      </c>
      <c r="M57">
        <f>SMALL(SimData1!$D$9:$D$508,49)</f>
        <v>2.3874575401515368</v>
      </c>
      <c r="N57">
        <f>1/(COUNT(SimData1!$D$9:$D$508)-1)+$N$56</f>
        <v>9.6192384769539133E-2</v>
      </c>
      <c r="O57">
        <f>SMALL(SimData1!$E$9:$E$508,49)</f>
        <v>-1.1600295748628304</v>
      </c>
      <c r="P57">
        <f>1/(COUNT(SimData1!$E$9:$E$508)-1)+$P$56</f>
        <v>9.6192384769539133E-2</v>
      </c>
      <c r="Q57">
        <f>SMALL(SimData1!$F$9:$F$508,49)</f>
        <v>0.23</v>
      </c>
      <c r="R57">
        <f>1/(COUNT(SimData1!$F$9:$F$508)-1)+$R$56</f>
        <v>9.6192384769539133E-2</v>
      </c>
      <c r="S57">
        <f>SMALL(SimData1!$G$9:$G$508,49)</f>
        <v>2</v>
      </c>
      <c r="T57">
        <f>1/(COUNT(SimData1!$G$9:$G$508)-1)+$T$56</f>
        <v>9.6192384769539133E-2</v>
      </c>
    </row>
    <row r="58" spans="1:20">
      <c r="A58">
        <v>50</v>
      </c>
      <c r="B58">
        <v>9.4488589818302806</v>
      </c>
      <c r="C58">
        <v>5.1332218128287286</v>
      </c>
      <c r="D58">
        <v>10.730338046134063</v>
      </c>
      <c r="E58">
        <v>22.464776908362722</v>
      </c>
      <c r="F58">
        <v>0.23</v>
      </c>
      <c r="G58">
        <v>6</v>
      </c>
      <c r="I58">
        <f>SMALL(SimData1!$B$9:$B$508,50)</f>
        <v>6.1420892397111864</v>
      </c>
      <c r="J58">
        <f>1/(COUNT(SimData1!$B$9:$B$508)-1)+$J$57</f>
        <v>9.8196392785571199E-2</v>
      </c>
      <c r="K58">
        <f>SMALL(SimData1!$C$9:$C$508,50)</f>
        <v>2.7889565663013971</v>
      </c>
      <c r="L58">
        <f>1/(COUNT(SimData1!$C$9:$C$508)-1)+$L$57</f>
        <v>9.8196392785571199E-2</v>
      </c>
      <c r="M58">
        <f>SMALL(SimData1!$D$9:$D$508,50)</f>
        <v>2.3997021707481943</v>
      </c>
      <c r="N58">
        <f>1/(COUNT(SimData1!$D$9:$D$508)-1)+$N$57</f>
        <v>9.8196392785571199E-2</v>
      </c>
      <c r="O58">
        <f>SMALL(SimData1!$E$9:$E$508,50)</f>
        <v>-1.150211452763547</v>
      </c>
      <c r="P58">
        <f>1/(COUNT(SimData1!$E$9:$E$508)-1)+$P$57</f>
        <v>9.8196392785571199E-2</v>
      </c>
      <c r="Q58">
        <f>SMALL(SimData1!$F$9:$F$508,50)</f>
        <v>0.23</v>
      </c>
      <c r="R58">
        <f>1/(COUNT(SimData1!$F$9:$F$508)-1)+$R$57</f>
        <v>9.8196392785571199E-2</v>
      </c>
      <c r="S58">
        <f>SMALL(SimData1!$G$9:$G$508,50)</f>
        <v>2</v>
      </c>
      <c r="T58">
        <f>1/(COUNT(SimData1!$G$9:$G$508)-1)+$T$57</f>
        <v>9.8196392785571199E-2</v>
      </c>
    </row>
    <row r="59" spans="1:20">
      <c r="A59">
        <v>51</v>
      </c>
      <c r="B59">
        <v>12.194221186598837</v>
      </c>
      <c r="C59">
        <v>6.6529765139848402</v>
      </c>
      <c r="D59">
        <v>14.50479083914701</v>
      </c>
      <c r="E59">
        <v>23.497153348804051</v>
      </c>
      <c r="F59">
        <v>0.23</v>
      </c>
      <c r="G59">
        <v>9</v>
      </c>
      <c r="I59">
        <f>SMALL(SimData1!$B$9:$B$508,51)</f>
        <v>6.1803421048245601</v>
      </c>
      <c r="J59">
        <f>1/(COUNT(SimData1!$B$9:$B$508)-1)+$J$58</f>
        <v>0.10020040080160326</v>
      </c>
      <c r="K59">
        <f>SMALL(SimData1!$C$9:$C$508,51)</f>
        <v>2.8012472755092306</v>
      </c>
      <c r="L59">
        <f>1/(COUNT(SimData1!$C$9:$C$508)-1)+$L$58</f>
        <v>0.10020040080160326</v>
      </c>
      <c r="M59">
        <f>SMALL(SimData1!$D$9:$D$508,51)</f>
        <v>2.4052315683879963</v>
      </c>
      <c r="N59">
        <f>1/(COUNT(SimData1!$D$9:$D$508)-1)+$N$58</f>
        <v>0.10020040080160326</v>
      </c>
      <c r="O59">
        <f>SMALL(SimData1!$E$9:$E$508,51)</f>
        <v>-1.1461659036242113</v>
      </c>
      <c r="P59">
        <f>1/(COUNT(SimData1!$E$9:$E$508)-1)+$P$58</f>
        <v>0.10020040080160326</v>
      </c>
      <c r="Q59">
        <f>SMALL(SimData1!$F$9:$F$508,51)</f>
        <v>0.23</v>
      </c>
      <c r="R59">
        <f>1/(COUNT(SimData1!$F$9:$F$508)-1)+$R$58</f>
        <v>0.10020040080160326</v>
      </c>
      <c r="S59">
        <f>SMALL(SimData1!$G$9:$G$508,51)</f>
        <v>2</v>
      </c>
      <c r="T59">
        <f>1/(COUNT(SimData1!$G$9:$G$508)-1)+$T$58</f>
        <v>0.10020040080160326</v>
      </c>
    </row>
    <row r="60" spans="1:20">
      <c r="A60">
        <v>52</v>
      </c>
      <c r="B60">
        <v>7.7018383527156242</v>
      </c>
      <c r="C60">
        <v>5.3097713545741918</v>
      </c>
      <c r="D60">
        <v>14.368589217895781</v>
      </c>
      <c r="E60">
        <v>-0.91593746502369933</v>
      </c>
      <c r="F60">
        <v>0.23</v>
      </c>
      <c r="G60">
        <v>6</v>
      </c>
      <c r="I60">
        <f>SMALL(SimData1!$B$9:$B$508,52)</f>
        <v>6.2160400756334511</v>
      </c>
      <c r="J60">
        <f>1/(COUNT(SimData1!$B$9:$B$508)-1)+$J$59</f>
        <v>0.10220440881763533</v>
      </c>
      <c r="K60">
        <f>SMALL(SimData1!$C$9:$C$508,52)</f>
        <v>2.8311581918408999</v>
      </c>
      <c r="L60">
        <f>1/(COUNT(SimData1!$C$9:$C$508)-1)+$L$59</f>
        <v>0.10220440881763533</v>
      </c>
      <c r="M60">
        <f>SMALL(SimData1!$D$9:$D$508,52)</f>
        <v>2.4148849716724095</v>
      </c>
      <c r="N60">
        <f>1/(COUNT(SimData1!$D$9:$D$508)-1)+$N$59</f>
        <v>0.10220440881763533</v>
      </c>
      <c r="O60">
        <f>SMALL(SimData1!$E$9:$E$508,52)</f>
        <v>-1.1422030685113689</v>
      </c>
      <c r="P60">
        <f>1/(COUNT(SimData1!$E$9:$E$508)-1)+$P$59</f>
        <v>0.10220440881763533</v>
      </c>
      <c r="Q60">
        <f>SMALL(SimData1!$F$9:$F$508,52)</f>
        <v>0.23</v>
      </c>
      <c r="R60">
        <f>1/(COUNT(SimData1!$F$9:$F$508)-1)+$R$59</f>
        <v>0.10220440881763533</v>
      </c>
      <c r="S60">
        <f>SMALL(SimData1!$G$9:$G$508,52)</f>
        <v>2</v>
      </c>
      <c r="T60">
        <f>1/(COUNT(SimData1!$G$9:$G$508)-1)+$T$59</f>
        <v>0.10220440881763533</v>
      </c>
    </row>
    <row r="61" spans="1:20">
      <c r="A61">
        <v>53</v>
      </c>
      <c r="B61">
        <v>10.808221358862134</v>
      </c>
      <c r="C61">
        <v>6.3132865897066157</v>
      </c>
      <c r="D61">
        <v>13.50731004368032</v>
      </c>
      <c r="E61">
        <v>-1.2428325682834633</v>
      </c>
      <c r="F61">
        <v>0.23</v>
      </c>
      <c r="G61">
        <v>2</v>
      </c>
      <c r="I61">
        <f>SMALL(SimData1!$B$9:$B$508,53)</f>
        <v>6.2382211056330998</v>
      </c>
      <c r="J61">
        <f>1/(COUNT(SimData1!$B$9:$B$508)-1)+$J$60</f>
        <v>0.1042084168336674</v>
      </c>
      <c r="K61">
        <f>SMALL(SimData1!$C$9:$C$508,53)</f>
        <v>2.8385329648606792</v>
      </c>
      <c r="L61">
        <f>1/(COUNT(SimData1!$C$9:$C$508)-1)+$L$60</f>
        <v>0.1042084168336674</v>
      </c>
      <c r="M61">
        <f>SMALL(SimData1!$D$9:$D$508,53)</f>
        <v>2.4173345787416527</v>
      </c>
      <c r="N61">
        <f>1/(COUNT(SimData1!$D$9:$D$508)-1)+$N$60</f>
        <v>0.1042084168336674</v>
      </c>
      <c r="O61">
        <f>SMALL(SimData1!$E$9:$E$508,53)</f>
        <v>-1.1312797078244614</v>
      </c>
      <c r="P61">
        <f>1/(COUNT(SimData1!$E$9:$E$508)-1)+$P$60</f>
        <v>0.1042084168336674</v>
      </c>
      <c r="Q61">
        <f>SMALL(SimData1!$F$9:$F$508,53)</f>
        <v>0.23</v>
      </c>
      <c r="R61">
        <f>1/(COUNT(SimData1!$F$9:$F$508)-1)+$R$60</f>
        <v>0.1042084168336674</v>
      </c>
      <c r="S61">
        <f>SMALL(SimData1!$G$9:$G$508,53)</f>
        <v>2</v>
      </c>
      <c r="T61">
        <f>1/(COUNT(SimData1!$G$9:$G$508)-1)+$T$60</f>
        <v>0.1042084168336674</v>
      </c>
    </row>
    <row r="62" spans="1:20">
      <c r="A62">
        <v>54</v>
      </c>
      <c r="B62">
        <v>11.716200418484588</v>
      </c>
      <c r="C62">
        <v>6.4257025902927163</v>
      </c>
      <c r="D62">
        <v>10.71527123706864</v>
      </c>
      <c r="E62">
        <v>23.620368381868808</v>
      </c>
      <c r="F62">
        <v>0.23</v>
      </c>
      <c r="G62">
        <v>6</v>
      </c>
      <c r="I62">
        <f>SMALL(SimData1!$B$9:$B$508,54)</f>
        <v>6.2790106570414475</v>
      </c>
      <c r="J62">
        <f>1/(COUNT(SimData1!$B$9:$B$508)-1)+$J$61</f>
        <v>0.10621242484969946</v>
      </c>
      <c r="K62">
        <f>SMALL(SimData1!$C$9:$C$508,54)</f>
        <v>2.8588632169689197</v>
      </c>
      <c r="L62">
        <f>1/(COUNT(SimData1!$C$9:$C$508)-1)+$L$61</f>
        <v>0.10621242484969946</v>
      </c>
      <c r="M62">
        <f>SMALL(SimData1!$D$9:$D$508,54)</f>
        <v>2.4291219936360422</v>
      </c>
      <c r="N62">
        <f>1/(COUNT(SimData1!$D$9:$D$508)-1)+$N$61</f>
        <v>0.10621242484969946</v>
      </c>
      <c r="O62">
        <f>SMALL(SimData1!$E$9:$E$508,54)</f>
        <v>-1.1251985781951412</v>
      </c>
      <c r="P62">
        <f>1/(COUNT(SimData1!$E$9:$E$508)-1)+$P$61</f>
        <v>0.10621242484969946</v>
      </c>
      <c r="Q62">
        <f>SMALL(SimData1!$F$9:$F$508,54)</f>
        <v>0.23</v>
      </c>
      <c r="R62">
        <f>1/(COUNT(SimData1!$F$9:$F$508)-1)+$R$61</f>
        <v>0.10621242484969946</v>
      </c>
      <c r="S62">
        <f>SMALL(SimData1!$G$9:$G$508,54)</f>
        <v>2</v>
      </c>
      <c r="T62">
        <f>1/(COUNT(SimData1!$G$9:$G$508)-1)+$T$61</f>
        <v>0.10621242484969946</v>
      </c>
    </row>
    <row r="63" spans="1:20">
      <c r="A63">
        <v>55</v>
      </c>
      <c r="B63">
        <v>8.4328549808819169</v>
      </c>
      <c r="C63">
        <v>2.6855285028027205</v>
      </c>
      <c r="D63">
        <v>13.111422477230295</v>
      </c>
      <c r="E63">
        <v>22.203703368884948</v>
      </c>
      <c r="F63">
        <v>0.23</v>
      </c>
      <c r="G63">
        <v>12</v>
      </c>
      <c r="I63">
        <f>SMALL(SimData1!$B$9:$B$508,55)</f>
        <v>6.2897762039798479</v>
      </c>
      <c r="J63">
        <f>1/(COUNT(SimData1!$B$9:$B$508)-1)+$J$62</f>
        <v>0.10821643286573153</v>
      </c>
      <c r="K63">
        <f>SMALL(SimData1!$C$9:$C$508,55)</f>
        <v>2.8730280890262287</v>
      </c>
      <c r="L63">
        <f>1/(COUNT(SimData1!$C$9:$C$508)-1)+$L$62</f>
        <v>0.10821643286573153</v>
      </c>
      <c r="M63">
        <f>SMALL(SimData1!$D$9:$D$508,55)</f>
        <v>2.4365311545237271</v>
      </c>
      <c r="N63">
        <f>1/(COUNT(SimData1!$D$9:$D$508)-1)+$N$62</f>
        <v>0.10821643286573153</v>
      </c>
      <c r="O63">
        <f>SMALL(SimData1!$E$9:$E$508,55)</f>
        <v>-1.1179874095961282</v>
      </c>
      <c r="P63">
        <f>1/(COUNT(SimData1!$E$9:$E$508)-1)+$P$62</f>
        <v>0.10821643286573153</v>
      </c>
      <c r="Q63">
        <f>SMALL(SimData1!$F$9:$F$508,55)</f>
        <v>0.23</v>
      </c>
      <c r="R63">
        <f>1/(COUNT(SimData1!$F$9:$F$508)-1)+$R$62</f>
        <v>0.10821643286573153</v>
      </c>
      <c r="S63">
        <f>SMALL(SimData1!$G$9:$G$508,55)</f>
        <v>2</v>
      </c>
      <c r="T63">
        <f>1/(COUNT(SimData1!$G$9:$G$508)-1)+$T$62</f>
        <v>0.10821643286573153</v>
      </c>
    </row>
    <row r="64" spans="1:20">
      <c r="A64">
        <v>56</v>
      </c>
      <c r="B64">
        <v>12.50033211893011</v>
      </c>
      <c r="C64">
        <v>2.4271916972238552</v>
      </c>
      <c r="D64">
        <v>4.4264404985742738</v>
      </c>
      <c r="E64">
        <v>-0.50786479282972408</v>
      </c>
      <c r="F64">
        <v>0.23</v>
      </c>
      <c r="G64">
        <v>2</v>
      </c>
      <c r="I64">
        <f>SMALL(SimData1!$B$9:$B$508,56)</f>
        <v>6.3322468145910715</v>
      </c>
      <c r="J64">
        <f>1/(COUNT(SimData1!$B$9:$B$508)-1)+$J$63</f>
        <v>0.1102204408817636</v>
      </c>
      <c r="K64">
        <f>SMALL(SimData1!$C$9:$C$508,56)</f>
        <v>2.8817129641514532</v>
      </c>
      <c r="L64">
        <f>1/(COUNT(SimData1!$C$9:$C$508)-1)+$L$63</f>
        <v>0.1102204408817636</v>
      </c>
      <c r="M64">
        <f>SMALL(SimData1!$D$9:$D$508,56)</f>
        <v>2.4407962154338128</v>
      </c>
      <c r="N64">
        <f>1/(COUNT(SimData1!$D$9:$D$508)-1)+$N$63</f>
        <v>0.1102204408817636</v>
      </c>
      <c r="O64">
        <f>SMALL(SimData1!$E$9:$E$508,56)</f>
        <v>-1.1145453231668105</v>
      </c>
      <c r="P64">
        <f>1/(COUNT(SimData1!$E$9:$E$508)-1)+$P$63</f>
        <v>0.1102204408817636</v>
      </c>
      <c r="Q64">
        <f>SMALL(SimData1!$F$9:$F$508,56)</f>
        <v>0.23</v>
      </c>
      <c r="R64">
        <f>1/(COUNT(SimData1!$F$9:$F$508)-1)+$R$63</f>
        <v>0.1102204408817636</v>
      </c>
      <c r="S64">
        <f>SMALL(SimData1!$G$9:$G$508,56)</f>
        <v>2</v>
      </c>
      <c r="T64">
        <f>1/(COUNT(SimData1!$G$9:$G$508)-1)+$T$63</f>
        <v>0.1102204408817636</v>
      </c>
    </row>
    <row r="65" spans="1:20">
      <c r="A65">
        <v>57</v>
      </c>
      <c r="B65">
        <v>6.7007434589571622</v>
      </c>
      <c r="C65">
        <v>9.7893245343634216</v>
      </c>
      <c r="D65">
        <v>10.139987403505479</v>
      </c>
      <c r="E65">
        <v>-0.32902990002600596</v>
      </c>
      <c r="F65">
        <v>0.23</v>
      </c>
      <c r="G65">
        <v>10</v>
      </c>
      <c r="I65">
        <f>SMALL(SimData1!$B$9:$B$508,57)</f>
        <v>6.3803287677678249</v>
      </c>
      <c r="J65">
        <f>1/(COUNT(SimData1!$B$9:$B$508)-1)+$J$64</f>
        <v>0.11222444889779566</v>
      </c>
      <c r="K65">
        <f>SMALL(SimData1!$C$9:$C$508,57)</f>
        <v>2.9104363929849204</v>
      </c>
      <c r="L65">
        <f>1/(COUNT(SimData1!$C$9:$C$508)-1)+$L$64</f>
        <v>0.11222444889779566</v>
      </c>
      <c r="M65">
        <f>SMALL(SimData1!$D$9:$D$508,57)</f>
        <v>2.452184235659471</v>
      </c>
      <c r="N65">
        <f>1/(COUNT(SimData1!$D$9:$D$508)-1)+$N$64</f>
        <v>0.11222444889779566</v>
      </c>
      <c r="O65">
        <f>SMALL(SimData1!$E$9:$E$508,57)</f>
        <v>-1.1058779942825456</v>
      </c>
      <c r="P65">
        <f>1/(COUNT(SimData1!$E$9:$E$508)-1)+$P$64</f>
        <v>0.11222444889779566</v>
      </c>
      <c r="Q65">
        <f>SMALL(SimData1!$F$9:$F$508,57)</f>
        <v>0.23</v>
      </c>
      <c r="R65">
        <f>1/(COUNT(SimData1!$F$9:$F$508)-1)+$R$64</f>
        <v>0.11222444889779566</v>
      </c>
      <c r="S65">
        <f>SMALL(SimData1!$G$9:$G$508,57)</f>
        <v>2</v>
      </c>
      <c r="T65">
        <f>1/(COUNT(SimData1!$G$9:$G$508)-1)+$T$64</f>
        <v>0.11222444889779566</v>
      </c>
    </row>
    <row r="66" spans="1:20">
      <c r="A66">
        <v>58</v>
      </c>
      <c r="B66">
        <v>7.0990053930375661</v>
      </c>
      <c r="C66">
        <v>3.5664502539258569</v>
      </c>
      <c r="D66">
        <v>2.4672818825569194</v>
      </c>
      <c r="E66">
        <v>22.198273866171007</v>
      </c>
      <c r="F66">
        <v>0.23</v>
      </c>
      <c r="G66">
        <v>2</v>
      </c>
      <c r="I66">
        <f>SMALL(SimData1!$B$9:$B$508,58)</f>
        <v>6.4040008557390173</v>
      </c>
      <c r="J66">
        <f>1/(COUNT(SimData1!$B$9:$B$508)-1)+$J$65</f>
        <v>0.11422845691382773</v>
      </c>
      <c r="K66">
        <f>SMALL(SimData1!$C$9:$C$508,58)</f>
        <v>2.9225680163639058</v>
      </c>
      <c r="L66">
        <f>1/(COUNT(SimData1!$C$9:$C$508)-1)+$L$65</f>
        <v>0.11422845691382773</v>
      </c>
      <c r="M66">
        <f>SMALL(SimData1!$D$9:$D$508,58)</f>
        <v>2.4625537825521437</v>
      </c>
      <c r="N66">
        <f>1/(COUNT(SimData1!$D$9:$D$508)-1)+$N$65</f>
        <v>0.11422845691382773</v>
      </c>
      <c r="O66">
        <f>SMALL(SimData1!$E$9:$E$508,58)</f>
        <v>-1.0969880799380585</v>
      </c>
      <c r="P66">
        <f>1/(COUNT(SimData1!$E$9:$E$508)-1)+$P$65</f>
        <v>0.11422845691382773</v>
      </c>
      <c r="Q66">
        <f>SMALL(SimData1!$F$9:$F$508,58)</f>
        <v>0.23</v>
      </c>
      <c r="R66">
        <f>1/(COUNT(SimData1!$F$9:$F$508)-1)+$R$65</f>
        <v>0.11422845691382773</v>
      </c>
      <c r="S66">
        <f>SMALL(SimData1!$G$9:$G$508,58)</f>
        <v>2</v>
      </c>
      <c r="T66">
        <f>1/(COUNT(SimData1!$G$9:$G$508)-1)+$T$65</f>
        <v>0.11422845691382773</v>
      </c>
    </row>
    <row r="67" spans="1:20">
      <c r="A67">
        <v>59</v>
      </c>
      <c r="B67">
        <v>12.915211328739355</v>
      </c>
      <c r="C67">
        <v>7.1544381909711374</v>
      </c>
      <c r="D67">
        <v>10.453961270294609</v>
      </c>
      <c r="E67">
        <v>22.570221752297293</v>
      </c>
      <c r="F67">
        <v>0.23</v>
      </c>
      <c r="G67">
        <v>9</v>
      </c>
      <c r="I67">
        <f>SMALL(SimData1!$B$9:$B$508,59)</f>
        <v>6.4383949844568669</v>
      </c>
      <c r="J67">
        <f>1/(COUNT(SimData1!$B$9:$B$508)-1)+$J$66</f>
        <v>0.11623246492985979</v>
      </c>
      <c r="K67">
        <f>SMALL(SimData1!$C$9:$C$508,59)</f>
        <v>2.9308248041725777</v>
      </c>
      <c r="L67">
        <f>1/(COUNT(SimData1!$C$9:$C$508)-1)+$L$66</f>
        <v>0.11623246492985979</v>
      </c>
      <c r="M67">
        <f>SMALL(SimData1!$D$9:$D$508,59)</f>
        <v>2.4672818825569194</v>
      </c>
      <c r="N67">
        <f>1/(COUNT(SimData1!$D$9:$D$508)-1)+$N$66</f>
        <v>0.11623246492985979</v>
      </c>
      <c r="O67">
        <f>SMALL(SimData1!$E$9:$E$508,59)</f>
        <v>-1.0916976349186975</v>
      </c>
      <c r="P67">
        <f>1/(COUNT(SimData1!$E$9:$E$508)-1)+$P$66</f>
        <v>0.11623246492985979</v>
      </c>
      <c r="Q67">
        <f>SMALL(SimData1!$F$9:$F$508,59)</f>
        <v>0.23</v>
      </c>
      <c r="R67">
        <f>1/(COUNT(SimData1!$F$9:$F$508)-1)+$R$66</f>
        <v>0.11623246492985979</v>
      </c>
      <c r="S67">
        <f>SMALL(SimData1!$G$9:$G$508,59)</f>
        <v>2</v>
      </c>
      <c r="T67">
        <f>1/(COUNT(SimData1!$G$9:$G$508)-1)+$T$66</f>
        <v>0.11623246492985979</v>
      </c>
    </row>
    <row r="68" spans="1:20">
      <c r="A68">
        <v>60</v>
      </c>
      <c r="B68">
        <v>6.0888036754602437</v>
      </c>
      <c r="C68">
        <v>3.4143363550171104</v>
      </c>
      <c r="D68">
        <v>2.6998678906773845</v>
      </c>
      <c r="E68">
        <v>23.989838998681872</v>
      </c>
      <c r="F68">
        <v>0.23</v>
      </c>
      <c r="G68">
        <v>4</v>
      </c>
      <c r="I68">
        <f>SMALL(SimData1!$B$9:$B$508,60)</f>
        <v>6.4583456314839172</v>
      </c>
      <c r="J68">
        <f>1/(COUNT(SimData1!$B$9:$B$508)-1)+$J$67</f>
        <v>0.11823647294589186</v>
      </c>
      <c r="K68">
        <f>SMALL(SimData1!$C$9:$C$508,60)</f>
        <v>2.9579952565538683</v>
      </c>
      <c r="L68">
        <f>1/(COUNT(SimData1!$C$9:$C$508)-1)+$L$67</f>
        <v>0.11823647294589186</v>
      </c>
      <c r="M68">
        <f>SMALL(SimData1!$D$9:$D$508,60)</f>
        <v>2.4786828632947717</v>
      </c>
      <c r="N68">
        <f>1/(COUNT(SimData1!$D$9:$D$508)-1)+$N$67</f>
        <v>0.11823647294589186</v>
      </c>
      <c r="O68">
        <f>SMALL(SimData1!$E$9:$E$508,60)</f>
        <v>-1.0805109666973811</v>
      </c>
      <c r="P68">
        <f>1/(COUNT(SimData1!$E$9:$E$508)-1)+$P$67</f>
        <v>0.11823647294589186</v>
      </c>
      <c r="Q68">
        <f>SMALL(SimData1!$F$9:$F$508,60)</f>
        <v>0.23</v>
      </c>
      <c r="R68">
        <f>1/(COUNT(SimData1!$F$9:$F$508)-1)+$R$67</f>
        <v>0.11823647294589186</v>
      </c>
      <c r="S68">
        <f>SMALL(SimData1!$G$9:$G$508,60)</f>
        <v>2</v>
      </c>
      <c r="T68">
        <f>1/(COUNT(SimData1!$G$9:$G$508)-1)+$T$67</f>
        <v>0.11823647294589186</v>
      </c>
    </row>
    <row r="69" spans="1:20">
      <c r="A69">
        <v>61</v>
      </c>
      <c r="B69">
        <v>9.4092842311359242</v>
      </c>
      <c r="C69">
        <v>6.8370440599147795</v>
      </c>
      <c r="D69">
        <v>7.6391694063877624</v>
      </c>
      <c r="E69">
        <v>-1.4880122975532557</v>
      </c>
      <c r="F69">
        <v>0.23</v>
      </c>
      <c r="G69">
        <v>10</v>
      </c>
      <c r="I69">
        <f>SMALL(SimData1!$B$9:$B$508,61)</f>
        <v>6.4955015004934946</v>
      </c>
      <c r="J69">
        <f>1/(COUNT(SimData1!$B$9:$B$508)-1)+$J$68</f>
        <v>0.12024048096192393</v>
      </c>
      <c r="K69">
        <f>SMALL(SimData1!$C$9:$C$508,61)</f>
        <v>2.9739333391147511</v>
      </c>
      <c r="L69">
        <f>1/(COUNT(SimData1!$C$9:$C$508)-1)+$L$68</f>
        <v>0.12024048096192393</v>
      </c>
      <c r="M69">
        <f>SMALL(SimData1!$D$9:$D$508,61)</f>
        <v>2.4859323074105037</v>
      </c>
      <c r="N69">
        <f>1/(COUNT(SimData1!$D$9:$D$508)-1)+$N$68</f>
        <v>0.12024048096192393</v>
      </c>
      <c r="O69">
        <f>SMALL(SimData1!$E$9:$E$508,61)</f>
        <v>-1.0748363978882562</v>
      </c>
      <c r="P69">
        <f>1/(COUNT(SimData1!$E$9:$E$508)-1)+$P$68</f>
        <v>0.12024048096192393</v>
      </c>
      <c r="Q69">
        <f>SMALL(SimData1!$F$9:$F$508,61)</f>
        <v>0.23</v>
      </c>
      <c r="R69">
        <f>1/(COUNT(SimData1!$F$9:$F$508)-1)+$R$68</f>
        <v>0.12024048096192393</v>
      </c>
      <c r="S69">
        <f>SMALL(SimData1!$G$9:$G$508,61)</f>
        <v>2</v>
      </c>
      <c r="T69">
        <f>1/(COUNT(SimData1!$G$9:$G$508)-1)+$T$68</f>
        <v>0.12024048096192393</v>
      </c>
    </row>
    <row r="70" spans="1:20">
      <c r="A70">
        <v>62</v>
      </c>
      <c r="B70">
        <v>12.847024472081884</v>
      </c>
      <c r="C70">
        <v>4.3513757748602364</v>
      </c>
      <c r="D70">
        <v>16.873893116262249</v>
      </c>
      <c r="E70">
        <v>22.708774471305738</v>
      </c>
      <c r="F70">
        <v>0.23</v>
      </c>
      <c r="G70">
        <v>9</v>
      </c>
      <c r="I70">
        <f>SMALL(SimData1!$B$9:$B$508,62)</f>
        <v>6.5224907017478602</v>
      </c>
      <c r="J70">
        <f>1/(COUNT(SimData1!$B$9:$B$508)-1)+$J$69</f>
        <v>0.12224448897795599</v>
      </c>
      <c r="K70">
        <f>SMALL(SimData1!$C$9:$C$508,62)</f>
        <v>2.9901351030911636</v>
      </c>
      <c r="L70">
        <f>1/(COUNT(SimData1!$C$9:$C$508)-1)+$L$69</f>
        <v>0.12224448897795599</v>
      </c>
      <c r="M70">
        <f>SMALL(SimData1!$D$9:$D$508,62)</f>
        <v>2.4885291938969236</v>
      </c>
      <c r="N70">
        <f>1/(COUNT(SimData1!$D$9:$D$508)-1)+$N$69</f>
        <v>0.12224448897795599</v>
      </c>
      <c r="O70">
        <f>SMALL(SimData1!$E$9:$E$508,62)</f>
        <v>-1.0727708923154859</v>
      </c>
      <c r="P70">
        <f>1/(COUNT(SimData1!$E$9:$E$508)-1)+$P$69</f>
        <v>0.12224448897795599</v>
      </c>
      <c r="Q70">
        <f>SMALL(SimData1!$F$9:$F$508,62)</f>
        <v>0.23</v>
      </c>
      <c r="R70">
        <f>1/(COUNT(SimData1!$F$9:$F$508)-1)+$R$69</f>
        <v>0.12224448897795599</v>
      </c>
      <c r="S70">
        <f>SMALL(SimData1!$G$9:$G$508,62)</f>
        <v>2</v>
      </c>
      <c r="T70">
        <f>1/(COUNT(SimData1!$G$9:$G$508)-1)+$T$69</f>
        <v>0.12224448897795599</v>
      </c>
    </row>
    <row r="71" spans="1:20">
      <c r="A71">
        <v>63</v>
      </c>
      <c r="B71">
        <v>13.200912148358533</v>
      </c>
      <c r="C71">
        <v>8.7512624122573204</v>
      </c>
      <c r="D71">
        <v>4.0105675158674288</v>
      </c>
      <c r="E71">
        <v>-0.62742798375292785</v>
      </c>
      <c r="F71">
        <v>0.23</v>
      </c>
      <c r="G71">
        <v>6</v>
      </c>
      <c r="I71">
        <f>SMALL(SimData1!$B$9:$B$508,63)</f>
        <v>6.535966596091523</v>
      </c>
      <c r="J71">
        <f>1/(COUNT(SimData1!$B$9:$B$508)-1)+$J$70</f>
        <v>0.12424849699398806</v>
      </c>
      <c r="K71">
        <f>SMALL(SimData1!$C$9:$C$508,63)</f>
        <v>2.9945646580985201</v>
      </c>
      <c r="L71">
        <f>1/(COUNT(SimData1!$C$9:$C$508)-1)+$L$70</f>
        <v>0.12424849699398806</v>
      </c>
      <c r="M71">
        <f>SMALL(SimData1!$D$9:$D$508,63)</f>
        <v>2.4964476104752271</v>
      </c>
      <c r="N71">
        <f>1/(COUNT(SimData1!$D$9:$D$508)-1)+$N$70</f>
        <v>0.12424849699398806</v>
      </c>
      <c r="O71">
        <f>SMALL(SimData1!$E$9:$E$508,63)</f>
        <v>-1.0650120334054736</v>
      </c>
      <c r="P71">
        <f>1/(COUNT(SimData1!$E$9:$E$508)-1)+$P$70</f>
        <v>0.12424849699398806</v>
      </c>
      <c r="Q71">
        <f>SMALL(SimData1!$F$9:$F$508,63)</f>
        <v>0.23</v>
      </c>
      <c r="R71">
        <f>1/(COUNT(SimData1!$F$9:$F$508)-1)+$R$70</f>
        <v>0.12424849699398806</v>
      </c>
      <c r="S71">
        <f>SMALL(SimData1!$G$9:$G$508,63)</f>
        <v>2</v>
      </c>
      <c r="T71">
        <f>1/(COUNT(SimData1!$G$9:$G$508)-1)+$T$70</f>
        <v>0.12424849699398806</v>
      </c>
    </row>
    <row r="72" spans="1:20">
      <c r="A72">
        <v>64</v>
      </c>
      <c r="B72">
        <v>8.2386742818494625</v>
      </c>
      <c r="C72">
        <v>6.9452628680992081</v>
      </c>
      <c r="D72">
        <v>12.417959315242701</v>
      </c>
      <c r="E72">
        <v>-5.8320427841626721E-2</v>
      </c>
      <c r="F72">
        <v>0.23</v>
      </c>
      <c r="G72">
        <v>12</v>
      </c>
      <c r="I72">
        <f>SMALL(SimData1!$B$9:$B$508,64)</f>
        <v>6.5860977983130677</v>
      </c>
      <c r="J72">
        <f>1/(COUNT(SimData1!$B$9:$B$508)-1)+$J$71</f>
        <v>0.12625250501002011</v>
      </c>
      <c r="K72">
        <f>SMALL(SimData1!$C$9:$C$508,64)</f>
        <v>3.0107825433469335</v>
      </c>
      <c r="L72">
        <f>1/(COUNT(SimData1!$C$9:$C$508)-1)+$L$71</f>
        <v>0.12625250501002011</v>
      </c>
      <c r="M72">
        <f>SMALL(SimData1!$D$9:$D$508,64)</f>
        <v>2.5280634633470478</v>
      </c>
      <c r="N72">
        <f>1/(COUNT(SimData1!$D$9:$D$508)-1)+$N$71</f>
        <v>0.12625250501002011</v>
      </c>
      <c r="O72">
        <f>SMALL(SimData1!$E$9:$E$508,64)</f>
        <v>-1.0575062450802186</v>
      </c>
      <c r="P72">
        <f>1/(COUNT(SimData1!$E$9:$E$508)-1)+$P$71</f>
        <v>0.12625250501002011</v>
      </c>
      <c r="Q72">
        <f>SMALL(SimData1!$F$9:$F$508,64)</f>
        <v>0.23</v>
      </c>
      <c r="R72">
        <f>1/(COUNT(SimData1!$F$9:$F$508)-1)+$R$71</f>
        <v>0.12625250501002011</v>
      </c>
      <c r="S72">
        <f>SMALL(SimData1!$G$9:$G$508,64)</f>
        <v>2</v>
      </c>
      <c r="T72">
        <f>1/(COUNT(SimData1!$G$9:$G$508)-1)+$T$71</f>
        <v>0.12625250501002011</v>
      </c>
    </row>
    <row r="73" spans="1:20">
      <c r="A73">
        <v>65</v>
      </c>
      <c r="B73">
        <v>13.797121268433045</v>
      </c>
      <c r="C73">
        <v>5.8477244967351956</v>
      </c>
      <c r="D73">
        <v>9.2964327245486054</v>
      </c>
      <c r="E73">
        <v>-1.4164821741671736</v>
      </c>
      <c r="F73">
        <v>0.23</v>
      </c>
      <c r="G73">
        <v>4</v>
      </c>
      <c r="I73">
        <f>SMALL(SimData1!$B$9:$B$508,65)</f>
        <v>6.6100827589969784</v>
      </c>
      <c r="J73">
        <f>1/(COUNT(SimData1!$B$9:$B$508)-1)+$J$72</f>
        <v>0.12825651302605218</v>
      </c>
      <c r="K73">
        <f>SMALL(SimData1!$C$9:$C$508,65)</f>
        <v>3.0391858907749842</v>
      </c>
      <c r="L73">
        <f>1/(COUNT(SimData1!$C$9:$C$508)-1)+$L$72</f>
        <v>0.12825651302605218</v>
      </c>
      <c r="M73">
        <f>SMALL(SimData1!$D$9:$D$508,65)</f>
        <v>2.5628325252520927</v>
      </c>
      <c r="N73">
        <f>1/(COUNT(SimData1!$D$9:$D$508)-1)+$N$72</f>
        <v>0.12825651302605218</v>
      </c>
      <c r="O73">
        <f>SMALL(SimData1!$E$9:$E$508,65)</f>
        <v>-1.0466863291061614</v>
      </c>
      <c r="P73">
        <f>1/(COUNT(SimData1!$E$9:$E$508)-1)+$P$72</f>
        <v>0.12825651302605218</v>
      </c>
      <c r="Q73">
        <f>SMALL(SimData1!$F$9:$F$508,65)</f>
        <v>0.23</v>
      </c>
      <c r="R73">
        <f>1/(COUNT(SimData1!$F$9:$F$508)-1)+$R$72</f>
        <v>0.12825651302605218</v>
      </c>
      <c r="S73">
        <f>SMALL(SimData1!$G$9:$G$508,65)</f>
        <v>2</v>
      </c>
      <c r="T73">
        <f>1/(COUNT(SimData1!$G$9:$G$508)-1)+$T$72</f>
        <v>0.12825651302605218</v>
      </c>
    </row>
    <row r="74" spans="1:20">
      <c r="A74">
        <v>66</v>
      </c>
      <c r="B74">
        <v>11.639632024854121</v>
      </c>
      <c r="C74">
        <v>9.6523006258616917</v>
      </c>
      <c r="D74">
        <v>8.854820777786621</v>
      </c>
      <c r="E74">
        <v>23.763985649843239</v>
      </c>
      <c r="F74">
        <v>0.23</v>
      </c>
      <c r="G74">
        <v>12</v>
      </c>
      <c r="I74">
        <f>SMALL(SimData1!$B$9:$B$508,66)</f>
        <v>6.6446073543192004</v>
      </c>
      <c r="J74">
        <f>1/(COUNT(SimData1!$B$9:$B$508)-1)+$J$73</f>
        <v>0.13026052104208424</v>
      </c>
      <c r="K74">
        <f>SMALL(SimData1!$C$9:$C$508,66)</f>
        <v>3.0528062183402493</v>
      </c>
      <c r="L74">
        <f>1/(COUNT(SimData1!$C$9:$C$508)-1)+$L$73</f>
        <v>0.13026052104208424</v>
      </c>
      <c r="M74">
        <f>SMALL(SimData1!$D$9:$D$508,66)</f>
        <v>2.6099974895291957</v>
      </c>
      <c r="N74">
        <f>1/(COUNT(SimData1!$D$9:$D$508)-1)+$N$73</f>
        <v>0.13026052104208424</v>
      </c>
      <c r="O74">
        <f>SMALL(SimData1!$E$9:$E$508,66)</f>
        <v>-1.041298200458558</v>
      </c>
      <c r="P74">
        <f>1/(COUNT(SimData1!$E$9:$E$508)-1)+$P$73</f>
        <v>0.13026052104208424</v>
      </c>
      <c r="Q74">
        <f>SMALL(SimData1!$F$9:$F$508,66)</f>
        <v>0.23</v>
      </c>
      <c r="R74">
        <f>1/(COUNT(SimData1!$F$9:$F$508)-1)+$R$73</f>
        <v>0.13026052104208424</v>
      </c>
      <c r="S74">
        <f>SMALL(SimData1!$G$9:$G$508,66)</f>
        <v>2</v>
      </c>
      <c r="T74">
        <f>1/(COUNT(SimData1!$G$9:$G$508)-1)+$T$73</f>
        <v>0.13026052104208424</v>
      </c>
    </row>
    <row r="75" spans="1:20">
      <c r="A75">
        <v>67</v>
      </c>
      <c r="B75">
        <v>12.520183966571949</v>
      </c>
      <c r="C75">
        <v>3.205486052402641</v>
      </c>
      <c r="D75">
        <v>5.4921279855789917</v>
      </c>
      <c r="E75">
        <v>-0.31495884598912882</v>
      </c>
      <c r="F75">
        <v>0.23</v>
      </c>
      <c r="G75">
        <v>4</v>
      </c>
      <c r="I75">
        <f>SMALL(SimData1!$B$9:$B$508,67)</f>
        <v>6.6550803051966607</v>
      </c>
      <c r="J75">
        <f>1/(COUNT(SimData1!$B$9:$B$508)-1)+$J$74</f>
        <v>0.13226452905811631</v>
      </c>
      <c r="K75">
        <f>SMALL(SimData1!$C$9:$C$508,67)</f>
        <v>3.0652560850962196</v>
      </c>
      <c r="L75">
        <f>1/(COUNT(SimData1!$C$9:$C$508)-1)+$L$74</f>
        <v>0.13226452905811631</v>
      </c>
      <c r="M75">
        <f>SMALL(SimData1!$D$9:$D$508,67)</f>
        <v>2.6628120734130061</v>
      </c>
      <c r="N75">
        <f>1/(COUNT(SimData1!$D$9:$D$508)-1)+$N$74</f>
        <v>0.13226452905811631</v>
      </c>
      <c r="O75">
        <f>SMALL(SimData1!$E$9:$E$508,67)</f>
        <v>-1.0350536224760731</v>
      </c>
      <c r="P75">
        <f>1/(COUNT(SimData1!$E$9:$E$508)-1)+$P$74</f>
        <v>0.13226452905811631</v>
      </c>
      <c r="Q75">
        <f>SMALL(SimData1!$F$9:$F$508,67)</f>
        <v>0.23</v>
      </c>
      <c r="R75">
        <f>1/(COUNT(SimData1!$F$9:$F$508)-1)+$R$74</f>
        <v>0.13226452905811631</v>
      </c>
      <c r="S75">
        <f>SMALL(SimData1!$G$9:$G$508,67)</f>
        <v>2</v>
      </c>
      <c r="T75">
        <f>1/(COUNT(SimData1!$G$9:$G$508)-1)+$T$74</f>
        <v>0.13226452905811631</v>
      </c>
    </row>
    <row r="76" spans="1:20">
      <c r="A76">
        <v>68</v>
      </c>
      <c r="B76">
        <v>9.4117149954583148</v>
      </c>
      <c r="C76">
        <v>2.307913691465723</v>
      </c>
      <c r="D76">
        <v>10.838687202181362</v>
      </c>
      <c r="E76">
        <v>23.21486370318928</v>
      </c>
      <c r="F76">
        <v>0.23</v>
      </c>
      <c r="G76">
        <v>9</v>
      </c>
      <c r="I76">
        <f>SMALL(SimData1!$B$9:$B$508,68)</f>
        <v>6.7007434589571622</v>
      </c>
      <c r="J76">
        <f>1/(COUNT(SimData1!$B$9:$B$508)-1)+$J$75</f>
        <v>0.13426853707414838</v>
      </c>
      <c r="K76">
        <f>SMALL(SimData1!$C$9:$C$508,68)</f>
        <v>3.0859950297917229</v>
      </c>
      <c r="L76">
        <f>1/(COUNT(SimData1!$C$9:$C$508)-1)+$L$75</f>
        <v>0.13426853707414838</v>
      </c>
      <c r="M76">
        <f>SMALL(SimData1!$D$9:$D$508,68)</f>
        <v>2.6998678906773845</v>
      </c>
      <c r="N76">
        <f>1/(COUNT(SimData1!$D$9:$D$508)-1)+$N$75</f>
        <v>0.13426853707414838</v>
      </c>
      <c r="O76">
        <f>SMALL(SimData1!$E$9:$E$508,68)</f>
        <v>-1.0303461953123516</v>
      </c>
      <c r="P76">
        <f>1/(COUNT(SimData1!$E$9:$E$508)-1)+$P$75</f>
        <v>0.13426853707414838</v>
      </c>
      <c r="Q76">
        <f>SMALL(SimData1!$F$9:$F$508,68)</f>
        <v>0.23</v>
      </c>
      <c r="R76">
        <f>1/(COUNT(SimData1!$F$9:$F$508)-1)+$R$75</f>
        <v>0.13426853707414838</v>
      </c>
      <c r="S76">
        <f>SMALL(SimData1!$G$9:$G$508,68)</f>
        <v>2</v>
      </c>
      <c r="T76">
        <f>1/(COUNT(SimData1!$G$9:$G$508)-1)+$T$75</f>
        <v>0.13426853707414838</v>
      </c>
    </row>
    <row r="77" spans="1:20">
      <c r="A77">
        <v>69</v>
      </c>
      <c r="B77">
        <v>8.7940633549941829</v>
      </c>
      <c r="C77">
        <v>4.001174566269194</v>
      </c>
      <c r="D77">
        <v>13.304482383519524</v>
      </c>
      <c r="E77">
        <v>22.946277011920703</v>
      </c>
      <c r="F77">
        <v>0.23</v>
      </c>
      <c r="G77">
        <v>10</v>
      </c>
      <c r="I77">
        <f>SMALL(SimData1!$B$9:$B$508,69)</f>
        <v>6.7193286977947677</v>
      </c>
      <c r="J77">
        <f>1/(COUNT(SimData1!$B$9:$B$508)-1)+$J$76</f>
        <v>0.13627254509018044</v>
      </c>
      <c r="K77">
        <f>SMALL(SimData1!$C$9:$C$508,69)</f>
        <v>3.0932034501370982</v>
      </c>
      <c r="L77">
        <f>1/(COUNT(SimData1!$C$9:$C$508)-1)+$L$76</f>
        <v>0.13627254509018044</v>
      </c>
      <c r="M77">
        <f>SMALL(SimData1!$D$9:$D$508,69)</f>
        <v>2.7408782866552657</v>
      </c>
      <c r="N77">
        <f>1/(COUNT(SimData1!$D$9:$D$508)-1)+$N$76</f>
        <v>0.13627254509018044</v>
      </c>
      <c r="O77">
        <f>SMALL(SimData1!$E$9:$E$508,69)</f>
        <v>-1.0183548937739444</v>
      </c>
      <c r="P77">
        <f>1/(COUNT(SimData1!$E$9:$E$508)-1)+$P$76</f>
        <v>0.13627254509018044</v>
      </c>
      <c r="Q77">
        <f>SMALL(SimData1!$F$9:$F$508,69)</f>
        <v>0.23</v>
      </c>
      <c r="R77">
        <f>1/(COUNT(SimData1!$F$9:$F$508)-1)+$R$76</f>
        <v>0.13627254509018044</v>
      </c>
      <c r="S77">
        <f>SMALL(SimData1!$G$9:$G$508,69)</f>
        <v>2</v>
      </c>
      <c r="T77">
        <f>1/(COUNT(SimData1!$G$9:$G$508)-1)+$T$76</f>
        <v>0.13627254509018044</v>
      </c>
    </row>
    <row r="78" spans="1:20">
      <c r="A78">
        <v>70</v>
      </c>
      <c r="B78">
        <v>9.126218375722388</v>
      </c>
      <c r="C78">
        <v>6.849406214688301</v>
      </c>
      <c r="D78">
        <v>4.7779654093873614</v>
      </c>
      <c r="E78">
        <v>22.63111814288192</v>
      </c>
      <c r="F78">
        <v>0.23</v>
      </c>
      <c r="G78">
        <v>9</v>
      </c>
      <c r="I78">
        <f>SMALL(SimData1!$B$9:$B$508,70)</f>
        <v>6.7520638607249044</v>
      </c>
      <c r="J78">
        <f>1/(COUNT(SimData1!$B$9:$B$508)-1)+$J$77</f>
        <v>0.13827655310621251</v>
      </c>
      <c r="K78">
        <f>SMALL(SimData1!$C$9:$C$508,70)</f>
        <v>3.1164531051023987</v>
      </c>
      <c r="L78">
        <f>1/(COUNT(SimData1!$C$9:$C$508)-1)+$L$77</f>
        <v>0.13827655310621251</v>
      </c>
      <c r="M78">
        <f>SMALL(SimData1!$D$9:$D$508,70)</f>
        <v>2.7855766532350272</v>
      </c>
      <c r="N78">
        <f>1/(COUNT(SimData1!$D$9:$D$508)-1)+$N$77</f>
        <v>0.13827655310621251</v>
      </c>
      <c r="O78">
        <f>SMALL(SimData1!$E$9:$E$508,70)</f>
        <v>-1.0122790884259063</v>
      </c>
      <c r="P78">
        <f>1/(COUNT(SimData1!$E$9:$E$508)-1)+$P$77</f>
        <v>0.13827655310621251</v>
      </c>
      <c r="Q78">
        <f>SMALL(SimData1!$F$9:$F$508,70)</f>
        <v>0.23</v>
      </c>
      <c r="R78">
        <f>1/(COUNT(SimData1!$F$9:$F$508)-1)+$R$77</f>
        <v>0.13827655310621251</v>
      </c>
      <c r="S78">
        <f>SMALL(SimData1!$G$9:$G$508,70)</f>
        <v>2</v>
      </c>
      <c r="T78">
        <f>1/(COUNT(SimData1!$G$9:$G$508)-1)+$T$77</f>
        <v>0.13827655310621251</v>
      </c>
    </row>
    <row r="79" spans="1:20">
      <c r="A79">
        <v>71</v>
      </c>
      <c r="B79">
        <v>9.6405439236607826</v>
      </c>
      <c r="C79">
        <v>2.9945646580985201</v>
      </c>
      <c r="D79">
        <v>2.3438159742895084</v>
      </c>
      <c r="E79">
        <v>22.16865341702076</v>
      </c>
      <c r="F79">
        <v>0.23</v>
      </c>
      <c r="G79">
        <v>2</v>
      </c>
      <c r="I79">
        <f>SMALL(SimData1!$B$9:$B$508,71)</f>
        <v>6.7693451646558902</v>
      </c>
      <c r="J79">
        <f>1/(COUNT(SimData1!$B$9:$B$508)-1)+$J$78</f>
        <v>0.14028056112224457</v>
      </c>
      <c r="K79">
        <f>SMALL(SimData1!$C$9:$C$508,71)</f>
        <v>3.1258044619685514</v>
      </c>
      <c r="L79">
        <f>1/(COUNT(SimData1!$C$9:$C$508)-1)+$L$78</f>
        <v>0.14028056112224457</v>
      </c>
      <c r="M79">
        <f>SMALL(SimData1!$D$9:$D$508,71)</f>
        <v>2.8207430131222915</v>
      </c>
      <c r="N79">
        <f>1/(COUNT(SimData1!$D$9:$D$508)-1)+$N$78</f>
        <v>0.14028056112224457</v>
      </c>
      <c r="O79">
        <f>SMALL(SimData1!$E$9:$E$508,71)</f>
        <v>-1.0092792197469351</v>
      </c>
      <c r="P79">
        <f>1/(COUNT(SimData1!$E$9:$E$508)-1)+$P$78</f>
        <v>0.14028056112224457</v>
      </c>
      <c r="Q79">
        <f>SMALL(SimData1!$F$9:$F$508,71)</f>
        <v>0.23</v>
      </c>
      <c r="R79">
        <f>1/(COUNT(SimData1!$F$9:$F$508)-1)+$R$78</f>
        <v>0.14028056112224457</v>
      </c>
      <c r="S79">
        <f>SMALL(SimData1!$G$9:$G$508,71)</f>
        <v>2</v>
      </c>
      <c r="T79">
        <f>1/(COUNT(SimData1!$G$9:$G$508)-1)+$T$78</f>
        <v>0.14028056112224457</v>
      </c>
    </row>
    <row r="80" spans="1:20">
      <c r="A80">
        <v>72</v>
      </c>
      <c r="B80">
        <v>17.212504654577909</v>
      </c>
      <c r="C80">
        <v>4.4402469921727308</v>
      </c>
      <c r="D80">
        <v>13.613519097161831</v>
      </c>
      <c r="E80">
        <v>-0.53718081835532505</v>
      </c>
      <c r="F80">
        <v>0.23</v>
      </c>
      <c r="G80">
        <v>10</v>
      </c>
      <c r="I80">
        <f>SMALL(SimData1!$B$9:$B$508,72)</f>
        <v>6.8061009567708117</v>
      </c>
      <c r="J80">
        <f>1/(COUNT(SimData1!$B$9:$B$508)-1)+$J$79</f>
        <v>0.14228456913827664</v>
      </c>
      <c r="K80">
        <f>SMALL(SimData1!$C$9:$C$508,72)</f>
        <v>3.1479905959470176</v>
      </c>
      <c r="L80">
        <f>1/(COUNT(SimData1!$C$9:$C$508)-1)+$L$79</f>
        <v>0.14228456913827664</v>
      </c>
      <c r="M80">
        <f>SMALL(SimData1!$D$9:$D$508,72)</f>
        <v>2.8420480806571549</v>
      </c>
      <c r="N80">
        <f>1/(COUNT(SimData1!$D$9:$D$508)-1)+$N$79</f>
        <v>0.14228456913827664</v>
      </c>
      <c r="O80">
        <f>SMALL(SimData1!$E$9:$E$508,72)</f>
        <v>-1.0023422335283407</v>
      </c>
      <c r="P80">
        <f>1/(COUNT(SimData1!$E$9:$E$508)-1)+$P$79</f>
        <v>0.14228456913827664</v>
      </c>
      <c r="Q80">
        <f>SMALL(SimData1!$F$9:$F$508,72)</f>
        <v>0.23</v>
      </c>
      <c r="R80">
        <f>1/(COUNT(SimData1!$F$9:$F$508)-1)+$R$79</f>
        <v>0.14228456913827664</v>
      </c>
      <c r="S80">
        <f>SMALL(SimData1!$G$9:$G$508,72)</f>
        <v>2</v>
      </c>
      <c r="T80">
        <f>1/(COUNT(SimData1!$G$9:$G$508)-1)+$T$79</f>
        <v>0.14228456913827664</v>
      </c>
    </row>
    <row r="81" spans="1:20">
      <c r="A81">
        <v>73</v>
      </c>
      <c r="B81">
        <v>9.3350466372524714</v>
      </c>
      <c r="C81">
        <v>5.049042662663628</v>
      </c>
      <c r="D81">
        <v>3.5840453863479302</v>
      </c>
      <c r="E81">
        <v>22.029130441079452</v>
      </c>
      <c r="F81">
        <v>0.23</v>
      </c>
      <c r="G81">
        <v>9</v>
      </c>
      <c r="I81">
        <f>SMALL(SimData1!$B$9:$B$508,73)</f>
        <v>6.8170941436179744</v>
      </c>
      <c r="J81">
        <f>1/(COUNT(SimData1!$B$9:$B$508)-1)+$J$80</f>
        <v>0.14428857715430871</v>
      </c>
      <c r="K81">
        <f>SMALL(SimData1!$C$9:$C$508,73)</f>
        <v>3.1619331878707593</v>
      </c>
      <c r="L81">
        <f>1/(COUNT(SimData1!$C$9:$C$508)-1)+$L$80</f>
        <v>0.14428857715430871</v>
      </c>
      <c r="M81">
        <f>SMALL(SimData1!$D$9:$D$508,73)</f>
        <v>2.9189273643118629</v>
      </c>
      <c r="N81">
        <f>1/(COUNT(SimData1!$D$9:$D$508)-1)+$N$80</f>
        <v>0.14428857715430871</v>
      </c>
      <c r="O81">
        <f>SMALL(SimData1!$E$9:$E$508,73)</f>
        <v>-0.9906099685660974</v>
      </c>
      <c r="P81">
        <f>1/(COUNT(SimData1!$E$9:$E$508)-1)+$P$80</f>
        <v>0.14428857715430871</v>
      </c>
      <c r="Q81">
        <f>SMALL(SimData1!$F$9:$F$508,73)</f>
        <v>0.23</v>
      </c>
      <c r="R81">
        <f>1/(COUNT(SimData1!$F$9:$F$508)-1)+$R$80</f>
        <v>0.14428857715430871</v>
      </c>
      <c r="S81">
        <f>SMALL(SimData1!$G$9:$G$508,73)</f>
        <v>2</v>
      </c>
      <c r="T81">
        <f>1/(COUNT(SimData1!$G$9:$G$508)-1)+$T$80</f>
        <v>0.14428857715430871</v>
      </c>
    </row>
    <row r="82" spans="1:20">
      <c r="A82">
        <v>74</v>
      </c>
      <c r="B82">
        <v>10.109688875541456</v>
      </c>
      <c r="C82">
        <v>7.1725456934544596</v>
      </c>
      <c r="D82">
        <v>2.9271971288992087</v>
      </c>
      <c r="E82">
        <v>-1.2733405425099511</v>
      </c>
      <c r="F82">
        <v>0.23</v>
      </c>
      <c r="G82">
        <v>4</v>
      </c>
      <c r="I82">
        <f>SMALL(SimData1!$B$9:$B$508,74)</f>
        <v>6.8388318905048404</v>
      </c>
      <c r="J82">
        <f>1/(COUNT(SimData1!$B$9:$B$508)-1)+$J$81</f>
        <v>0.14629258517034077</v>
      </c>
      <c r="K82">
        <f>SMALL(SimData1!$C$9:$C$508,74)</f>
        <v>3.1763038665224572</v>
      </c>
      <c r="L82">
        <f>1/(COUNT(SimData1!$C$9:$C$508)-1)+$L$81</f>
        <v>0.14629258517034077</v>
      </c>
      <c r="M82">
        <f>SMALL(SimData1!$D$9:$D$508,74)</f>
        <v>2.9271971288992087</v>
      </c>
      <c r="N82">
        <f>1/(COUNT(SimData1!$D$9:$D$508)-1)+$N$81</f>
        <v>0.14629258517034077</v>
      </c>
      <c r="O82">
        <f>SMALL(SimData1!$E$9:$E$508,74)</f>
        <v>-0.98798488918812599</v>
      </c>
      <c r="P82">
        <f>1/(COUNT(SimData1!$E$9:$E$508)-1)+$P$81</f>
        <v>0.14629258517034077</v>
      </c>
      <c r="Q82">
        <f>SMALL(SimData1!$F$9:$F$508,74)</f>
        <v>0.23</v>
      </c>
      <c r="R82">
        <f>1/(COUNT(SimData1!$F$9:$F$508)-1)+$R$81</f>
        <v>0.14629258517034077</v>
      </c>
      <c r="S82">
        <f>SMALL(SimData1!$G$9:$G$508,74)</f>
        <v>2</v>
      </c>
      <c r="T82">
        <f>1/(COUNT(SimData1!$G$9:$G$508)-1)+$T$81</f>
        <v>0.14629258517034077</v>
      </c>
    </row>
    <row r="83" spans="1:20">
      <c r="A83">
        <v>75</v>
      </c>
      <c r="B83">
        <v>7.4311678925673306</v>
      </c>
      <c r="C83">
        <v>3.2303148891847382</v>
      </c>
      <c r="D83">
        <v>8.0360566170597583</v>
      </c>
      <c r="E83">
        <v>22.757670855102401</v>
      </c>
      <c r="F83">
        <v>0.23</v>
      </c>
      <c r="G83">
        <v>6</v>
      </c>
      <c r="I83">
        <f>SMALL(SimData1!$B$9:$B$508,75)</f>
        <v>6.8823355885645974</v>
      </c>
      <c r="J83">
        <f>1/(COUNT(SimData1!$B$9:$B$508)-1)+$J$82</f>
        <v>0.14829659318637284</v>
      </c>
      <c r="K83">
        <f>SMALL(SimData1!$C$9:$C$508,75)</f>
        <v>3.1871615539312272</v>
      </c>
      <c r="L83">
        <f>1/(COUNT(SimData1!$C$9:$C$508)-1)+$L$82</f>
        <v>0.14829659318637284</v>
      </c>
      <c r="M83">
        <f>SMALL(SimData1!$D$9:$D$508,75)</f>
        <v>2.9906220742386354</v>
      </c>
      <c r="N83">
        <f>1/(COUNT(SimData1!$D$9:$D$508)-1)+$N$82</f>
        <v>0.14829659318637284</v>
      </c>
      <c r="O83">
        <f>SMALL(SimData1!$E$9:$E$508,75)</f>
        <v>-0.97546060127092549</v>
      </c>
      <c r="P83">
        <f>1/(COUNT(SimData1!$E$9:$E$508)-1)+$P$82</f>
        <v>0.14829659318637284</v>
      </c>
      <c r="Q83">
        <f>SMALL(SimData1!$F$9:$F$508,75)</f>
        <v>0.23</v>
      </c>
      <c r="R83">
        <f>1/(COUNT(SimData1!$F$9:$F$508)-1)+$R$82</f>
        <v>0.14829659318637284</v>
      </c>
      <c r="S83">
        <f>SMALL(SimData1!$G$9:$G$508,75)</f>
        <v>2</v>
      </c>
      <c r="T83">
        <f>1/(COUNT(SimData1!$G$9:$G$508)-1)+$T$82</f>
        <v>0.14829659318637284</v>
      </c>
    </row>
    <row r="84" spans="1:20">
      <c r="A84">
        <v>76</v>
      </c>
      <c r="B84">
        <v>8.8357722389268503</v>
      </c>
      <c r="C84">
        <v>6.0174589436318398</v>
      </c>
      <c r="D84">
        <v>2.1223923422960547</v>
      </c>
      <c r="E84">
        <v>0.19088122464932211</v>
      </c>
      <c r="F84">
        <v>0.23</v>
      </c>
      <c r="G84">
        <v>2</v>
      </c>
      <c r="I84">
        <f>SMALL(SimData1!$B$9:$B$508,76)</f>
        <v>6.8977029421846536</v>
      </c>
      <c r="J84">
        <f>1/(COUNT(SimData1!$B$9:$B$508)-1)+$J$83</f>
        <v>0.1503006012024049</v>
      </c>
      <c r="K84">
        <f>SMALL(SimData1!$C$9:$C$508,76)</f>
        <v>3.205486052402641</v>
      </c>
      <c r="L84">
        <f>1/(COUNT(SimData1!$C$9:$C$508)-1)+$L$83</f>
        <v>0.1503006012024049</v>
      </c>
      <c r="M84">
        <f>SMALL(SimData1!$D$9:$D$508,76)</f>
        <v>3.0395576205755486</v>
      </c>
      <c r="N84">
        <f>1/(COUNT(SimData1!$D$9:$D$508)-1)+$N$83</f>
        <v>0.1503006012024049</v>
      </c>
      <c r="O84">
        <f>SMALL(SimData1!$E$9:$E$508,76)</f>
        <v>-0.97403707034143505</v>
      </c>
      <c r="P84">
        <f>1/(COUNT(SimData1!$E$9:$E$508)-1)+$P$83</f>
        <v>0.1503006012024049</v>
      </c>
      <c r="Q84">
        <f>SMALL(SimData1!$F$9:$F$508,76)</f>
        <v>0.23</v>
      </c>
      <c r="R84">
        <f>1/(COUNT(SimData1!$F$9:$F$508)-1)+$R$83</f>
        <v>0.1503006012024049</v>
      </c>
      <c r="S84">
        <f>SMALL(SimData1!$G$9:$G$508,76)</f>
        <v>2</v>
      </c>
      <c r="T84">
        <f>1/(COUNT(SimData1!$G$9:$G$508)-1)+$T$83</f>
        <v>0.1503006012024049</v>
      </c>
    </row>
    <row r="85" spans="1:20">
      <c r="A85">
        <v>77</v>
      </c>
      <c r="B85">
        <v>5.3334054164732532</v>
      </c>
      <c r="C85">
        <v>3.4682546109250412</v>
      </c>
      <c r="D85">
        <v>8.8383670682083739</v>
      </c>
      <c r="E85">
        <v>23.119573490831662</v>
      </c>
      <c r="F85">
        <v>0.23</v>
      </c>
      <c r="G85">
        <v>4</v>
      </c>
      <c r="I85">
        <f>SMALL(SimData1!$B$9:$B$508,77)</f>
        <v>6.9256312402197917</v>
      </c>
      <c r="J85">
        <f>1/(COUNT(SimData1!$B$9:$B$508)-1)+$J$84</f>
        <v>0.15230460921843697</v>
      </c>
      <c r="K85">
        <f>SMALL(SimData1!$C$9:$C$508,77)</f>
        <v>3.2303148891847382</v>
      </c>
      <c r="L85">
        <f>1/(COUNT(SimData1!$C$9:$C$508)-1)+$L$84</f>
        <v>0.15230460921843697</v>
      </c>
      <c r="M85">
        <f>SMALL(SimData1!$D$9:$D$508,77)</f>
        <v>3.0679756758334058</v>
      </c>
      <c r="N85">
        <f>1/(COUNT(SimData1!$D$9:$D$508)-1)+$N$84</f>
        <v>0.15230460921843697</v>
      </c>
      <c r="O85">
        <f>SMALL(SimData1!$E$9:$E$508,77)</f>
        <v>-0.96678168723652325</v>
      </c>
      <c r="P85">
        <f>1/(COUNT(SimData1!$E$9:$E$508)-1)+$P$84</f>
        <v>0.15230460921843697</v>
      </c>
      <c r="Q85">
        <f>SMALL(SimData1!$F$9:$F$508,77)</f>
        <v>0.23</v>
      </c>
      <c r="R85">
        <f>1/(COUNT(SimData1!$F$9:$F$508)-1)+$R$84</f>
        <v>0.15230460921843697</v>
      </c>
      <c r="S85">
        <f>SMALL(SimData1!$G$9:$G$508,77)</f>
        <v>2</v>
      </c>
      <c r="T85">
        <f>1/(COUNT(SimData1!$G$9:$G$508)-1)+$T$84</f>
        <v>0.15230460921843697</v>
      </c>
    </row>
    <row r="86" spans="1:20">
      <c r="A86">
        <v>78</v>
      </c>
      <c r="B86">
        <v>10.139832695580704</v>
      </c>
      <c r="C86">
        <v>3.0932034501370982</v>
      </c>
      <c r="D86">
        <v>9.1657748245684836</v>
      </c>
      <c r="E86">
        <v>-1.0466863291061614</v>
      </c>
      <c r="F86">
        <v>0.23</v>
      </c>
      <c r="G86">
        <v>4</v>
      </c>
      <c r="I86">
        <f>SMALL(SimData1!$B$9:$B$508,78)</f>
        <v>6.9440819377379857</v>
      </c>
      <c r="J86">
        <f>1/(COUNT(SimData1!$B$9:$B$508)-1)+$J$85</f>
        <v>0.15430861723446904</v>
      </c>
      <c r="K86">
        <f>SMALL(SimData1!$C$9:$C$508,78)</f>
        <v>3.2431822404179682</v>
      </c>
      <c r="L86">
        <f>1/(COUNT(SimData1!$C$9:$C$508)-1)+$L$85</f>
        <v>0.15430861723446904</v>
      </c>
      <c r="M86">
        <f>SMALL(SimData1!$D$9:$D$508,78)</f>
        <v>3.0989658242228826</v>
      </c>
      <c r="N86">
        <f>1/(COUNT(SimData1!$D$9:$D$508)-1)+$N$85</f>
        <v>0.15430861723446904</v>
      </c>
      <c r="O86">
        <f>SMALL(SimData1!$E$9:$E$508,78)</f>
        <v>-0.95401004445491622</v>
      </c>
      <c r="P86">
        <f>1/(COUNT(SimData1!$E$9:$E$508)-1)+$P$85</f>
        <v>0.15430861723446904</v>
      </c>
      <c r="Q86">
        <f>SMALL(SimData1!$F$9:$F$508,78)</f>
        <v>0.23</v>
      </c>
      <c r="R86">
        <f>1/(COUNT(SimData1!$F$9:$F$508)-1)+$R$85</f>
        <v>0.15430861723446904</v>
      </c>
      <c r="S86">
        <f>SMALL(SimData1!$G$9:$G$508,78)</f>
        <v>2</v>
      </c>
      <c r="T86">
        <f>1/(COUNT(SimData1!$G$9:$G$508)-1)+$T$85</f>
        <v>0.15430861723446904</v>
      </c>
    </row>
    <row r="87" spans="1:20">
      <c r="A87">
        <v>79</v>
      </c>
      <c r="B87">
        <v>10.514237545846568</v>
      </c>
      <c r="C87">
        <v>9.6184045848442246</v>
      </c>
      <c r="D87">
        <v>8.4353070643253876</v>
      </c>
      <c r="E87">
        <v>-0.81845864217423259</v>
      </c>
      <c r="F87">
        <v>0.23</v>
      </c>
      <c r="G87">
        <v>6</v>
      </c>
      <c r="I87">
        <f>SMALL(SimData1!$B$9:$B$508,79)</f>
        <v>6.9691340816279777</v>
      </c>
      <c r="J87">
        <f>1/(COUNT(SimData1!$B$9:$B$508)-1)+$J$86</f>
        <v>0.1563126252505011</v>
      </c>
      <c r="K87">
        <f>SMALL(SimData1!$C$9:$C$508,79)</f>
        <v>3.258002970064525</v>
      </c>
      <c r="L87">
        <f>1/(COUNT(SimData1!$C$9:$C$508)-1)+$L$86</f>
        <v>0.1563126252505011</v>
      </c>
      <c r="M87">
        <f>SMALL(SimData1!$D$9:$D$508,79)</f>
        <v>3.1444891266488679</v>
      </c>
      <c r="N87">
        <f>1/(COUNT(SimData1!$D$9:$D$508)-1)+$N$86</f>
        <v>0.1563126252505011</v>
      </c>
      <c r="O87">
        <f>SMALL(SimData1!$E$9:$E$508,79)</f>
        <v>-0.95259031673668704</v>
      </c>
      <c r="P87">
        <f>1/(COUNT(SimData1!$E$9:$E$508)-1)+$P$86</f>
        <v>0.1563126252505011</v>
      </c>
      <c r="Q87">
        <f>SMALL(SimData1!$F$9:$F$508,79)</f>
        <v>0.23</v>
      </c>
      <c r="R87">
        <f>1/(COUNT(SimData1!$F$9:$F$508)-1)+$R$86</f>
        <v>0.1563126252505011</v>
      </c>
      <c r="S87">
        <f>SMALL(SimData1!$G$9:$G$508,79)</f>
        <v>2</v>
      </c>
      <c r="T87">
        <f>1/(COUNT(SimData1!$G$9:$G$508)-1)+$T$86</f>
        <v>0.1563126252505011</v>
      </c>
    </row>
    <row r="88" spans="1:20">
      <c r="A88">
        <v>80</v>
      </c>
      <c r="B88">
        <v>11.045083749604789</v>
      </c>
      <c r="C88">
        <v>6.4117298488495242</v>
      </c>
      <c r="D88">
        <v>2.010675786516321</v>
      </c>
      <c r="E88">
        <v>22.723192212574009</v>
      </c>
      <c r="F88">
        <v>0.23</v>
      </c>
      <c r="G88">
        <v>10</v>
      </c>
      <c r="I88">
        <f>SMALL(SimData1!$B$9:$B$508,80)</f>
        <v>7.0159277498354289</v>
      </c>
      <c r="J88">
        <f>1/(COUNT(SimData1!$B$9:$B$508)-1)+$J$87</f>
        <v>0.15831663326653317</v>
      </c>
      <c r="K88">
        <f>SMALL(SimData1!$C$9:$C$508,80)</f>
        <v>3.2706676765770344</v>
      </c>
      <c r="L88">
        <f>1/(COUNT(SimData1!$C$9:$C$508)-1)+$L$87</f>
        <v>0.15831663326653317</v>
      </c>
      <c r="M88">
        <f>SMALL(SimData1!$D$9:$D$508,80)</f>
        <v>3.1991222632394924</v>
      </c>
      <c r="N88">
        <f>1/(COUNT(SimData1!$D$9:$D$508)-1)+$N$87</f>
        <v>0.15831663326653317</v>
      </c>
      <c r="O88">
        <f>SMALL(SimData1!$E$9:$E$508,80)</f>
        <v>-0.94385983276366703</v>
      </c>
      <c r="P88">
        <f>1/(COUNT(SimData1!$E$9:$E$508)-1)+$P$87</f>
        <v>0.15831663326653317</v>
      </c>
      <c r="Q88">
        <f>SMALL(SimData1!$F$9:$F$508,80)</f>
        <v>0.23</v>
      </c>
      <c r="R88">
        <f>1/(COUNT(SimData1!$F$9:$F$508)-1)+$R$87</f>
        <v>0.15831663326653317</v>
      </c>
      <c r="S88">
        <f>SMALL(SimData1!$G$9:$G$508,80)</f>
        <v>2</v>
      </c>
      <c r="T88">
        <f>1/(COUNT(SimData1!$G$9:$G$508)-1)+$T$87</f>
        <v>0.15831663326653317</v>
      </c>
    </row>
    <row r="89" spans="1:20">
      <c r="A89">
        <v>81</v>
      </c>
      <c r="B89">
        <v>8.9160219768901996</v>
      </c>
      <c r="C89">
        <v>4.2211949409724205</v>
      </c>
      <c r="D89">
        <v>9.7114368869567844</v>
      </c>
      <c r="E89">
        <v>22.338308085977864</v>
      </c>
      <c r="F89">
        <v>0.23</v>
      </c>
      <c r="G89">
        <v>6</v>
      </c>
      <c r="I89">
        <f>SMALL(SimData1!$B$9:$B$508,81)</f>
        <v>7.0359818391163911</v>
      </c>
      <c r="J89">
        <f>1/(COUNT(SimData1!$B$9:$B$508)-1)+$J$88</f>
        <v>0.16032064128256523</v>
      </c>
      <c r="K89">
        <f>SMALL(SimData1!$C$9:$C$508,81)</f>
        <v>3.2887652494816031</v>
      </c>
      <c r="L89">
        <f>1/(COUNT(SimData1!$C$9:$C$508)-1)+$L$88</f>
        <v>0.16032064128256523</v>
      </c>
      <c r="M89">
        <f>SMALL(SimData1!$D$9:$D$508,81)</f>
        <v>3.2016698112249538</v>
      </c>
      <c r="N89">
        <f>1/(COUNT(SimData1!$D$9:$D$508)-1)+$N$88</f>
        <v>0.16032064128256523</v>
      </c>
      <c r="O89">
        <f>SMALL(SimData1!$E$9:$E$508,81)</f>
        <v>-0.93986299018585129</v>
      </c>
      <c r="P89">
        <f>1/(COUNT(SimData1!$E$9:$E$508)-1)+$P$88</f>
        <v>0.16032064128256523</v>
      </c>
      <c r="Q89">
        <f>SMALL(SimData1!$F$9:$F$508,81)</f>
        <v>0.23</v>
      </c>
      <c r="R89">
        <f>1/(COUNT(SimData1!$F$9:$F$508)-1)+$R$88</f>
        <v>0.16032064128256523</v>
      </c>
      <c r="S89">
        <f>SMALL(SimData1!$G$9:$G$508,81)</f>
        <v>2</v>
      </c>
      <c r="T89">
        <f>1/(COUNT(SimData1!$G$9:$G$508)-1)+$T$88</f>
        <v>0.16032064128256523</v>
      </c>
    </row>
    <row r="90" spans="1:20">
      <c r="A90">
        <v>82</v>
      </c>
      <c r="B90">
        <v>7.7414828479999329</v>
      </c>
      <c r="C90">
        <v>4.2515247234244651</v>
      </c>
      <c r="D90">
        <v>10.509909254310166</v>
      </c>
      <c r="E90">
        <v>23.687211455760323</v>
      </c>
      <c r="F90">
        <v>0.23</v>
      </c>
      <c r="G90">
        <v>4</v>
      </c>
      <c r="I90">
        <f>SMALL(SimData1!$B$9:$B$508,82)</f>
        <v>7.0544984978401786</v>
      </c>
      <c r="J90">
        <f>1/(COUNT(SimData1!$B$9:$B$508)-1)+$J$89</f>
        <v>0.1623246492985973</v>
      </c>
      <c r="K90">
        <f>SMALL(SimData1!$C$9:$C$508,82)</f>
        <v>3.3065014988245682</v>
      </c>
      <c r="L90">
        <f>1/(COUNT(SimData1!$C$9:$C$508)-1)+$L$89</f>
        <v>0.1623246492985973</v>
      </c>
      <c r="M90">
        <f>SMALL(SimData1!$D$9:$D$508,82)</f>
        <v>3.2686425251859808</v>
      </c>
      <c r="N90">
        <f>1/(COUNT(SimData1!$D$9:$D$508)-1)+$N$89</f>
        <v>0.1623246492985973</v>
      </c>
      <c r="O90">
        <f>SMALL(SimData1!$E$9:$E$508,82)</f>
        <v>-0.92837434777857353</v>
      </c>
      <c r="P90">
        <f>1/(COUNT(SimData1!$E$9:$E$508)-1)+$P$89</f>
        <v>0.1623246492985973</v>
      </c>
      <c r="Q90">
        <f>SMALL(SimData1!$F$9:$F$508,82)</f>
        <v>0.23</v>
      </c>
      <c r="R90">
        <f>1/(COUNT(SimData1!$F$9:$F$508)-1)+$R$89</f>
        <v>0.1623246492985973</v>
      </c>
      <c r="S90">
        <f>SMALL(SimData1!$G$9:$G$508,82)</f>
        <v>2</v>
      </c>
      <c r="T90">
        <f>1/(COUNT(SimData1!$G$9:$G$508)-1)+$T$89</f>
        <v>0.1623246492985973</v>
      </c>
    </row>
    <row r="91" spans="1:20">
      <c r="A91">
        <v>83</v>
      </c>
      <c r="B91">
        <v>9.2954886685993259</v>
      </c>
      <c r="C91">
        <v>8.5566551410026506</v>
      </c>
      <c r="D91">
        <v>4.8062650499600599</v>
      </c>
      <c r="E91">
        <v>-1.0805109666973811</v>
      </c>
      <c r="F91">
        <v>0.23</v>
      </c>
      <c r="G91">
        <v>10</v>
      </c>
      <c r="I91">
        <f>SMALL(SimData1!$B$9:$B$508,83)</f>
        <v>7.0858575134178867</v>
      </c>
      <c r="J91">
        <f>1/(COUNT(SimData1!$B$9:$B$508)-1)+$J$90</f>
        <v>0.16432865731462937</v>
      </c>
      <c r="K91">
        <f>SMALL(SimData1!$C$9:$C$508,83)</f>
        <v>3.3138292857487288</v>
      </c>
      <c r="L91">
        <f>1/(COUNT(SimData1!$C$9:$C$508)-1)+$L$90</f>
        <v>0.16432865731462937</v>
      </c>
      <c r="M91">
        <f>SMALL(SimData1!$D$9:$D$508,83)</f>
        <v>3.3092487011452314</v>
      </c>
      <c r="N91">
        <f>1/(COUNT(SimData1!$D$9:$D$508)-1)+$N$90</f>
        <v>0.16432865731462937</v>
      </c>
      <c r="O91">
        <f>SMALL(SimData1!$E$9:$E$508,83)</f>
        <v>-0.92137356535435255</v>
      </c>
      <c r="P91">
        <f>1/(COUNT(SimData1!$E$9:$E$508)-1)+$P$90</f>
        <v>0.16432865731462937</v>
      </c>
      <c r="Q91">
        <f>SMALL(SimData1!$F$9:$F$508,83)</f>
        <v>0.23</v>
      </c>
      <c r="R91">
        <f>1/(COUNT(SimData1!$F$9:$F$508)-1)+$R$90</f>
        <v>0.16432865731462937</v>
      </c>
      <c r="S91">
        <f>SMALL(SimData1!$G$9:$G$508,83)</f>
        <v>2</v>
      </c>
      <c r="T91">
        <f>1/(COUNT(SimData1!$G$9:$G$508)-1)+$T$90</f>
        <v>0.16432865731462937</v>
      </c>
    </row>
    <row r="92" spans="1:20">
      <c r="A92">
        <v>84</v>
      </c>
      <c r="B92">
        <v>13.362554478162195</v>
      </c>
      <c r="C92">
        <v>5.7707898316333974</v>
      </c>
      <c r="D92">
        <v>6.8633807408305305</v>
      </c>
      <c r="E92">
        <v>22.730063110651706</v>
      </c>
      <c r="F92">
        <v>0.23</v>
      </c>
      <c r="G92">
        <v>6</v>
      </c>
      <c r="I92">
        <f>SMALL(SimData1!$B$9:$B$508,84)</f>
        <v>7.0990053930375661</v>
      </c>
      <c r="J92">
        <f>1/(COUNT(SimData1!$B$9:$B$508)-1)+$J$91</f>
        <v>0.16633266533066143</v>
      </c>
      <c r="K92">
        <f>SMALL(SimData1!$C$9:$C$508,84)</f>
        <v>3.3323825004930567</v>
      </c>
      <c r="L92">
        <f>1/(COUNT(SimData1!$C$9:$C$508)-1)+$L$91</f>
        <v>0.16633266533066143</v>
      </c>
      <c r="M92">
        <f>SMALL(SimData1!$D$9:$D$508,84)</f>
        <v>3.3564179090402129</v>
      </c>
      <c r="N92">
        <f>1/(COUNT(SimData1!$D$9:$D$508)-1)+$N$91</f>
        <v>0.16633266533066143</v>
      </c>
      <c r="O92">
        <f>SMALL(SimData1!$E$9:$E$508,84)</f>
        <v>-0.91593746502369933</v>
      </c>
      <c r="P92">
        <f>1/(COUNT(SimData1!$E$9:$E$508)-1)+$P$91</f>
        <v>0.16633266533066143</v>
      </c>
      <c r="Q92">
        <f>SMALL(SimData1!$F$9:$F$508,84)</f>
        <v>0.23</v>
      </c>
      <c r="R92">
        <f>1/(COUNT(SimData1!$F$9:$F$508)-1)+$R$91</f>
        <v>0.16633266533066143</v>
      </c>
      <c r="S92">
        <f>SMALL(SimData1!$G$9:$G$508,84)</f>
        <v>2</v>
      </c>
      <c r="T92">
        <f>1/(COUNT(SimData1!$G$9:$G$508)-1)+$T$91</f>
        <v>0.16633266533066143</v>
      </c>
    </row>
    <row r="93" spans="1:20">
      <c r="A93">
        <v>85</v>
      </c>
      <c r="B93">
        <v>4.2823793445997103</v>
      </c>
      <c r="C93">
        <v>4.2058720376561096</v>
      </c>
      <c r="D93">
        <v>10.420079302827846</v>
      </c>
      <c r="E93">
        <v>22.381180764891539</v>
      </c>
      <c r="F93">
        <v>0.23</v>
      </c>
      <c r="G93">
        <v>12</v>
      </c>
      <c r="I93">
        <f>SMALL(SimData1!$B$9:$B$508,85)</f>
        <v>7.1181309037444711</v>
      </c>
      <c r="J93">
        <f>1/(COUNT(SimData1!$B$9:$B$508)-1)+$J$92</f>
        <v>0.1683366733466935</v>
      </c>
      <c r="K93">
        <f>SMALL(SimData1!$C$9:$C$508,85)</f>
        <v>3.35728953340959</v>
      </c>
      <c r="L93">
        <f>1/(COUNT(SimData1!$C$9:$C$508)-1)+$L$92</f>
        <v>0.1683366733466935</v>
      </c>
      <c r="M93">
        <f>SMALL(SimData1!$D$9:$D$508,85)</f>
        <v>3.3876627316204049</v>
      </c>
      <c r="N93">
        <f>1/(COUNT(SimData1!$D$9:$D$508)-1)+$N$92</f>
        <v>0.1683366733466935</v>
      </c>
      <c r="O93">
        <f>SMALL(SimData1!$E$9:$E$508,85)</f>
        <v>-0.90992720243940528</v>
      </c>
      <c r="P93">
        <f>1/(COUNT(SimData1!$E$9:$E$508)-1)+$P$92</f>
        <v>0.1683366733466935</v>
      </c>
      <c r="Q93">
        <f>SMALL(SimData1!$F$9:$F$508,85)</f>
        <v>0.23</v>
      </c>
      <c r="R93">
        <f>1/(COUNT(SimData1!$F$9:$F$508)-1)+$R$92</f>
        <v>0.1683366733466935</v>
      </c>
      <c r="S93">
        <f>SMALL(SimData1!$G$9:$G$508,85)</f>
        <v>4</v>
      </c>
      <c r="T93">
        <f>1/(COUNT(SimData1!$G$9:$G$508)-1)+$T$92</f>
        <v>0.1683366733466935</v>
      </c>
    </row>
    <row r="94" spans="1:20">
      <c r="A94">
        <v>86</v>
      </c>
      <c r="B94">
        <v>10.825033373910733</v>
      </c>
      <c r="C94">
        <v>5.9932096460110529</v>
      </c>
      <c r="D94">
        <v>4.6219776840372884</v>
      </c>
      <c r="E94">
        <v>0.1248922264135357</v>
      </c>
      <c r="F94">
        <v>0.23</v>
      </c>
      <c r="G94">
        <v>2</v>
      </c>
      <c r="I94">
        <f>SMALL(SimData1!$B$9:$B$508,86)</f>
        <v>7.1432092570508505</v>
      </c>
      <c r="J94">
        <f>1/(COUNT(SimData1!$B$9:$B$508)-1)+$J$93</f>
        <v>0.17034068136272557</v>
      </c>
      <c r="K94">
        <f>SMALL(SimData1!$C$9:$C$508,86)</f>
        <v>3.3615045878071115</v>
      </c>
      <c r="L94">
        <f>1/(COUNT(SimData1!$C$9:$C$508)-1)+$L$93</f>
        <v>0.17034068136272557</v>
      </c>
      <c r="M94">
        <f>SMALL(SimData1!$D$9:$D$508,86)</f>
        <v>3.4172667260321941</v>
      </c>
      <c r="N94">
        <f>1/(COUNT(SimData1!$D$9:$D$508)-1)+$N$93</f>
        <v>0.17034068136272557</v>
      </c>
      <c r="O94">
        <f>SMALL(SimData1!$E$9:$E$508,86)</f>
        <v>-0.89943597232173689</v>
      </c>
      <c r="P94">
        <f>1/(COUNT(SimData1!$E$9:$E$508)-1)+$P$93</f>
        <v>0.17034068136272557</v>
      </c>
      <c r="Q94">
        <f>SMALL(SimData1!$F$9:$F$508,86)</f>
        <v>0.23</v>
      </c>
      <c r="R94">
        <f>1/(COUNT(SimData1!$F$9:$F$508)-1)+$R$93</f>
        <v>0.17034068136272557</v>
      </c>
      <c r="S94">
        <f>SMALL(SimData1!$G$9:$G$508,86)</f>
        <v>4</v>
      </c>
      <c r="T94">
        <f>1/(COUNT(SimData1!$G$9:$G$508)-1)+$T$93</f>
        <v>0.17034068136272557</v>
      </c>
    </row>
    <row r="95" spans="1:20">
      <c r="A95">
        <v>87</v>
      </c>
      <c r="B95">
        <v>7.0858575134178867</v>
      </c>
      <c r="C95">
        <v>8.9112452447263628</v>
      </c>
      <c r="D95">
        <v>10.437668273098224</v>
      </c>
      <c r="E95">
        <v>-1.4111813968360847</v>
      </c>
      <c r="F95">
        <v>0.23</v>
      </c>
      <c r="G95">
        <v>4</v>
      </c>
      <c r="I95">
        <f>SMALL(SimData1!$B$9:$B$508,87)</f>
        <v>7.1774664134735726</v>
      </c>
      <c r="J95">
        <f>1/(COUNT(SimData1!$B$9:$B$508)-1)+$J$94</f>
        <v>0.17234468937875763</v>
      </c>
      <c r="K95">
        <f>SMALL(SimData1!$C$9:$C$508,87)</f>
        <v>3.3865775648417364</v>
      </c>
      <c r="L95">
        <f>1/(COUNT(SimData1!$C$9:$C$508)-1)+$L$94</f>
        <v>0.17234468937875763</v>
      </c>
      <c r="M95">
        <f>SMALL(SimData1!$D$9:$D$508,87)</f>
        <v>3.455504490448047</v>
      </c>
      <c r="N95">
        <f>1/(COUNT(SimData1!$D$9:$D$508)-1)+$N$94</f>
        <v>0.17234468937875763</v>
      </c>
      <c r="O95">
        <f>SMALL(SimData1!$E$9:$E$508,87)</f>
        <v>-0.89425588794075728</v>
      </c>
      <c r="P95">
        <f>1/(COUNT(SimData1!$E$9:$E$508)-1)+$P$94</f>
        <v>0.17234468937875763</v>
      </c>
      <c r="Q95">
        <f>SMALL(SimData1!$F$9:$F$508,87)</f>
        <v>0.23</v>
      </c>
      <c r="R95">
        <f>1/(COUNT(SimData1!$F$9:$F$508)-1)+$R$94</f>
        <v>0.17234468937875763</v>
      </c>
      <c r="S95">
        <f>SMALL(SimData1!$G$9:$G$508,87)</f>
        <v>4</v>
      </c>
      <c r="T95">
        <f>1/(COUNT(SimData1!$G$9:$G$508)-1)+$T$94</f>
        <v>0.17234468937875763</v>
      </c>
    </row>
    <row r="96" spans="1:20">
      <c r="A96">
        <v>88</v>
      </c>
      <c r="B96">
        <v>13.005509084738231</v>
      </c>
      <c r="C96">
        <v>9.5470968098368267</v>
      </c>
      <c r="D96">
        <v>17.458390335856564</v>
      </c>
      <c r="E96">
        <v>-0.51384401919704525</v>
      </c>
      <c r="F96">
        <v>0.23</v>
      </c>
      <c r="G96">
        <v>4</v>
      </c>
      <c r="I96">
        <f>SMALL(SimData1!$B$9:$B$508,88)</f>
        <v>7.2034172114944903</v>
      </c>
      <c r="J96">
        <f>1/(COUNT(SimData1!$B$9:$B$508)-1)+$J$95</f>
        <v>0.1743486973947897</v>
      </c>
      <c r="K96">
        <f>SMALL(SimData1!$C$9:$C$508,88)</f>
        <v>3.4007486075742053</v>
      </c>
      <c r="L96">
        <f>1/(COUNT(SimData1!$C$9:$C$508)-1)+$L$95</f>
        <v>0.1743486973947897</v>
      </c>
      <c r="M96">
        <f>SMALL(SimData1!$D$9:$D$508,88)</f>
        <v>3.483241153928275</v>
      </c>
      <c r="N96">
        <f>1/(COUNT(SimData1!$D$9:$D$508)-1)+$N$95</f>
        <v>0.1743486973947897</v>
      </c>
      <c r="O96">
        <f>SMALL(SimData1!$E$9:$E$508,88)</f>
        <v>-0.88621219941769047</v>
      </c>
      <c r="P96">
        <f>1/(COUNT(SimData1!$E$9:$E$508)-1)+$P$95</f>
        <v>0.1743486973947897</v>
      </c>
      <c r="Q96">
        <f>SMALL(SimData1!$F$9:$F$508,88)</f>
        <v>0.23</v>
      </c>
      <c r="R96">
        <f>1/(COUNT(SimData1!$F$9:$F$508)-1)+$R$95</f>
        <v>0.1743486973947897</v>
      </c>
      <c r="S96">
        <f>SMALL(SimData1!$G$9:$G$508,88)</f>
        <v>4</v>
      </c>
      <c r="T96">
        <f>1/(COUNT(SimData1!$G$9:$G$508)-1)+$T$95</f>
        <v>0.1743486973947897</v>
      </c>
    </row>
    <row r="97" spans="1:20">
      <c r="A97">
        <v>89</v>
      </c>
      <c r="B97">
        <v>3.0426406190966446</v>
      </c>
      <c r="C97">
        <v>5.7454088487516639</v>
      </c>
      <c r="D97">
        <v>2.2770903052550486</v>
      </c>
      <c r="E97">
        <v>-1.0023422335283407</v>
      </c>
      <c r="F97">
        <v>0.23</v>
      </c>
      <c r="G97">
        <v>2</v>
      </c>
      <c r="I97">
        <f>SMALL(SimData1!$B$9:$B$508,89)</f>
        <v>7.2283502302344491</v>
      </c>
      <c r="J97">
        <f>1/(COUNT(SimData1!$B$9:$B$508)-1)+$J$96</f>
        <v>0.17635270541082176</v>
      </c>
      <c r="K97">
        <f>SMALL(SimData1!$C$9:$C$508,89)</f>
        <v>3.4143363550171104</v>
      </c>
      <c r="L97">
        <f>1/(COUNT(SimData1!$C$9:$C$508)-1)+$L$96</f>
        <v>0.17635270541082176</v>
      </c>
      <c r="M97">
        <f>SMALL(SimData1!$D$9:$D$508,89)</f>
        <v>3.5225992232380898</v>
      </c>
      <c r="N97">
        <f>1/(COUNT(SimData1!$D$9:$D$508)-1)+$N$96</f>
        <v>0.17635270541082176</v>
      </c>
      <c r="O97">
        <f>SMALL(SimData1!$E$9:$E$508,89)</f>
        <v>-0.88065478384604379</v>
      </c>
      <c r="P97">
        <f>1/(COUNT(SimData1!$E$9:$E$508)-1)+$P$96</f>
        <v>0.17635270541082176</v>
      </c>
      <c r="Q97">
        <f>SMALL(SimData1!$F$9:$F$508,89)</f>
        <v>0.23</v>
      </c>
      <c r="R97">
        <f>1/(COUNT(SimData1!$F$9:$F$508)-1)+$R$96</f>
        <v>0.17635270541082176</v>
      </c>
      <c r="S97">
        <f>SMALL(SimData1!$G$9:$G$508,89)</f>
        <v>4</v>
      </c>
      <c r="T97">
        <f>1/(COUNT(SimData1!$G$9:$G$508)-1)+$T$96</f>
        <v>0.17635270541082176</v>
      </c>
    </row>
    <row r="98" spans="1:20">
      <c r="A98">
        <v>90</v>
      </c>
      <c r="B98">
        <v>11.261922185370974</v>
      </c>
      <c r="C98">
        <v>5.3155468866051052</v>
      </c>
      <c r="D98">
        <v>6.5966839993271709</v>
      </c>
      <c r="E98">
        <v>-1.3574155900860663</v>
      </c>
      <c r="F98">
        <v>0.23</v>
      </c>
      <c r="G98">
        <v>9</v>
      </c>
      <c r="I98">
        <f>SMALL(SimData1!$B$9:$B$508,90)</f>
        <v>7.2319573430415494</v>
      </c>
      <c r="J98">
        <f>1/(COUNT(SimData1!$B$9:$B$508)-1)+$J$97</f>
        <v>0.17835671342685383</v>
      </c>
      <c r="K98">
        <f>SMALL(SimData1!$C$9:$C$508,90)</f>
        <v>3.4308542442933785</v>
      </c>
      <c r="L98">
        <f>1/(COUNT(SimData1!$C$9:$C$508)-1)+$L$97</f>
        <v>0.17835671342685383</v>
      </c>
      <c r="M98">
        <f>SMALL(SimData1!$D$9:$D$508,90)</f>
        <v>3.5840453863479302</v>
      </c>
      <c r="N98">
        <f>1/(COUNT(SimData1!$D$9:$D$508)-1)+$N$97</f>
        <v>0.17835671342685383</v>
      </c>
      <c r="O98">
        <f>SMALL(SimData1!$E$9:$E$508,90)</f>
        <v>-0.87296440234703132</v>
      </c>
      <c r="P98">
        <f>1/(COUNT(SimData1!$E$9:$E$508)-1)+$P$97</f>
        <v>0.17835671342685383</v>
      </c>
      <c r="Q98">
        <f>SMALL(SimData1!$F$9:$F$508,90)</f>
        <v>0.23</v>
      </c>
      <c r="R98">
        <f>1/(COUNT(SimData1!$F$9:$F$508)-1)+$R$97</f>
        <v>0.17835671342685383</v>
      </c>
      <c r="S98">
        <f>SMALL(SimData1!$G$9:$G$508,90)</f>
        <v>4</v>
      </c>
      <c r="T98">
        <f>1/(COUNT(SimData1!$G$9:$G$508)-1)+$T$97</f>
        <v>0.17835671342685383</v>
      </c>
    </row>
    <row r="99" spans="1:20">
      <c r="A99">
        <v>91</v>
      </c>
      <c r="B99">
        <v>8.2134927022816679</v>
      </c>
      <c r="C99">
        <v>5.469384077533471</v>
      </c>
      <c r="D99">
        <v>16.480161650458388</v>
      </c>
      <c r="E99">
        <v>23.873907065506902</v>
      </c>
      <c r="F99">
        <v>0.23</v>
      </c>
      <c r="G99">
        <v>2</v>
      </c>
      <c r="I99">
        <f>SMALL(SimData1!$B$9:$B$508,91)</f>
        <v>7.2764256284264963</v>
      </c>
      <c r="J99">
        <f>1/(COUNT(SimData1!$B$9:$B$508)-1)+$J$98</f>
        <v>0.1803607214428859</v>
      </c>
      <c r="K99">
        <f>SMALL(SimData1!$C$9:$C$508,91)</f>
        <v>3.4491863732471097</v>
      </c>
      <c r="L99">
        <f>1/(COUNT(SimData1!$C$9:$C$508)-1)+$L$98</f>
        <v>0.1803607214428859</v>
      </c>
      <c r="M99">
        <f>SMALL(SimData1!$D$9:$D$508,91)</f>
        <v>3.6321979108993423</v>
      </c>
      <c r="N99">
        <f>1/(COUNT(SimData1!$D$9:$D$508)-1)+$N$98</f>
        <v>0.1803607214428859</v>
      </c>
      <c r="O99">
        <f>SMALL(SimData1!$E$9:$E$508,91)</f>
        <v>-0.86976597414116974</v>
      </c>
      <c r="P99">
        <f>1/(COUNT(SimData1!$E$9:$E$508)-1)+$P$98</f>
        <v>0.1803607214428859</v>
      </c>
      <c r="Q99">
        <f>SMALL(SimData1!$F$9:$F$508,91)</f>
        <v>0.23</v>
      </c>
      <c r="R99">
        <f>1/(COUNT(SimData1!$F$9:$F$508)-1)+$R$98</f>
        <v>0.1803607214428859</v>
      </c>
      <c r="S99">
        <f>SMALL(SimData1!$G$9:$G$508,91)</f>
        <v>4</v>
      </c>
      <c r="T99">
        <f>1/(COUNT(SimData1!$G$9:$G$508)-1)+$T$98</f>
        <v>0.1803607214428859</v>
      </c>
    </row>
    <row r="100" spans="1:20">
      <c r="A100">
        <v>92</v>
      </c>
      <c r="B100">
        <v>14.327332311284149</v>
      </c>
      <c r="C100">
        <v>9.1969869813129748</v>
      </c>
      <c r="D100">
        <v>9.7817588626476368</v>
      </c>
      <c r="E100">
        <v>22.138821677490718</v>
      </c>
      <c r="F100">
        <v>0.23</v>
      </c>
      <c r="G100">
        <v>4</v>
      </c>
      <c r="I100">
        <f>SMALL(SimData1!$B$9:$B$508,92)</f>
        <v>7.2921056590598434</v>
      </c>
      <c r="J100">
        <f>1/(COUNT(SimData1!$B$9:$B$508)-1)+$J$99</f>
        <v>0.18236472945891796</v>
      </c>
      <c r="K100">
        <f>SMALL(SimData1!$C$9:$C$508,92)</f>
        <v>3.4682546109250412</v>
      </c>
      <c r="L100">
        <f>1/(COUNT(SimData1!$C$9:$C$508)-1)+$L$99</f>
        <v>0.18236472945891796</v>
      </c>
      <c r="M100">
        <f>SMALL(SimData1!$D$9:$D$508,92)</f>
        <v>3.6547060155623381</v>
      </c>
      <c r="N100">
        <f>1/(COUNT(SimData1!$D$9:$D$508)-1)+$N$99</f>
        <v>0.18236472945891796</v>
      </c>
      <c r="O100">
        <f>SMALL(SimData1!$E$9:$E$508,92)</f>
        <v>-0.86070959801265878</v>
      </c>
      <c r="P100">
        <f>1/(COUNT(SimData1!$E$9:$E$508)-1)+$P$99</f>
        <v>0.18236472945891796</v>
      </c>
      <c r="Q100">
        <f>SMALL(SimData1!$F$9:$F$508,92)</f>
        <v>0.23</v>
      </c>
      <c r="R100">
        <f>1/(COUNT(SimData1!$F$9:$F$508)-1)+$R$99</f>
        <v>0.18236472945891796</v>
      </c>
      <c r="S100">
        <f>SMALL(SimData1!$G$9:$G$508,92)</f>
        <v>4</v>
      </c>
      <c r="T100">
        <f>1/(COUNT(SimData1!$G$9:$G$508)-1)+$T$99</f>
        <v>0.18236472945891796</v>
      </c>
    </row>
    <row r="101" spans="1:20">
      <c r="A101">
        <v>93</v>
      </c>
      <c r="B101">
        <v>7.9768693195745479</v>
      </c>
      <c r="C101">
        <v>6.8311827347313949</v>
      </c>
      <c r="D101">
        <v>2.2924810260693729</v>
      </c>
      <c r="E101">
        <v>-0.18994703309209049</v>
      </c>
      <c r="F101">
        <v>0.23</v>
      </c>
      <c r="G101">
        <v>10</v>
      </c>
      <c r="I101">
        <f>SMALL(SimData1!$B$9:$B$508,93)</f>
        <v>7.3170424129325529</v>
      </c>
      <c r="J101">
        <f>1/(COUNT(SimData1!$B$9:$B$508)-1)+$J$100</f>
        <v>0.18436873747495003</v>
      </c>
      <c r="K101">
        <f>SMALL(SimData1!$C$9:$C$508,93)</f>
        <v>3.4763961968543931</v>
      </c>
      <c r="L101">
        <f>1/(COUNT(SimData1!$C$9:$C$508)-1)+$L$100</f>
        <v>0.18436873747495003</v>
      </c>
      <c r="M101">
        <f>SMALL(SimData1!$D$9:$D$508,93)</f>
        <v>3.705033723764362</v>
      </c>
      <c r="N101">
        <f>1/(COUNT(SimData1!$D$9:$D$508)-1)+$N$100</f>
        <v>0.18436873747495003</v>
      </c>
      <c r="O101">
        <f>SMALL(SimData1!$E$9:$E$508,93)</f>
        <v>-0.85257193485955318</v>
      </c>
      <c r="P101">
        <f>1/(COUNT(SimData1!$E$9:$E$508)-1)+$P$100</f>
        <v>0.18436873747495003</v>
      </c>
      <c r="Q101">
        <f>SMALL(SimData1!$F$9:$F$508,93)</f>
        <v>0.23</v>
      </c>
      <c r="R101">
        <f>1/(COUNT(SimData1!$F$9:$F$508)-1)+$R$100</f>
        <v>0.18436873747495003</v>
      </c>
      <c r="S101">
        <f>SMALL(SimData1!$G$9:$G$508,93)</f>
        <v>4</v>
      </c>
      <c r="T101">
        <f>1/(COUNT(SimData1!$G$9:$G$508)-1)+$T$100</f>
        <v>0.18436873747495003</v>
      </c>
    </row>
    <row r="102" spans="1:20">
      <c r="A102">
        <v>94</v>
      </c>
      <c r="B102">
        <v>9.9486820379535885</v>
      </c>
      <c r="C102">
        <v>3.6110988949525868</v>
      </c>
      <c r="D102">
        <v>15.220744680478411</v>
      </c>
      <c r="E102">
        <v>22.868303948584138</v>
      </c>
      <c r="F102">
        <v>0.23</v>
      </c>
      <c r="G102">
        <v>2</v>
      </c>
      <c r="I102">
        <f>SMALL(SimData1!$B$9:$B$508,94)</f>
        <v>7.3264937160251158</v>
      </c>
      <c r="J102">
        <f>1/(COUNT(SimData1!$B$9:$B$508)-1)+$J$101</f>
        <v>0.18637274549098209</v>
      </c>
      <c r="K102">
        <f>SMALL(SimData1!$C$9:$C$508,94)</f>
        <v>3.4885090548769826</v>
      </c>
      <c r="L102">
        <f>1/(COUNT(SimData1!$C$9:$C$508)-1)+$L$101</f>
        <v>0.18637274549098209</v>
      </c>
      <c r="M102">
        <f>SMALL(SimData1!$D$9:$D$508,94)</f>
        <v>3.7222908524894831</v>
      </c>
      <c r="N102">
        <f>1/(COUNT(SimData1!$D$9:$D$508)-1)+$N$101</f>
        <v>0.18637274549098209</v>
      </c>
      <c r="O102">
        <f>SMALL(SimData1!$E$9:$E$508,94)</f>
        <v>-0.84570537964541281</v>
      </c>
      <c r="P102">
        <f>1/(COUNT(SimData1!$E$9:$E$508)-1)+$P$101</f>
        <v>0.18637274549098209</v>
      </c>
      <c r="Q102">
        <f>SMALL(SimData1!$F$9:$F$508,94)</f>
        <v>0.23</v>
      </c>
      <c r="R102">
        <f>1/(COUNT(SimData1!$F$9:$F$508)-1)+$R$101</f>
        <v>0.18637274549098209</v>
      </c>
      <c r="S102">
        <f>SMALL(SimData1!$G$9:$G$508,94)</f>
        <v>4</v>
      </c>
      <c r="T102">
        <f>1/(COUNT(SimData1!$G$9:$G$508)-1)+$T$101</f>
        <v>0.18637274549098209</v>
      </c>
    </row>
    <row r="103" spans="1:20">
      <c r="A103">
        <v>95</v>
      </c>
      <c r="B103">
        <v>13.827349715535716</v>
      </c>
      <c r="C103">
        <v>4.8421770064966232</v>
      </c>
      <c r="D103">
        <v>6.2507968535802316</v>
      </c>
      <c r="E103">
        <v>22.00533516923274</v>
      </c>
      <c r="F103">
        <v>0.23</v>
      </c>
      <c r="G103">
        <v>9</v>
      </c>
      <c r="I103">
        <f>SMALL(SimData1!$B$9:$B$508,95)</f>
        <v>7.3600971195619458</v>
      </c>
      <c r="J103">
        <f>1/(COUNT(SimData1!$B$9:$B$508)-1)+$J$102</f>
        <v>0.18837675350701416</v>
      </c>
      <c r="K103">
        <f>SMALL(SimData1!$C$9:$C$508,95)</f>
        <v>3.5155746496905511</v>
      </c>
      <c r="L103">
        <f>1/(COUNT(SimData1!$C$9:$C$508)-1)+$L$102</f>
        <v>0.18837675350701416</v>
      </c>
      <c r="M103">
        <f>SMALL(SimData1!$D$9:$D$508,95)</f>
        <v>3.7931753339602556</v>
      </c>
      <c r="N103">
        <f>1/(COUNT(SimData1!$D$9:$D$508)-1)+$N$102</f>
        <v>0.18837675350701416</v>
      </c>
      <c r="O103">
        <f>SMALL(SimData1!$E$9:$E$508,95)</f>
        <v>-0.83901472753351158</v>
      </c>
      <c r="P103">
        <f>1/(COUNT(SimData1!$E$9:$E$508)-1)+$P$102</f>
        <v>0.18837675350701416</v>
      </c>
      <c r="Q103">
        <f>SMALL(SimData1!$F$9:$F$508,95)</f>
        <v>0.23</v>
      </c>
      <c r="R103">
        <f>1/(COUNT(SimData1!$F$9:$F$508)-1)+$R$102</f>
        <v>0.18837675350701416</v>
      </c>
      <c r="S103">
        <f>SMALL(SimData1!$G$9:$G$508,95)</f>
        <v>4</v>
      </c>
      <c r="T103">
        <f>1/(COUNT(SimData1!$G$9:$G$508)-1)+$T$102</f>
        <v>0.18837675350701416</v>
      </c>
    </row>
    <row r="104" spans="1:20">
      <c r="A104">
        <v>96</v>
      </c>
      <c r="B104">
        <v>8.866522213264755</v>
      </c>
      <c r="C104">
        <v>5.5343263138528744</v>
      </c>
      <c r="D104">
        <v>9.9874575696427961</v>
      </c>
      <c r="E104">
        <v>-1.041298200458558</v>
      </c>
      <c r="F104">
        <v>0.23</v>
      </c>
      <c r="G104">
        <v>12</v>
      </c>
      <c r="I104">
        <f>SMALL(SimData1!$B$9:$B$508,96)</f>
        <v>7.3719966445330449</v>
      </c>
      <c r="J104">
        <f>1/(COUNT(SimData1!$B$9:$B$508)-1)+$J$103</f>
        <v>0.19038076152304623</v>
      </c>
      <c r="K104">
        <f>SMALL(SimData1!$C$9:$C$508,96)</f>
        <v>3.5314600716855979</v>
      </c>
      <c r="L104">
        <f>1/(COUNT(SimData1!$C$9:$C$508)-1)+$L$103</f>
        <v>0.19038076152304623</v>
      </c>
      <c r="M104">
        <f>SMALL(SimData1!$D$9:$D$508,96)</f>
        <v>3.8324252968822665</v>
      </c>
      <c r="N104">
        <f>1/(COUNT(SimData1!$D$9:$D$508)-1)+$N$103</f>
        <v>0.19038076152304623</v>
      </c>
      <c r="O104">
        <f>SMALL(SimData1!$E$9:$E$508,96)</f>
        <v>-0.83134516670291514</v>
      </c>
      <c r="P104">
        <f>1/(COUNT(SimData1!$E$9:$E$508)-1)+$P$103</f>
        <v>0.19038076152304623</v>
      </c>
      <c r="Q104">
        <f>SMALL(SimData1!$F$9:$F$508,96)</f>
        <v>0.23</v>
      </c>
      <c r="R104">
        <f>1/(COUNT(SimData1!$F$9:$F$508)-1)+$R$103</f>
        <v>0.19038076152304623</v>
      </c>
      <c r="S104">
        <f>SMALL(SimData1!$G$9:$G$508,96)</f>
        <v>4</v>
      </c>
      <c r="T104">
        <f>1/(COUNT(SimData1!$G$9:$G$508)-1)+$T$103</f>
        <v>0.19038076152304623</v>
      </c>
    </row>
    <row r="105" spans="1:20">
      <c r="A105">
        <v>97</v>
      </c>
      <c r="B105">
        <v>11.778810916640261</v>
      </c>
      <c r="C105">
        <v>5.0656388380475432</v>
      </c>
      <c r="D105">
        <v>17.101292999928187</v>
      </c>
      <c r="E105">
        <v>-1.3456399279813063</v>
      </c>
      <c r="F105">
        <v>0.23</v>
      </c>
      <c r="G105">
        <v>4</v>
      </c>
      <c r="I105">
        <f>SMALL(SimData1!$B$9:$B$508,97)</f>
        <v>7.4025009655028668</v>
      </c>
      <c r="J105">
        <f>1/(COUNT(SimData1!$B$9:$B$508)-1)+$J$104</f>
        <v>0.19238476953907829</v>
      </c>
      <c r="K105">
        <f>SMALL(SimData1!$C$9:$C$508,97)</f>
        <v>3.5518393563143533</v>
      </c>
      <c r="L105">
        <f>1/(COUNT(SimData1!$C$9:$C$508)-1)+$L$104</f>
        <v>0.19238476953907829</v>
      </c>
      <c r="M105">
        <f>SMALL(SimData1!$D$9:$D$508,97)</f>
        <v>3.8762439111611444</v>
      </c>
      <c r="N105">
        <f>1/(COUNT(SimData1!$D$9:$D$508)-1)+$N$104</f>
        <v>0.19238476953907829</v>
      </c>
      <c r="O105">
        <f>SMALL(SimData1!$E$9:$E$508,97)</f>
        <v>-0.82132001978923974</v>
      </c>
      <c r="P105">
        <f>1/(COUNT(SimData1!$E$9:$E$508)-1)+$P$104</f>
        <v>0.19238476953907829</v>
      </c>
      <c r="Q105">
        <f>SMALL(SimData1!$F$9:$F$508,97)</f>
        <v>0.23</v>
      </c>
      <c r="R105">
        <f>1/(COUNT(SimData1!$F$9:$F$508)-1)+$R$104</f>
        <v>0.19238476953907829</v>
      </c>
      <c r="S105">
        <f>SMALL(SimData1!$G$9:$G$508,97)</f>
        <v>4</v>
      </c>
      <c r="T105">
        <f>1/(COUNT(SimData1!$G$9:$G$508)-1)+$T$104</f>
        <v>0.19238476953907829</v>
      </c>
    </row>
    <row r="106" spans="1:20">
      <c r="A106">
        <v>98</v>
      </c>
      <c r="B106">
        <v>9.5516880176217267</v>
      </c>
      <c r="C106">
        <v>2.269052236869245</v>
      </c>
      <c r="D106">
        <v>2.3526015890949874</v>
      </c>
      <c r="E106">
        <v>23.15854468002571</v>
      </c>
      <c r="F106">
        <v>0.23</v>
      </c>
      <c r="G106">
        <v>6</v>
      </c>
      <c r="I106">
        <f>SMALL(SimData1!$B$9:$B$508,98)</f>
        <v>7.4311678925673306</v>
      </c>
      <c r="J106">
        <f>1/(COUNT(SimData1!$B$9:$B$508)-1)+$J$105</f>
        <v>0.19438877755511036</v>
      </c>
      <c r="K106">
        <f>SMALL(SimData1!$C$9:$C$508,98)</f>
        <v>3.5664502539258569</v>
      </c>
      <c r="L106">
        <f>1/(COUNT(SimData1!$C$9:$C$508)-1)+$L$105</f>
        <v>0.19438877755511036</v>
      </c>
      <c r="M106">
        <f>SMALL(SimData1!$D$9:$D$508,98)</f>
        <v>3.9135404822960358</v>
      </c>
      <c r="N106">
        <f>1/(COUNT(SimData1!$D$9:$D$508)-1)+$N$105</f>
        <v>0.19438877755511036</v>
      </c>
      <c r="O106">
        <f>SMALL(SimData1!$E$9:$E$508,98)</f>
        <v>-0.81845864217423259</v>
      </c>
      <c r="P106">
        <f>1/(COUNT(SimData1!$E$9:$E$508)-1)+$P$105</f>
        <v>0.19438877755511036</v>
      </c>
      <c r="Q106">
        <f>SMALL(SimData1!$F$9:$F$508,98)</f>
        <v>0.23</v>
      </c>
      <c r="R106">
        <f>1/(COUNT(SimData1!$F$9:$F$508)-1)+$R$105</f>
        <v>0.19438877755511036</v>
      </c>
      <c r="S106">
        <f>SMALL(SimData1!$G$9:$G$508,98)</f>
        <v>4</v>
      </c>
      <c r="T106">
        <f>1/(COUNT(SimData1!$G$9:$G$508)-1)+$T$105</f>
        <v>0.19438877755511036</v>
      </c>
    </row>
    <row r="107" spans="1:20">
      <c r="A107">
        <v>99</v>
      </c>
      <c r="B107">
        <v>7.5988221987651183</v>
      </c>
      <c r="C107">
        <v>5.3596472335009944</v>
      </c>
      <c r="D107">
        <v>9.0999451793404162</v>
      </c>
      <c r="E107">
        <v>22.116381076873488</v>
      </c>
      <c r="F107">
        <v>0.23</v>
      </c>
      <c r="G107">
        <v>2</v>
      </c>
      <c r="I107">
        <f>SMALL(SimData1!$B$9:$B$508,99)</f>
        <v>7.4331346304681709</v>
      </c>
      <c r="J107">
        <f>1/(COUNT(SimData1!$B$9:$B$508)-1)+$J$106</f>
        <v>0.19639278557114243</v>
      </c>
      <c r="K107">
        <f>SMALL(SimData1!$C$9:$C$508,99)</f>
        <v>3.5733372502860932</v>
      </c>
      <c r="L107">
        <f>1/(COUNT(SimData1!$C$9:$C$508)-1)+$L$106</f>
        <v>0.19639278557114243</v>
      </c>
      <c r="M107">
        <f>SMALL(SimData1!$D$9:$D$508,99)</f>
        <v>3.950109825849093</v>
      </c>
      <c r="N107">
        <f>1/(COUNT(SimData1!$D$9:$D$508)-1)+$N$106</f>
        <v>0.19639278557114243</v>
      </c>
      <c r="O107">
        <f>SMALL(SimData1!$E$9:$E$508,99)</f>
        <v>-0.80859523346077122</v>
      </c>
      <c r="P107">
        <f>1/(COUNT(SimData1!$E$9:$E$508)-1)+$P$106</f>
        <v>0.19639278557114243</v>
      </c>
      <c r="Q107">
        <f>SMALL(SimData1!$F$9:$F$508,99)</f>
        <v>0.23</v>
      </c>
      <c r="R107">
        <f>1/(COUNT(SimData1!$F$9:$F$508)-1)+$R$106</f>
        <v>0.19639278557114243</v>
      </c>
      <c r="S107">
        <f>SMALL(SimData1!$G$9:$G$508,99)</f>
        <v>4</v>
      </c>
      <c r="T107">
        <f>1/(COUNT(SimData1!$G$9:$G$508)-1)+$T$106</f>
        <v>0.19639278557114243</v>
      </c>
    </row>
    <row r="108" spans="1:20">
      <c r="A108">
        <v>100</v>
      </c>
      <c r="B108">
        <v>7.2034172114944903</v>
      </c>
      <c r="C108">
        <v>7.0661051600040183</v>
      </c>
      <c r="D108">
        <v>16.525474227433435</v>
      </c>
      <c r="E108">
        <v>22.42546190882971</v>
      </c>
      <c r="F108">
        <v>0.23</v>
      </c>
      <c r="G108">
        <v>10</v>
      </c>
      <c r="I108">
        <f>SMALL(SimData1!$B$9:$B$508,100)</f>
        <v>7.4638384859006131</v>
      </c>
      <c r="J108">
        <f>1/(COUNT(SimData1!$B$9:$B$508)-1)+$J$107</f>
        <v>0.19839679358717449</v>
      </c>
      <c r="K108">
        <f>SMALL(SimData1!$C$9:$C$508,100)</f>
        <v>3.5865364304190819</v>
      </c>
      <c r="L108">
        <f>1/(COUNT(SimData1!$C$9:$C$508)-1)+$L$107</f>
        <v>0.19839679358717449</v>
      </c>
      <c r="M108">
        <f>SMALL(SimData1!$D$9:$D$508,100)</f>
        <v>3.9951584437943897</v>
      </c>
      <c r="N108">
        <f>1/(COUNT(SimData1!$D$9:$D$508)-1)+$N$107</f>
        <v>0.19839679358717449</v>
      </c>
      <c r="O108">
        <f>SMALL(SimData1!$E$9:$E$508,100)</f>
        <v>-0.80594603036222756</v>
      </c>
      <c r="P108">
        <f>1/(COUNT(SimData1!$E$9:$E$508)-1)+$P$107</f>
        <v>0.19839679358717449</v>
      </c>
      <c r="Q108">
        <f>SMALL(SimData1!$F$9:$F$508,100)</f>
        <v>0.23</v>
      </c>
      <c r="R108">
        <f>1/(COUNT(SimData1!$F$9:$F$508)-1)+$R$107</f>
        <v>0.19839679358717449</v>
      </c>
      <c r="S108">
        <f>SMALL(SimData1!$G$9:$G$508,100)</f>
        <v>4</v>
      </c>
      <c r="T108">
        <f>1/(COUNT(SimData1!$G$9:$G$508)-1)+$T$107</f>
        <v>0.19839679358717449</v>
      </c>
    </row>
    <row r="109" spans="1:20">
      <c r="A109">
        <v>101</v>
      </c>
      <c r="B109">
        <v>8.9325808303026726</v>
      </c>
      <c r="C109">
        <v>6.6933839739126579</v>
      </c>
      <c r="D109">
        <v>6.0247735878994622</v>
      </c>
      <c r="E109">
        <v>-0.32171778523933559</v>
      </c>
      <c r="F109">
        <v>0.23</v>
      </c>
      <c r="G109">
        <v>10</v>
      </c>
      <c r="I109">
        <f>SMALL(SimData1!$B$9:$B$508,101)</f>
        <v>7.4868275307703991</v>
      </c>
      <c r="J109">
        <f>1/(COUNT(SimData1!$B$9:$B$508)-1)+$J$108</f>
        <v>0.20040080160320656</v>
      </c>
      <c r="K109">
        <f>SMALL(SimData1!$C$9:$C$508,101)</f>
        <v>3.6110988949525868</v>
      </c>
      <c r="L109">
        <f>1/(COUNT(SimData1!$C$9:$C$508)-1)+$L$108</f>
        <v>0.20040080160320656</v>
      </c>
      <c r="M109">
        <f>SMALL(SimData1!$D$9:$D$508,101)</f>
        <v>4.0105675158674288</v>
      </c>
      <c r="N109">
        <f>1/(COUNT(SimData1!$D$9:$D$508)-1)+$N$108</f>
        <v>0.20040080160320656</v>
      </c>
      <c r="O109">
        <f>SMALL(SimData1!$E$9:$E$508,101)</f>
        <v>-0.79611313464801881</v>
      </c>
      <c r="P109">
        <f>1/(COUNT(SimData1!$E$9:$E$508)-1)+$P$108</f>
        <v>0.20040080160320656</v>
      </c>
      <c r="Q109">
        <f>SMALL(SimData1!$F$9:$F$508,101)</f>
        <v>0.23</v>
      </c>
      <c r="R109">
        <f>1/(COUNT(SimData1!$F$9:$F$508)-1)+$R$108</f>
        <v>0.20040080160320656</v>
      </c>
      <c r="S109">
        <f>SMALL(SimData1!$G$9:$G$508,101)</f>
        <v>4</v>
      </c>
      <c r="T109">
        <f>1/(COUNT(SimData1!$G$9:$G$508)-1)+$T$108</f>
        <v>0.20040080160320656</v>
      </c>
    </row>
    <row r="110" spans="1:20">
      <c r="A110">
        <v>102</v>
      </c>
      <c r="B110">
        <v>6.8170941436179744</v>
      </c>
      <c r="C110">
        <v>4.595963974212288</v>
      </c>
      <c r="D110">
        <v>5.2233227891343006</v>
      </c>
      <c r="E110">
        <v>22.968625292589216</v>
      </c>
      <c r="F110">
        <v>0.23</v>
      </c>
      <c r="G110">
        <v>9</v>
      </c>
      <c r="I110">
        <f>SMALL(SimData1!$B$9:$B$508,102)</f>
        <v>7.4974756625524854</v>
      </c>
      <c r="J110">
        <f>1/(COUNT(SimData1!$B$9:$B$508)-1)+$J$109</f>
        <v>0.20240480961923862</v>
      </c>
      <c r="K110">
        <f>SMALL(SimData1!$C$9:$C$508,102)</f>
        <v>3.6176802792478542</v>
      </c>
      <c r="L110">
        <f>1/(COUNT(SimData1!$C$9:$C$508)-1)+$L$109</f>
        <v>0.20240480961923862</v>
      </c>
      <c r="M110">
        <f>SMALL(SimData1!$D$9:$D$508,102)</f>
        <v>4.0769475551780658</v>
      </c>
      <c r="N110">
        <f>1/(COUNT(SimData1!$D$9:$D$508)-1)+$N$109</f>
        <v>0.20240480961923862</v>
      </c>
      <c r="O110">
        <f>SMALL(SimData1!$E$9:$E$508,102)</f>
        <v>-0.79092983969381747</v>
      </c>
      <c r="P110">
        <f>1/(COUNT(SimData1!$E$9:$E$508)-1)+$P$109</f>
        <v>0.20240480961923862</v>
      </c>
      <c r="Q110">
        <f>SMALL(SimData1!$F$9:$F$508,102)</f>
        <v>0.23</v>
      </c>
      <c r="R110">
        <f>1/(COUNT(SimData1!$F$9:$F$508)-1)+$R$109</f>
        <v>0.20240480961923862</v>
      </c>
      <c r="S110">
        <f>SMALL(SimData1!$G$9:$G$508,102)</f>
        <v>4</v>
      </c>
      <c r="T110">
        <f>1/(COUNT(SimData1!$G$9:$G$508)-1)+$T$109</f>
        <v>0.20240480961923862</v>
      </c>
    </row>
    <row r="111" spans="1:20">
      <c r="A111">
        <v>103</v>
      </c>
      <c r="B111">
        <v>7.3170424129325529</v>
      </c>
      <c r="C111">
        <v>5.097326476095553</v>
      </c>
      <c r="D111">
        <v>2.3298050166335433</v>
      </c>
      <c r="E111">
        <v>22.979373154569956</v>
      </c>
      <c r="F111">
        <v>0.23</v>
      </c>
      <c r="G111">
        <v>10</v>
      </c>
      <c r="I111">
        <f>SMALL(SimData1!$B$9:$B$508,103)</f>
        <v>7.521415029907069</v>
      </c>
      <c r="J111">
        <f>1/(COUNT(SimData1!$B$9:$B$508)-1)+$J$110</f>
        <v>0.20440881763527069</v>
      </c>
      <c r="K111">
        <f>SMALL(SimData1!$C$9:$C$508,103)</f>
        <v>3.6469990619530432</v>
      </c>
      <c r="L111">
        <f>1/(COUNT(SimData1!$C$9:$C$508)-1)+$L$110</f>
        <v>0.20440881763527069</v>
      </c>
      <c r="M111">
        <f>SMALL(SimData1!$D$9:$D$508,103)</f>
        <v>4.0876352491247552</v>
      </c>
      <c r="N111">
        <f>1/(COUNT(SimData1!$D$9:$D$508)-1)+$N$110</f>
        <v>0.20440881763527069</v>
      </c>
      <c r="O111">
        <f>SMALL(SimData1!$E$9:$E$508,103)</f>
        <v>-0.78246536885485107</v>
      </c>
      <c r="P111">
        <f>1/(COUNT(SimData1!$E$9:$E$508)-1)+$P$110</f>
        <v>0.20440881763527069</v>
      </c>
      <c r="Q111">
        <f>SMALL(SimData1!$F$9:$F$508,103)</f>
        <v>0.23</v>
      </c>
      <c r="R111">
        <f>1/(COUNT(SimData1!$F$9:$F$508)-1)+$R$110</f>
        <v>0.20440881763527069</v>
      </c>
      <c r="S111">
        <f>SMALL(SimData1!$G$9:$G$508,103)</f>
        <v>4</v>
      </c>
      <c r="T111">
        <f>1/(COUNT(SimData1!$G$9:$G$508)-1)+$T$110</f>
        <v>0.20440881763527069</v>
      </c>
    </row>
    <row r="112" spans="1:20">
      <c r="A112">
        <v>104</v>
      </c>
      <c r="B112">
        <v>9.7581240210718025</v>
      </c>
      <c r="C112">
        <v>5.6640310365893018</v>
      </c>
      <c r="D112">
        <v>7.9958641959437777</v>
      </c>
      <c r="E112">
        <v>22.805581375882277</v>
      </c>
      <c r="F112">
        <v>0.23</v>
      </c>
      <c r="G112">
        <v>6</v>
      </c>
      <c r="I112">
        <f>SMALL(SimData1!$B$9:$B$508,104)</f>
        <v>7.5400326218279199</v>
      </c>
      <c r="J112">
        <f>1/(COUNT(SimData1!$B$9:$B$508)-1)+$J$111</f>
        <v>0.20641282565130276</v>
      </c>
      <c r="K112">
        <f>SMALL(SimData1!$C$9:$C$508,104)</f>
        <v>3.6552376682849688</v>
      </c>
      <c r="L112">
        <f>1/(COUNT(SimData1!$C$9:$C$508)-1)+$L$111</f>
        <v>0.20641282565130276</v>
      </c>
      <c r="M112">
        <f>SMALL(SimData1!$D$9:$D$508,104)</f>
        <v>4.1537903262101565</v>
      </c>
      <c r="N112">
        <f>1/(COUNT(SimData1!$D$9:$D$508)-1)+$N$111</f>
        <v>0.20641282565130276</v>
      </c>
      <c r="O112">
        <f>SMALL(SimData1!$E$9:$E$508,104)</f>
        <v>-0.77552349209750893</v>
      </c>
      <c r="P112">
        <f>1/(COUNT(SimData1!$E$9:$E$508)-1)+$P$111</f>
        <v>0.20641282565130276</v>
      </c>
      <c r="Q112">
        <f>SMALL(SimData1!$F$9:$F$508,104)</f>
        <v>0.23</v>
      </c>
      <c r="R112">
        <f>1/(COUNT(SimData1!$F$9:$F$508)-1)+$R$111</f>
        <v>0.20641282565130276</v>
      </c>
      <c r="S112">
        <f>SMALL(SimData1!$G$9:$G$508,104)</f>
        <v>4</v>
      </c>
      <c r="T112">
        <f>1/(COUNT(SimData1!$G$9:$G$508)-1)+$T$111</f>
        <v>0.20641282565130276</v>
      </c>
    </row>
    <row r="113" spans="1:20">
      <c r="A113">
        <v>105</v>
      </c>
      <c r="B113">
        <v>10.969689523467951</v>
      </c>
      <c r="C113">
        <v>9.5885717498000176</v>
      </c>
      <c r="D113">
        <v>11.824681206343854</v>
      </c>
      <c r="E113">
        <v>23.804496755628648</v>
      </c>
      <c r="F113">
        <v>0.23</v>
      </c>
      <c r="G113">
        <v>10</v>
      </c>
      <c r="I113">
        <f>SMALL(SimData1!$B$9:$B$508,105)</f>
        <v>7.5724756822760266</v>
      </c>
      <c r="J113">
        <f>1/(COUNT(SimData1!$B$9:$B$508)-1)+$J$112</f>
        <v>0.20841683366733482</v>
      </c>
      <c r="K113">
        <f>SMALL(SimData1!$C$9:$C$508,105)</f>
        <v>3.675488138927959</v>
      </c>
      <c r="L113">
        <f>1/(COUNT(SimData1!$C$9:$C$508)-1)+$L$112</f>
        <v>0.20841683366733482</v>
      </c>
      <c r="M113">
        <f>SMALL(SimData1!$D$9:$D$508,105)</f>
        <v>4.1989778472760175</v>
      </c>
      <c r="N113">
        <f>1/(COUNT(SimData1!$D$9:$D$508)-1)+$N$112</f>
        <v>0.20841683366733482</v>
      </c>
      <c r="O113">
        <f>SMALL(SimData1!$E$9:$E$508,105)</f>
        <v>-0.76969827391741574</v>
      </c>
      <c r="P113">
        <f>1/(COUNT(SimData1!$E$9:$E$508)-1)+$P$112</f>
        <v>0.20841683366733482</v>
      </c>
      <c r="Q113">
        <f>SMALL(SimData1!$F$9:$F$508,105)</f>
        <v>0.23</v>
      </c>
      <c r="R113">
        <f>1/(COUNT(SimData1!$F$9:$F$508)-1)+$R$112</f>
        <v>0.20841683366733482</v>
      </c>
      <c r="S113">
        <f>SMALL(SimData1!$G$9:$G$508,105)</f>
        <v>4</v>
      </c>
      <c r="T113">
        <f>1/(COUNT(SimData1!$G$9:$G$508)-1)+$T$112</f>
        <v>0.20841683366733482</v>
      </c>
    </row>
    <row r="114" spans="1:20">
      <c r="A114">
        <v>106</v>
      </c>
      <c r="B114">
        <v>12.867146847567886</v>
      </c>
      <c r="C114">
        <v>7.9066689169748381</v>
      </c>
      <c r="D114">
        <v>18.283615179282521</v>
      </c>
      <c r="E114">
        <v>-0.22391523628882037</v>
      </c>
      <c r="F114">
        <v>0.23</v>
      </c>
      <c r="G114">
        <v>9</v>
      </c>
      <c r="I114">
        <f>SMALL(SimData1!$B$9:$B$508,106)</f>
        <v>7.5988221987651183</v>
      </c>
      <c r="J114">
        <f>1/(COUNT(SimData1!$B$9:$B$508)-1)+$J$113</f>
        <v>0.21042084168336689</v>
      </c>
      <c r="K114">
        <f>SMALL(SimData1!$C$9:$C$508,106)</f>
        <v>3.6836374894165522</v>
      </c>
      <c r="L114">
        <f>1/(COUNT(SimData1!$C$9:$C$508)-1)+$L$113</f>
        <v>0.21042084168336689</v>
      </c>
      <c r="M114">
        <f>SMALL(SimData1!$D$9:$D$508,106)</f>
        <v>4.2160380255375145</v>
      </c>
      <c r="N114">
        <f>1/(COUNT(SimData1!$D$9:$D$508)-1)+$N$113</f>
        <v>0.21042084168336689</v>
      </c>
      <c r="O114">
        <f>SMALL(SimData1!$E$9:$E$508,106)</f>
        <v>-0.75852478119641242</v>
      </c>
      <c r="P114">
        <f>1/(COUNT(SimData1!$E$9:$E$508)-1)+$P$113</f>
        <v>0.21042084168336689</v>
      </c>
      <c r="Q114">
        <f>SMALL(SimData1!$F$9:$F$508,106)</f>
        <v>0.23</v>
      </c>
      <c r="R114">
        <f>1/(COUNT(SimData1!$F$9:$F$508)-1)+$R$113</f>
        <v>0.21042084168336689</v>
      </c>
      <c r="S114">
        <f>SMALL(SimData1!$G$9:$G$508,106)</f>
        <v>4</v>
      </c>
      <c r="T114">
        <f>1/(COUNT(SimData1!$G$9:$G$508)-1)+$T$113</f>
        <v>0.21042084168336689</v>
      </c>
    </row>
    <row r="115" spans="1:20">
      <c r="A115">
        <v>107</v>
      </c>
      <c r="B115">
        <v>9.0538945840970282</v>
      </c>
      <c r="C115">
        <v>7.5965131899296567</v>
      </c>
      <c r="D115">
        <v>12.778529889893377</v>
      </c>
      <c r="E115">
        <v>-0.69042407321092902</v>
      </c>
      <c r="F115">
        <v>0.23</v>
      </c>
      <c r="G115">
        <v>6</v>
      </c>
      <c r="I115">
        <f>SMALL(SimData1!$B$9:$B$508,107)</f>
        <v>7.6071037986090548</v>
      </c>
      <c r="J115">
        <f>1/(COUNT(SimData1!$B$9:$B$508)-1)+$J$114</f>
        <v>0.21242484969939895</v>
      </c>
      <c r="K115">
        <f>SMALL(SimData1!$C$9:$C$508,107)</f>
        <v>3.7088714859999881</v>
      </c>
      <c r="L115">
        <f>1/(COUNT(SimData1!$C$9:$C$508)-1)+$L$114</f>
        <v>0.21242484969939895</v>
      </c>
      <c r="M115">
        <f>SMALL(SimData1!$D$9:$D$508,107)</f>
        <v>4.253277840617411</v>
      </c>
      <c r="N115">
        <f>1/(COUNT(SimData1!$D$9:$D$508)-1)+$N$114</f>
        <v>0.21242484969939895</v>
      </c>
      <c r="O115">
        <f>SMALL(SimData1!$E$9:$E$508,107)</f>
        <v>-0.75247888872710911</v>
      </c>
      <c r="P115">
        <f>1/(COUNT(SimData1!$E$9:$E$508)-1)+$P$114</f>
        <v>0.21242484969939895</v>
      </c>
      <c r="Q115">
        <f>SMALL(SimData1!$F$9:$F$508,107)</f>
        <v>0.23</v>
      </c>
      <c r="R115">
        <f>1/(COUNT(SimData1!$F$9:$F$508)-1)+$R$114</f>
        <v>0.21242484969939895</v>
      </c>
      <c r="S115">
        <f>SMALL(SimData1!$G$9:$G$508,107)</f>
        <v>4</v>
      </c>
      <c r="T115">
        <f>1/(COUNT(SimData1!$G$9:$G$508)-1)+$T$114</f>
        <v>0.21242484969939895</v>
      </c>
    </row>
    <row r="116" spans="1:20">
      <c r="A116">
        <v>108</v>
      </c>
      <c r="B116">
        <v>9.432603219778418</v>
      </c>
      <c r="C116">
        <v>8.7087503755923237</v>
      </c>
      <c r="D116">
        <v>18.723543341199761</v>
      </c>
      <c r="E116">
        <v>22.324259749711469</v>
      </c>
      <c r="F116">
        <v>0.23</v>
      </c>
      <c r="G116">
        <v>12</v>
      </c>
      <c r="I116">
        <f>SMALL(SimData1!$B$9:$B$508,108)</f>
        <v>7.6317119049195696</v>
      </c>
      <c r="J116">
        <f>1/(COUNT(SimData1!$B$9:$B$508)-1)+$J$115</f>
        <v>0.21442885771543102</v>
      </c>
      <c r="K116">
        <f>SMALL(SimData1!$C$9:$C$508,108)</f>
        <v>3.7174561755148359</v>
      </c>
      <c r="L116">
        <f>1/(COUNT(SimData1!$C$9:$C$508)-1)+$L$115</f>
        <v>0.21442885771543102</v>
      </c>
      <c r="M116">
        <f>SMALL(SimData1!$D$9:$D$508,108)</f>
        <v>4.3091174412400273</v>
      </c>
      <c r="N116">
        <f>1/(COUNT(SimData1!$D$9:$D$508)-1)+$N$115</f>
        <v>0.21442885771543102</v>
      </c>
      <c r="O116">
        <f>SMALL(SimData1!$E$9:$E$508,108)</f>
        <v>-0.74925834126389934</v>
      </c>
      <c r="P116">
        <f>1/(COUNT(SimData1!$E$9:$E$508)-1)+$P$115</f>
        <v>0.21442885771543102</v>
      </c>
      <c r="Q116">
        <f>SMALL(SimData1!$F$9:$F$508,108)</f>
        <v>0.23</v>
      </c>
      <c r="R116">
        <f>1/(COUNT(SimData1!$F$9:$F$508)-1)+$R$115</f>
        <v>0.21442885771543102</v>
      </c>
      <c r="S116">
        <f>SMALL(SimData1!$G$9:$G$508,108)</f>
        <v>4</v>
      </c>
      <c r="T116">
        <f>1/(COUNT(SimData1!$G$9:$G$508)-1)+$T$115</f>
        <v>0.21442885771543102</v>
      </c>
    </row>
    <row r="117" spans="1:20">
      <c r="A117">
        <v>109</v>
      </c>
      <c r="B117">
        <v>8.8939809289900431</v>
      </c>
      <c r="C117">
        <v>2.7285703035054194</v>
      </c>
      <c r="D117">
        <v>5.9987175171763445</v>
      </c>
      <c r="E117">
        <v>21.686739057295117</v>
      </c>
      <c r="F117">
        <v>0.23</v>
      </c>
      <c r="G117">
        <v>12</v>
      </c>
      <c r="I117">
        <f>SMALL(SimData1!$B$9:$B$508,109)</f>
        <v>7.6532117256912358</v>
      </c>
      <c r="J117">
        <f>1/(COUNT(SimData1!$B$9:$B$508)-1)+$J$116</f>
        <v>0.21643286573146309</v>
      </c>
      <c r="K117">
        <f>SMALL(SimData1!$C$9:$C$508,109)</f>
        <v>3.7385099776895974</v>
      </c>
      <c r="L117">
        <f>1/(COUNT(SimData1!$C$9:$C$508)-1)+$L$116</f>
        <v>0.21643286573146309</v>
      </c>
      <c r="M117">
        <f>SMALL(SimData1!$D$9:$D$508,109)</f>
        <v>4.3265797613390209</v>
      </c>
      <c r="N117">
        <f>1/(COUNT(SimData1!$D$9:$D$508)-1)+$N$116</f>
        <v>0.21643286573146309</v>
      </c>
      <c r="O117">
        <f>SMALL(SimData1!$E$9:$E$508,109)</f>
        <v>-0.74042059316315179</v>
      </c>
      <c r="P117">
        <f>1/(COUNT(SimData1!$E$9:$E$508)-1)+$P$116</f>
        <v>0.21643286573146309</v>
      </c>
      <c r="Q117">
        <f>SMALL(SimData1!$F$9:$F$508,109)</f>
        <v>0.23</v>
      </c>
      <c r="R117">
        <f>1/(COUNT(SimData1!$F$9:$F$508)-1)+$R$116</f>
        <v>0.21643286573146309</v>
      </c>
      <c r="S117">
        <f>SMALL(SimData1!$G$9:$G$508,109)</f>
        <v>4</v>
      </c>
      <c r="T117">
        <f>1/(COUNT(SimData1!$G$9:$G$508)-1)+$T$116</f>
        <v>0.21643286573146309</v>
      </c>
    </row>
    <row r="118" spans="1:20">
      <c r="A118">
        <v>110</v>
      </c>
      <c r="B118">
        <v>12.134859110288446</v>
      </c>
      <c r="C118">
        <v>5.8142506139106693</v>
      </c>
      <c r="D118">
        <v>2.2011814961082257</v>
      </c>
      <c r="E118">
        <v>21.600461128091712</v>
      </c>
      <c r="F118">
        <v>0.23</v>
      </c>
      <c r="G118">
        <v>10</v>
      </c>
      <c r="I118">
        <f>SMALL(SimData1!$B$9:$B$508,110)</f>
        <v>7.6639980275155439</v>
      </c>
      <c r="J118">
        <f>1/(COUNT(SimData1!$B$9:$B$508)-1)+$J$117</f>
        <v>0.21843687374749515</v>
      </c>
      <c r="K118">
        <f>SMALL(SimData1!$C$9:$C$508,110)</f>
        <v>3.7493011539590779</v>
      </c>
      <c r="L118">
        <f>1/(COUNT(SimData1!$C$9:$C$508)-1)+$L$117</f>
        <v>0.21843687374749515</v>
      </c>
      <c r="M118">
        <f>SMALL(SimData1!$D$9:$D$508,110)</f>
        <v>4.3902034111670689</v>
      </c>
      <c r="N118">
        <f>1/(COUNT(SimData1!$D$9:$D$508)-1)+$N$117</f>
        <v>0.21843687374749515</v>
      </c>
      <c r="O118">
        <f>SMALL(SimData1!$E$9:$E$508,110)</f>
        <v>-0.73482053644822543</v>
      </c>
      <c r="P118">
        <f>1/(COUNT(SimData1!$E$9:$E$508)-1)+$P$117</f>
        <v>0.21843687374749515</v>
      </c>
      <c r="Q118">
        <f>SMALL(SimData1!$F$9:$F$508,110)</f>
        <v>0.23</v>
      </c>
      <c r="R118">
        <f>1/(COUNT(SimData1!$F$9:$F$508)-1)+$R$117</f>
        <v>0.21843687374749515</v>
      </c>
      <c r="S118">
        <f>SMALL(SimData1!$G$9:$G$508,110)</f>
        <v>4</v>
      </c>
      <c r="T118">
        <f>1/(COUNT(SimData1!$G$9:$G$508)-1)+$T$117</f>
        <v>0.21843687374749515</v>
      </c>
    </row>
    <row r="119" spans="1:20">
      <c r="A119">
        <v>111</v>
      </c>
      <c r="B119">
        <v>7.877464271644981</v>
      </c>
      <c r="C119">
        <v>7.2235606155413112</v>
      </c>
      <c r="D119">
        <v>2.2700356235406445</v>
      </c>
      <c r="E119">
        <v>-0.66905355197773753</v>
      </c>
      <c r="F119">
        <v>0.23</v>
      </c>
      <c r="G119">
        <v>10</v>
      </c>
      <c r="I119">
        <f>SMALL(SimData1!$B$9:$B$508,111)</f>
        <v>7.7018383527156242</v>
      </c>
      <c r="J119">
        <f>1/(COUNT(SimData1!$B$9:$B$508)-1)+$J$118</f>
        <v>0.22044088176352722</v>
      </c>
      <c r="K119">
        <f>SMALL(SimData1!$C$9:$C$508,111)</f>
        <v>3.7740089494767619</v>
      </c>
      <c r="L119">
        <f>1/(COUNT(SimData1!$C$9:$C$508)-1)+$L$118</f>
        <v>0.22044088176352722</v>
      </c>
      <c r="M119">
        <f>SMALL(SimData1!$D$9:$D$508,111)</f>
        <v>4.4264404985742738</v>
      </c>
      <c r="N119">
        <f>1/(COUNT(SimData1!$D$9:$D$508)-1)+$N$118</f>
        <v>0.22044088176352722</v>
      </c>
      <c r="O119">
        <f>SMALL(SimData1!$E$9:$E$508,111)</f>
        <v>-0.7298499864276361</v>
      </c>
      <c r="P119">
        <f>1/(COUNT(SimData1!$E$9:$E$508)-1)+$P$118</f>
        <v>0.22044088176352722</v>
      </c>
      <c r="Q119">
        <f>SMALL(SimData1!$F$9:$F$508,111)</f>
        <v>0.23</v>
      </c>
      <c r="R119">
        <f>1/(COUNT(SimData1!$F$9:$F$508)-1)+$R$118</f>
        <v>0.22044088176352722</v>
      </c>
      <c r="S119">
        <f>SMALL(SimData1!$G$9:$G$508,111)</f>
        <v>4</v>
      </c>
      <c r="T119">
        <f>1/(COUNT(SimData1!$G$9:$G$508)-1)+$T$118</f>
        <v>0.22044088176352722</v>
      </c>
    </row>
    <row r="120" spans="1:20">
      <c r="A120">
        <v>112</v>
      </c>
      <c r="B120">
        <v>18.374115077218427</v>
      </c>
      <c r="C120">
        <v>4.0405561887641799</v>
      </c>
      <c r="D120">
        <v>16.717115418543365</v>
      </c>
      <c r="E120">
        <v>-0.25622521029325451</v>
      </c>
      <c r="F120">
        <v>0.23</v>
      </c>
      <c r="G120">
        <v>2</v>
      </c>
      <c r="I120">
        <f>SMALL(SimData1!$B$9:$B$508,112)</f>
        <v>7.7094711755691199</v>
      </c>
      <c r="J120">
        <f>1/(COUNT(SimData1!$B$9:$B$508)-1)+$J$119</f>
        <v>0.22244488977955928</v>
      </c>
      <c r="K120">
        <f>SMALL(SimData1!$C$9:$C$508,112)</f>
        <v>3.7834173913987859</v>
      </c>
      <c r="L120">
        <f>1/(COUNT(SimData1!$C$9:$C$508)-1)+$L$119</f>
        <v>0.22244488977955928</v>
      </c>
      <c r="M120">
        <f>SMALL(SimData1!$D$9:$D$508,112)</f>
        <v>4.4436357442484322</v>
      </c>
      <c r="N120">
        <f>1/(COUNT(SimData1!$D$9:$D$508)-1)+$N$119</f>
        <v>0.22244488977955928</v>
      </c>
      <c r="O120">
        <f>SMALL(SimData1!$E$9:$E$508,112)</f>
        <v>-0.72191668349215088</v>
      </c>
      <c r="P120">
        <f>1/(COUNT(SimData1!$E$9:$E$508)-1)+$P$119</f>
        <v>0.22244488977955928</v>
      </c>
      <c r="Q120">
        <f>SMALL(SimData1!$F$9:$F$508,112)</f>
        <v>0.23</v>
      </c>
      <c r="R120">
        <f>1/(COUNT(SimData1!$F$9:$F$508)-1)+$R$119</f>
        <v>0.22244488977955928</v>
      </c>
      <c r="S120">
        <f>SMALL(SimData1!$G$9:$G$508,112)</f>
        <v>4</v>
      </c>
      <c r="T120">
        <f>1/(COUNT(SimData1!$G$9:$G$508)-1)+$T$119</f>
        <v>0.22244488977955928</v>
      </c>
    </row>
    <row r="121" spans="1:20">
      <c r="A121">
        <v>113</v>
      </c>
      <c r="B121">
        <v>6.064402576100135</v>
      </c>
      <c r="C121">
        <v>9.4599180275844219</v>
      </c>
      <c r="D121">
        <v>4.5745193689629717</v>
      </c>
      <c r="E121">
        <v>9.9919223954996195E-3</v>
      </c>
      <c r="F121">
        <v>0.23</v>
      </c>
      <c r="G121">
        <v>9</v>
      </c>
      <c r="I121">
        <f>SMALL(SimData1!$B$9:$B$508,113)</f>
        <v>7.7414828479999329</v>
      </c>
      <c r="J121">
        <f>1/(COUNT(SimData1!$B$9:$B$508)-1)+$J$120</f>
        <v>0.22444889779559135</v>
      </c>
      <c r="K121">
        <f>SMALL(SimData1!$C$9:$C$508,113)</f>
        <v>3.7936999415721977</v>
      </c>
      <c r="L121">
        <f>1/(COUNT(SimData1!$C$9:$C$508)-1)+$L$120</f>
        <v>0.22444889779559135</v>
      </c>
      <c r="M121">
        <f>SMALL(SimData1!$D$9:$D$508,113)</f>
        <v>4.510045476339303</v>
      </c>
      <c r="N121">
        <f>1/(COUNT(SimData1!$D$9:$D$508)-1)+$N$120</f>
        <v>0.22444889779559135</v>
      </c>
      <c r="O121">
        <f>SMALL(SimData1!$E$9:$E$508,113)</f>
        <v>-0.71523433093843369</v>
      </c>
      <c r="P121">
        <f>1/(COUNT(SimData1!$E$9:$E$508)-1)+$P$120</f>
        <v>0.22444889779559135</v>
      </c>
      <c r="Q121">
        <f>SMALL(SimData1!$F$9:$F$508,113)</f>
        <v>0.23</v>
      </c>
      <c r="R121">
        <f>1/(COUNT(SimData1!$F$9:$F$508)-1)+$R$120</f>
        <v>0.22444889779559135</v>
      </c>
      <c r="S121">
        <f>SMALL(SimData1!$G$9:$G$508,113)</f>
        <v>4</v>
      </c>
      <c r="T121">
        <f>1/(COUNT(SimData1!$G$9:$G$508)-1)+$T$120</f>
        <v>0.22444889779559135</v>
      </c>
    </row>
    <row r="122" spans="1:20">
      <c r="A122">
        <v>114</v>
      </c>
      <c r="B122">
        <v>11.844937292268281</v>
      </c>
      <c r="C122">
        <v>7.02150361361669</v>
      </c>
      <c r="D122">
        <v>10.841784578029483</v>
      </c>
      <c r="E122">
        <v>-0.36591928280155095</v>
      </c>
      <c r="F122">
        <v>0.23</v>
      </c>
      <c r="G122">
        <v>2</v>
      </c>
      <c r="I122">
        <f>SMALL(SimData1!$B$9:$B$508,114)</f>
        <v>7.7558357589001226</v>
      </c>
      <c r="J122">
        <f>1/(COUNT(SimData1!$B$9:$B$508)-1)+$J$121</f>
        <v>0.22645290581162342</v>
      </c>
      <c r="K122">
        <f>SMALL(SimData1!$C$9:$C$508,114)</f>
        <v>3.8173744062244364</v>
      </c>
      <c r="L122">
        <f>1/(COUNT(SimData1!$C$9:$C$508)-1)+$L$121</f>
        <v>0.22645290581162342</v>
      </c>
      <c r="M122">
        <f>SMALL(SimData1!$D$9:$D$508,114)</f>
        <v>4.5481725701755309</v>
      </c>
      <c r="N122">
        <f>1/(COUNT(SimData1!$D$9:$D$508)-1)+$N$121</f>
        <v>0.22645290581162342</v>
      </c>
      <c r="O122">
        <f>SMALL(SimData1!$E$9:$E$508,114)</f>
        <v>-0.7029388252529658</v>
      </c>
      <c r="P122">
        <f>1/(COUNT(SimData1!$E$9:$E$508)-1)+$P$121</f>
        <v>0.22645290581162342</v>
      </c>
      <c r="Q122">
        <f>SMALL(SimData1!$F$9:$F$508,114)</f>
        <v>0.23</v>
      </c>
      <c r="R122">
        <f>1/(COUNT(SimData1!$F$9:$F$508)-1)+$R$121</f>
        <v>0.22645290581162342</v>
      </c>
      <c r="S122">
        <f>SMALL(SimData1!$G$9:$G$508,114)</f>
        <v>4</v>
      </c>
      <c r="T122">
        <f>1/(COUNT(SimData1!$G$9:$G$508)-1)+$T$121</f>
        <v>0.22645290581162342</v>
      </c>
    </row>
    <row r="123" spans="1:20">
      <c r="A123">
        <v>115</v>
      </c>
      <c r="B123">
        <v>7.3719966445330449</v>
      </c>
      <c r="C123">
        <v>9.7352838128151582</v>
      </c>
      <c r="D123">
        <v>9.8284888148113367</v>
      </c>
      <c r="E123">
        <v>23.462882792491353</v>
      </c>
      <c r="F123">
        <v>0.23</v>
      </c>
      <c r="G123">
        <v>12</v>
      </c>
      <c r="I123">
        <f>SMALL(SimData1!$B$9:$B$508,115)</f>
        <v>7.7669883603983871</v>
      </c>
      <c r="J123">
        <f>1/(COUNT(SimData1!$B$9:$B$508)-1)+$J$122</f>
        <v>0.22845691382765548</v>
      </c>
      <c r="K123">
        <f>SMALL(SimData1!$C$9:$C$508,115)</f>
        <v>3.8265449096566404</v>
      </c>
      <c r="L123">
        <f>1/(COUNT(SimData1!$C$9:$C$508)-1)+$L$122</f>
        <v>0.22845691382765548</v>
      </c>
      <c r="M123">
        <f>SMALL(SimData1!$D$9:$D$508,115)</f>
        <v>4.5745193689629717</v>
      </c>
      <c r="N123">
        <f>1/(COUNT(SimData1!$D$9:$D$508)-1)+$N$122</f>
        <v>0.22845691382765548</v>
      </c>
      <c r="O123">
        <f>SMALL(SimData1!$E$9:$E$508,115)</f>
        <v>-0.69934415730758515</v>
      </c>
      <c r="P123">
        <f>1/(COUNT(SimData1!$E$9:$E$508)-1)+$P$122</f>
        <v>0.22845691382765548</v>
      </c>
      <c r="Q123">
        <f>SMALL(SimData1!$F$9:$F$508,115)</f>
        <v>0.23</v>
      </c>
      <c r="R123">
        <f>1/(COUNT(SimData1!$F$9:$F$508)-1)+$R$122</f>
        <v>0.22845691382765548</v>
      </c>
      <c r="S123">
        <f>SMALL(SimData1!$G$9:$G$508,115)</f>
        <v>4</v>
      </c>
      <c r="T123">
        <f>1/(COUNT(SimData1!$G$9:$G$508)-1)+$T$122</f>
        <v>0.22845691382765548</v>
      </c>
    </row>
    <row r="124" spans="1:20">
      <c r="A124">
        <v>116</v>
      </c>
      <c r="B124">
        <v>9.4695526891308699</v>
      </c>
      <c r="C124">
        <v>3.8890570138434546</v>
      </c>
      <c r="D124">
        <v>8.4572421613189483</v>
      </c>
      <c r="E124">
        <v>-1.0183548937739444</v>
      </c>
      <c r="F124">
        <v>0.23</v>
      </c>
      <c r="G124">
        <v>6</v>
      </c>
      <c r="I124">
        <f>SMALL(SimData1!$B$9:$B$508,116)</f>
        <v>7.8007262943087801</v>
      </c>
      <c r="J124">
        <f>1/(COUNT(SimData1!$B$9:$B$508)-1)+$J$123</f>
        <v>0.23046092184368755</v>
      </c>
      <c r="K124">
        <f>SMALL(SimData1!$C$9:$C$508,116)</f>
        <v>3.8510460257742194</v>
      </c>
      <c r="L124">
        <f>1/(COUNT(SimData1!$C$9:$C$508)-1)+$L$123</f>
        <v>0.23046092184368755</v>
      </c>
      <c r="M124">
        <f>SMALL(SimData1!$D$9:$D$508,116)</f>
        <v>4.6219776840372884</v>
      </c>
      <c r="N124">
        <f>1/(COUNT(SimData1!$D$9:$D$508)-1)+$N$123</f>
        <v>0.23046092184368755</v>
      </c>
      <c r="O124">
        <f>SMALL(SimData1!$E$9:$E$508,116)</f>
        <v>-0.69042407321092902</v>
      </c>
      <c r="P124">
        <f>1/(COUNT(SimData1!$E$9:$E$508)-1)+$P$123</f>
        <v>0.23046092184368755</v>
      </c>
      <c r="Q124">
        <f>SMALL(SimData1!$F$9:$F$508,116)</f>
        <v>0.23</v>
      </c>
      <c r="R124">
        <f>1/(COUNT(SimData1!$F$9:$F$508)-1)+$R$123</f>
        <v>0.23046092184368755</v>
      </c>
      <c r="S124">
        <f>SMALL(SimData1!$G$9:$G$508,116)</f>
        <v>4</v>
      </c>
      <c r="T124">
        <f>1/(COUNT(SimData1!$G$9:$G$508)-1)+$T$123</f>
        <v>0.23046092184368755</v>
      </c>
    </row>
    <row r="125" spans="1:20">
      <c r="A125">
        <v>117</v>
      </c>
      <c r="B125">
        <v>10.630455958818626</v>
      </c>
      <c r="C125">
        <v>8.0130981520593849</v>
      </c>
      <c r="D125">
        <v>2.2408972508834903</v>
      </c>
      <c r="E125">
        <v>-1.3005329312804956</v>
      </c>
      <c r="F125">
        <v>0.23</v>
      </c>
      <c r="G125">
        <v>10</v>
      </c>
      <c r="I125">
        <f>SMALL(SimData1!$B$9:$B$508,117)</f>
        <v>7.8037811580762506</v>
      </c>
      <c r="J125">
        <f>1/(COUNT(SimData1!$B$9:$B$508)-1)+$J$124</f>
        <v>0.23246492985971962</v>
      </c>
      <c r="K125">
        <f>SMALL(SimData1!$C$9:$C$508,117)</f>
        <v>3.8579539451082132</v>
      </c>
      <c r="L125">
        <f>1/(COUNT(SimData1!$C$9:$C$508)-1)+$L$124</f>
        <v>0.23246492985971962</v>
      </c>
      <c r="M125">
        <f>SMALL(SimData1!$D$9:$D$508,117)</f>
        <v>4.6524705042160281</v>
      </c>
      <c r="N125">
        <f>1/(COUNT(SimData1!$D$9:$D$508)-1)+$N$124</f>
        <v>0.23246492985971962</v>
      </c>
      <c r="O125">
        <f>SMALL(SimData1!$E$9:$E$508,117)</f>
        <v>-0.68509068566950959</v>
      </c>
      <c r="P125">
        <f>1/(COUNT(SimData1!$E$9:$E$508)-1)+$P$124</f>
        <v>0.23246492985971962</v>
      </c>
      <c r="Q125">
        <f>SMALL(SimData1!$F$9:$F$508,117)</f>
        <v>0.23</v>
      </c>
      <c r="R125">
        <f>1/(COUNT(SimData1!$F$9:$F$508)-1)+$R$124</f>
        <v>0.23246492985971962</v>
      </c>
      <c r="S125">
        <f>SMALL(SimData1!$G$9:$G$508,117)</f>
        <v>4</v>
      </c>
      <c r="T125">
        <f>1/(COUNT(SimData1!$G$9:$G$508)-1)+$T$124</f>
        <v>0.23246492985971962</v>
      </c>
    </row>
    <row r="126" spans="1:20">
      <c r="A126">
        <v>118</v>
      </c>
      <c r="B126">
        <v>15.524582132050627</v>
      </c>
      <c r="C126">
        <v>5.5753268022591538</v>
      </c>
      <c r="D126">
        <v>9.8965157734939169</v>
      </c>
      <c r="E126">
        <v>0.21829387355039431</v>
      </c>
      <c r="F126">
        <v>0.23</v>
      </c>
      <c r="G126">
        <v>10</v>
      </c>
      <c r="I126">
        <f>SMALL(SimData1!$B$9:$B$508,118)</f>
        <v>7.8253632680617109</v>
      </c>
      <c r="J126">
        <f>1/(COUNT(SimData1!$B$9:$B$508)-1)+$J$125</f>
        <v>0.23446893787575168</v>
      </c>
      <c r="K126">
        <f>SMALL(SimData1!$C$9:$C$508,118)</f>
        <v>3.8731834333616271</v>
      </c>
      <c r="L126">
        <f>1/(COUNT(SimData1!$C$9:$C$508)-1)+$L$125</f>
        <v>0.23446893787575168</v>
      </c>
      <c r="M126">
        <f>SMALL(SimData1!$D$9:$D$508,118)</f>
        <v>4.7016329867629416</v>
      </c>
      <c r="N126">
        <f>1/(COUNT(SimData1!$D$9:$D$508)-1)+$N$125</f>
        <v>0.23446893787575168</v>
      </c>
      <c r="O126">
        <f>SMALL(SimData1!$E$9:$E$508,118)</f>
        <v>-0.6803955388174463</v>
      </c>
      <c r="P126">
        <f>1/(COUNT(SimData1!$E$9:$E$508)-1)+$P$125</f>
        <v>0.23446893787575168</v>
      </c>
      <c r="Q126">
        <f>SMALL(SimData1!$F$9:$F$508,118)</f>
        <v>0.23</v>
      </c>
      <c r="R126">
        <f>1/(COUNT(SimData1!$F$9:$F$508)-1)+$R$125</f>
        <v>0.23446893787575168</v>
      </c>
      <c r="S126">
        <f>SMALL(SimData1!$G$9:$G$508,118)</f>
        <v>4</v>
      </c>
      <c r="T126">
        <f>1/(COUNT(SimData1!$G$9:$G$508)-1)+$T$125</f>
        <v>0.23446893787575168</v>
      </c>
    </row>
    <row r="127" spans="1:20">
      <c r="A127">
        <v>119</v>
      </c>
      <c r="B127">
        <v>7.2319573430415494</v>
      </c>
      <c r="C127">
        <v>6.7394817346417071</v>
      </c>
      <c r="D127">
        <v>9.0554449956024641</v>
      </c>
      <c r="E127">
        <v>22.76898310663632</v>
      </c>
      <c r="F127">
        <v>0.23</v>
      </c>
      <c r="G127">
        <v>9</v>
      </c>
      <c r="I127">
        <f>SMALL(SimData1!$B$9:$B$508,119)</f>
        <v>7.8537690405376548</v>
      </c>
      <c r="J127">
        <f>1/(COUNT(SimData1!$B$9:$B$508)-1)+$J$126</f>
        <v>0.23647294589178375</v>
      </c>
      <c r="K127">
        <f>SMALL(SimData1!$C$9:$C$508,119)</f>
        <v>3.8890570138434546</v>
      </c>
      <c r="L127">
        <f>1/(COUNT(SimData1!$C$9:$C$508)-1)+$L$126</f>
        <v>0.23647294589178375</v>
      </c>
      <c r="M127">
        <f>SMALL(SimData1!$D$9:$D$508,119)</f>
        <v>4.7453735792416554</v>
      </c>
      <c r="N127">
        <f>1/(COUNT(SimData1!$D$9:$D$508)-1)+$N$126</f>
        <v>0.23647294589178375</v>
      </c>
      <c r="O127">
        <f>SMALL(SimData1!$E$9:$E$508,119)</f>
        <v>-0.66905355197773753</v>
      </c>
      <c r="P127">
        <f>1/(COUNT(SimData1!$E$9:$E$508)-1)+$P$126</f>
        <v>0.23647294589178375</v>
      </c>
      <c r="Q127">
        <f>SMALL(SimData1!$F$9:$F$508,119)</f>
        <v>0.23</v>
      </c>
      <c r="R127">
        <f>1/(COUNT(SimData1!$F$9:$F$508)-1)+$R$126</f>
        <v>0.23647294589178375</v>
      </c>
      <c r="S127">
        <f>SMALL(SimData1!$G$9:$G$508,119)</f>
        <v>4</v>
      </c>
      <c r="T127">
        <f>1/(COUNT(SimData1!$G$9:$G$508)-1)+$T$126</f>
        <v>0.23647294589178375</v>
      </c>
    </row>
    <row r="128" spans="1:20">
      <c r="A128">
        <v>120</v>
      </c>
      <c r="B128">
        <v>13.989809821600138</v>
      </c>
      <c r="C128">
        <v>9.6334544820565391</v>
      </c>
      <c r="D128">
        <v>8.5386475474337686</v>
      </c>
      <c r="E128">
        <v>-1.470818324196006</v>
      </c>
      <c r="F128">
        <v>0.23</v>
      </c>
      <c r="G128">
        <v>2</v>
      </c>
      <c r="I128">
        <f>SMALL(SimData1!$B$9:$B$508,120)</f>
        <v>7.877464271644981</v>
      </c>
      <c r="J128">
        <f>1/(COUNT(SimData1!$B$9:$B$508)-1)+$J$127</f>
        <v>0.23847695390781581</v>
      </c>
      <c r="K128">
        <f>SMALL(SimData1!$C$9:$C$508,120)</f>
        <v>3.9127018741799291</v>
      </c>
      <c r="L128">
        <f>1/(COUNT(SimData1!$C$9:$C$508)-1)+$L$127</f>
        <v>0.23847695390781581</v>
      </c>
      <c r="M128">
        <f>SMALL(SimData1!$D$9:$D$508,120)</f>
        <v>4.7779654093873614</v>
      </c>
      <c r="N128">
        <f>1/(COUNT(SimData1!$D$9:$D$508)-1)+$N$127</f>
        <v>0.23847695390781581</v>
      </c>
      <c r="O128">
        <f>SMALL(SimData1!$E$9:$E$508,120)</f>
        <v>-0.66008798697997606</v>
      </c>
      <c r="P128">
        <f>1/(COUNT(SimData1!$E$9:$E$508)-1)+$P$127</f>
        <v>0.23847695390781581</v>
      </c>
      <c r="Q128">
        <f>SMALL(SimData1!$F$9:$F$508,120)</f>
        <v>0.23</v>
      </c>
      <c r="R128">
        <f>1/(COUNT(SimData1!$F$9:$F$508)-1)+$R$127</f>
        <v>0.23847695390781581</v>
      </c>
      <c r="S128">
        <f>SMALL(SimData1!$G$9:$G$508,120)</f>
        <v>4</v>
      </c>
      <c r="T128">
        <f>1/(COUNT(SimData1!$G$9:$G$508)-1)+$T$127</f>
        <v>0.23847695390781581</v>
      </c>
    </row>
    <row r="129" spans="1:20">
      <c r="A129">
        <v>121</v>
      </c>
      <c r="B129">
        <v>10.604853123795378</v>
      </c>
      <c r="C129">
        <v>8.8619214849504466</v>
      </c>
      <c r="D129">
        <v>2.0331873607954911</v>
      </c>
      <c r="E129">
        <v>-1.2513555854168401</v>
      </c>
      <c r="F129">
        <v>0.23</v>
      </c>
      <c r="G129">
        <v>6</v>
      </c>
      <c r="I129">
        <f>SMALL(SimData1!$B$9:$B$508,121)</f>
        <v>7.894016813452243</v>
      </c>
      <c r="J129">
        <f>1/(COUNT(SimData1!$B$9:$B$508)-1)+$J$128</f>
        <v>0.24048096192384788</v>
      </c>
      <c r="K129">
        <f>SMALL(SimData1!$C$9:$C$508,121)</f>
        <v>3.9313483047735289</v>
      </c>
      <c r="L129">
        <f>1/(COUNT(SimData1!$C$9:$C$508)-1)+$L$128</f>
        <v>0.24048096192384788</v>
      </c>
      <c r="M129">
        <f>SMALL(SimData1!$D$9:$D$508,121)</f>
        <v>4.8062650499600599</v>
      </c>
      <c r="N129">
        <f>1/(COUNT(SimData1!$D$9:$D$508)-1)+$N$128</f>
        <v>0.24048096192384788</v>
      </c>
      <c r="O129">
        <f>SMALL(SimData1!$E$9:$E$508,121)</f>
        <v>-0.6543441917769659</v>
      </c>
      <c r="P129">
        <f>1/(COUNT(SimData1!$E$9:$E$508)-1)+$P$128</f>
        <v>0.24048096192384788</v>
      </c>
      <c r="Q129">
        <f>SMALL(SimData1!$F$9:$F$508,121)</f>
        <v>0.23</v>
      </c>
      <c r="R129">
        <f>1/(COUNT(SimData1!$F$9:$F$508)-1)+$R$128</f>
        <v>0.24048096192384788</v>
      </c>
      <c r="S129">
        <f>SMALL(SimData1!$G$9:$G$508,121)</f>
        <v>4</v>
      </c>
      <c r="T129">
        <f>1/(COUNT(SimData1!$G$9:$G$508)-1)+$T$128</f>
        <v>0.24048096192384788</v>
      </c>
    </row>
    <row r="130" spans="1:20">
      <c r="A130">
        <v>122</v>
      </c>
      <c r="B130">
        <v>3.5973985507538977</v>
      </c>
      <c r="C130">
        <v>3.8731834333616271</v>
      </c>
      <c r="D130">
        <v>4.9194409948306719</v>
      </c>
      <c r="E130">
        <v>23.143369800530284</v>
      </c>
      <c r="F130">
        <v>0.23</v>
      </c>
      <c r="G130">
        <v>10</v>
      </c>
      <c r="I130">
        <f>SMALL(SimData1!$B$9:$B$508,122)</f>
        <v>7.911070976064682</v>
      </c>
      <c r="J130">
        <f>1/(COUNT(SimData1!$B$9:$B$508)-1)+$J$129</f>
        <v>0.24248496993987995</v>
      </c>
      <c r="K130">
        <f>SMALL(SimData1!$C$9:$C$508,122)</f>
        <v>3.942111835898392</v>
      </c>
      <c r="L130">
        <f>1/(COUNT(SimData1!$C$9:$C$508)-1)+$L$129</f>
        <v>0.24248496993987995</v>
      </c>
      <c r="M130">
        <f>SMALL(SimData1!$D$9:$D$508,122)</f>
        <v>4.8413936436086411</v>
      </c>
      <c r="N130">
        <f>1/(COUNT(SimData1!$D$9:$D$508)-1)+$N$129</f>
        <v>0.24248496993987995</v>
      </c>
      <c r="O130">
        <f>SMALL(SimData1!$E$9:$E$508,122)</f>
        <v>-0.6473652695787846</v>
      </c>
      <c r="P130">
        <f>1/(COUNT(SimData1!$E$9:$E$508)-1)+$P$129</f>
        <v>0.24248496993987995</v>
      </c>
      <c r="Q130">
        <f>SMALL(SimData1!$F$9:$F$508,122)</f>
        <v>0.23</v>
      </c>
      <c r="R130">
        <f>1/(COUNT(SimData1!$F$9:$F$508)-1)+$R$129</f>
        <v>0.24248496993987995</v>
      </c>
      <c r="S130">
        <f>SMALL(SimData1!$G$9:$G$508,122)</f>
        <v>4</v>
      </c>
      <c r="T130">
        <f>1/(COUNT(SimData1!$G$9:$G$508)-1)+$T$129</f>
        <v>0.24248496993987995</v>
      </c>
    </row>
    <row r="131" spans="1:20">
      <c r="A131">
        <v>123</v>
      </c>
      <c r="B131">
        <v>8.2844071126754315</v>
      </c>
      <c r="C131">
        <v>4.0776117142321571</v>
      </c>
      <c r="D131">
        <v>10.60815112865906</v>
      </c>
      <c r="E131">
        <v>23.505441116480142</v>
      </c>
      <c r="F131">
        <v>0.23</v>
      </c>
      <c r="G131">
        <v>2</v>
      </c>
      <c r="I131">
        <f>SMALL(SimData1!$B$9:$B$508,123)</f>
        <v>7.922486011132281</v>
      </c>
      <c r="J131">
        <f>1/(COUNT(SimData1!$B$9:$B$508)-1)+$J$130</f>
        <v>0.24448897795591201</v>
      </c>
      <c r="K131">
        <f>SMALL(SimData1!$C$9:$C$508,123)</f>
        <v>3.9562366732629566</v>
      </c>
      <c r="L131">
        <f>1/(COUNT(SimData1!$C$9:$C$508)-1)+$L$130</f>
        <v>0.24448897795591201</v>
      </c>
      <c r="M131">
        <f>SMALL(SimData1!$D$9:$D$508,123)</f>
        <v>4.9194409948306719</v>
      </c>
      <c r="N131">
        <f>1/(COUNT(SimData1!$D$9:$D$508)-1)+$N$130</f>
        <v>0.24448897795591201</v>
      </c>
      <c r="O131">
        <f>SMALL(SimData1!$E$9:$E$508,123)</f>
        <v>-0.64060830812314695</v>
      </c>
      <c r="P131">
        <f>1/(COUNT(SimData1!$E$9:$E$508)-1)+$P$130</f>
        <v>0.24448897795591201</v>
      </c>
      <c r="Q131">
        <f>SMALL(SimData1!$F$9:$F$508,123)</f>
        <v>0.23</v>
      </c>
      <c r="R131">
        <f>1/(COUNT(SimData1!$F$9:$F$508)-1)+$R$130</f>
        <v>0.24448897795591201</v>
      </c>
      <c r="S131">
        <f>SMALL(SimData1!$G$9:$G$508,123)</f>
        <v>4</v>
      </c>
      <c r="T131">
        <f>1/(COUNT(SimData1!$G$9:$G$508)-1)+$T$130</f>
        <v>0.24448897795591201</v>
      </c>
    </row>
    <row r="132" spans="1:20">
      <c r="A132">
        <v>124</v>
      </c>
      <c r="B132">
        <v>9.9937184461101509</v>
      </c>
      <c r="C132">
        <v>6.930752075344965</v>
      </c>
      <c r="D132">
        <v>2.3634262051962844</v>
      </c>
      <c r="E132">
        <v>-0.50530335800639981</v>
      </c>
      <c r="F132">
        <v>0.23</v>
      </c>
      <c r="G132">
        <v>9</v>
      </c>
      <c r="I132">
        <f>SMALL(SimData1!$B$9:$B$508,124)</f>
        <v>7.9428468569129747</v>
      </c>
      <c r="J132">
        <f>1/(COUNT(SimData1!$B$9:$B$508)-1)+$J$131</f>
        <v>0.24649298597194408</v>
      </c>
      <c r="K132">
        <f>SMALL(SimData1!$C$9:$C$508,124)</f>
        <v>3.9703017523480351</v>
      </c>
      <c r="L132">
        <f>1/(COUNT(SimData1!$C$9:$C$508)-1)+$L$131</f>
        <v>0.24649298597194408</v>
      </c>
      <c r="M132">
        <f>SMALL(SimData1!$D$9:$D$508,124)</f>
        <v>4.9259581384169771</v>
      </c>
      <c r="N132">
        <f>1/(COUNT(SimData1!$D$9:$D$508)-1)+$N$131</f>
        <v>0.24649298597194408</v>
      </c>
      <c r="O132">
        <f>SMALL(SimData1!$E$9:$E$508,124)</f>
        <v>-0.63374020130278097</v>
      </c>
      <c r="P132">
        <f>1/(COUNT(SimData1!$E$9:$E$508)-1)+$P$131</f>
        <v>0.24649298597194408</v>
      </c>
      <c r="Q132">
        <f>SMALL(SimData1!$F$9:$F$508,124)</f>
        <v>0.23</v>
      </c>
      <c r="R132">
        <f>1/(COUNT(SimData1!$F$9:$F$508)-1)+$R$131</f>
        <v>0.24649298597194408</v>
      </c>
      <c r="S132">
        <f>SMALL(SimData1!$G$9:$G$508,124)</f>
        <v>4</v>
      </c>
      <c r="T132">
        <f>1/(COUNT(SimData1!$G$9:$G$508)-1)+$T$131</f>
        <v>0.24649298597194408</v>
      </c>
    </row>
    <row r="133" spans="1:20">
      <c r="A133">
        <v>125</v>
      </c>
      <c r="B133">
        <v>9.0492704186025765</v>
      </c>
      <c r="C133">
        <v>2.9579952565538683</v>
      </c>
      <c r="D133">
        <v>3.3564179090402129</v>
      </c>
      <c r="E133">
        <v>-1.496750041460615E-2</v>
      </c>
      <c r="F133">
        <v>0.23</v>
      </c>
      <c r="G133">
        <v>9</v>
      </c>
      <c r="I133">
        <f>SMALL(SimData1!$B$9:$B$508,125)</f>
        <v>7.972167737043069</v>
      </c>
      <c r="J133">
        <f>1/(COUNT(SimData1!$B$9:$B$508)-1)+$J$132</f>
        <v>0.24849699398797614</v>
      </c>
      <c r="K133">
        <f>SMALL(SimData1!$C$9:$C$508,125)</f>
        <v>3.9888953626837802</v>
      </c>
      <c r="L133">
        <f>1/(COUNT(SimData1!$C$9:$C$508)-1)+$L$132</f>
        <v>0.24849699398797614</v>
      </c>
      <c r="M133">
        <f>SMALL(SimData1!$D$9:$D$508,125)</f>
        <v>4.9840956178549902</v>
      </c>
      <c r="N133">
        <f>1/(COUNT(SimData1!$D$9:$D$508)-1)+$N$132</f>
        <v>0.24849699398797614</v>
      </c>
      <c r="O133">
        <f>SMALL(SimData1!$E$9:$E$508,125)</f>
        <v>-0.62742798375292785</v>
      </c>
      <c r="P133">
        <f>1/(COUNT(SimData1!$E$9:$E$508)-1)+$P$132</f>
        <v>0.24849699398797614</v>
      </c>
      <c r="Q133">
        <f>SMALL(SimData1!$F$9:$F$508,125)</f>
        <v>0.23</v>
      </c>
      <c r="R133">
        <f>1/(COUNT(SimData1!$F$9:$F$508)-1)+$R$132</f>
        <v>0.24849699398797614</v>
      </c>
      <c r="S133">
        <f>SMALL(SimData1!$G$9:$G$508,125)</f>
        <v>4</v>
      </c>
      <c r="T133">
        <f>1/(COUNT(SimData1!$G$9:$G$508)-1)+$T$132</f>
        <v>0.24849699398797614</v>
      </c>
    </row>
    <row r="134" spans="1:20">
      <c r="A134">
        <v>126</v>
      </c>
      <c r="B134">
        <v>11.75871265788015</v>
      </c>
      <c r="C134">
        <v>2.8012472755092306</v>
      </c>
      <c r="D134">
        <v>9.3869604083641818</v>
      </c>
      <c r="E134">
        <v>22.610871307104496</v>
      </c>
      <c r="F134">
        <v>0.23</v>
      </c>
      <c r="G134">
        <v>12</v>
      </c>
      <c r="I134">
        <f>SMALL(SimData1!$B$9:$B$508,126)</f>
        <v>7.9768693195745479</v>
      </c>
      <c r="J134">
        <f>1/(COUNT(SimData1!$B$9:$B$508)-1)+$J$133</f>
        <v>0.25050100200400821</v>
      </c>
      <c r="K134">
        <f>SMALL(SimData1!$C$9:$C$508,126)</f>
        <v>4.001174566269194</v>
      </c>
      <c r="L134">
        <f>1/(COUNT(SimData1!$C$9:$C$508)-1)+$L$133</f>
        <v>0.25050100200400821</v>
      </c>
      <c r="M134">
        <f>SMALL(SimData1!$D$9:$D$508,126)</f>
        <v>5.0204905114575498</v>
      </c>
      <c r="N134">
        <f>1/(COUNT(SimData1!$D$9:$D$508)-1)+$N$133</f>
        <v>0.25050100200400821</v>
      </c>
      <c r="O134">
        <f>SMALL(SimData1!$E$9:$E$508,126)</f>
        <v>-0.62263471097356171</v>
      </c>
      <c r="P134">
        <f>1/(COUNT(SimData1!$E$9:$E$508)-1)+$P$133</f>
        <v>0.25050100200400821</v>
      </c>
      <c r="Q134">
        <f>SMALL(SimData1!$F$9:$F$508,126)</f>
        <v>0.23</v>
      </c>
      <c r="R134">
        <f>1/(COUNT(SimData1!$F$9:$F$508)-1)+$R$133</f>
        <v>0.25050100200400821</v>
      </c>
      <c r="S134">
        <f>SMALL(SimData1!$G$9:$G$508,126)</f>
        <v>4</v>
      </c>
      <c r="T134">
        <f>1/(COUNT(SimData1!$G$9:$G$508)-1)+$T$133</f>
        <v>0.25050100200400821</v>
      </c>
    </row>
    <row r="135" spans="1:20">
      <c r="A135">
        <v>127</v>
      </c>
      <c r="B135">
        <v>10.95873739583687</v>
      </c>
      <c r="C135">
        <v>3.4885090548769826</v>
      </c>
      <c r="D135">
        <v>9.3567374402146655</v>
      </c>
      <c r="E135">
        <v>-0.88065478384604379</v>
      </c>
      <c r="F135">
        <v>0.23</v>
      </c>
      <c r="G135">
        <v>12</v>
      </c>
      <c r="I135">
        <f>SMALL(SimData1!$B$9:$B$508,127)</f>
        <v>8.0022034789190304</v>
      </c>
      <c r="J135">
        <f>1/(COUNT(SimData1!$B$9:$B$508)-1)+$J$134</f>
        <v>0.25250501002004028</v>
      </c>
      <c r="K135">
        <f>SMALL(SimData1!$C$9:$C$508,127)</f>
        <v>4.0278091917512491</v>
      </c>
      <c r="L135">
        <f>1/(COUNT(SimData1!$C$9:$C$508)-1)+$L$134</f>
        <v>0.25250501002004028</v>
      </c>
      <c r="M135">
        <f>SMALL(SimData1!$D$9:$D$508,127)</f>
        <v>5.0466771842964633</v>
      </c>
      <c r="N135">
        <f>1/(COUNT(SimData1!$D$9:$D$508)-1)+$N$134</f>
        <v>0.25250501002004028</v>
      </c>
      <c r="O135">
        <f>SMALL(SimData1!$E$9:$E$508,127)</f>
        <v>-0.61322541489053228</v>
      </c>
      <c r="P135">
        <f>1/(COUNT(SimData1!$E$9:$E$508)-1)+$P$134</f>
        <v>0.25250501002004028</v>
      </c>
      <c r="Q135">
        <f>SMALL(SimData1!$F$9:$F$508,127)</f>
        <v>0.23</v>
      </c>
      <c r="R135">
        <f>1/(COUNT(SimData1!$F$9:$F$508)-1)+$R$134</f>
        <v>0.25250501002004028</v>
      </c>
      <c r="S135">
        <f>SMALL(SimData1!$G$9:$G$508,127)</f>
        <v>4</v>
      </c>
      <c r="T135">
        <f>1/(COUNT(SimData1!$G$9:$G$508)-1)+$T$134</f>
        <v>0.25250501002004028</v>
      </c>
    </row>
    <row r="136" spans="1:20">
      <c r="A136">
        <v>128</v>
      </c>
      <c r="B136">
        <v>8.2691278230195628</v>
      </c>
      <c r="C136">
        <v>2.1279762263558748</v>
      </c>
      <c r="D136">
        <v>8.0520231052516067</v>
      </c>
      <c r="E136">
        <v>-1.2126598572155949</v>
      </c>
      <c r="F136">
        <v>0.23</v>
      </c>
      <c r="G136">
        <v>9</v>
      </c>
      <c r="I136">
        <f>SMALL(SimData1!$B$9:$B$508,128)</f>
        <v>8.0219734197586607</v>
      </c>
      <c r="J136">
        <f>1/(COUNT(SimData1!$B$9:$B$508)-1)+$J$135</f>
        <v>0.25450901803607234</v>
      </c>
      <c r="K136">
        <f>SMALL(SimData1!$C$9:$C$508,128)</f>
        <v>4.0405561887641799</v>
      </c>
      <c r="L136">
        <f>1/(COUNT(SimData1!$C$9:$C$508)-1)+$L$135</f>
        <v>0.25450901803607234</v>
      </c>
      <c r="M136">
        <f>SMALL(SimData1!$D$9:$D$508,128)</f>
        <v>5.0547724997063099</v>
      </c>
      <c r="N136">
        <f>1/(COUNT(SimData1!$D$9:$D$508)-1)+$N$135</f>
        <v>0.25450901803607234</v>
      </c>
      <c r="O136">
        <f>SMALL(SimData1!$E$9:$E$508,128)</f>
        <v>-0.60620755879033528</v>
      </c>
      <c r="P136">
        <f>1/(COUNT(SimData1!$E$9:$E$508)-1)+$P$135</f>
        <v>0.25450901803607234</v>
      </c>
      <c r="Q136">
        <f>SMALL(SimData1!$F$9:$F$508,128)</f>
        <v>0.23</v>
      </c>
      <c r="R136">
        <f>1/(COUNT(SimData1!$F$9:$F$508)-1)+$R$135</f>
        <v>0.25450901803607234</v>
      </c>
      <c r="S136">
        <f>SMALL(SimData1!$G$9:$G$508,128)</f>
        <v>4</v>
      </c>
      <c r="T136">
        <f>1/(COUNT(SimData1!$G$9:$G$508)-1)+$T$135</f>
        <v>0.25450901803607234</v>
      </c>
    </row>
    <row r="137" spans="1:20">
      <c r="A137">
        <v>129</v>
      </c>
      <c r="B137">
        <v>10.852620869852585</v>
      </c>
      <c r="C137">
        <v>2.9225680163639058</v>
      </c>
      <c r="D137">
        <v>9.5164748308184741</v>
      </c>
      <c r="E137">
        <v>-0.34126177112477252</v>
      </c>
      <c r="F137">
        <v>0.23</v>
      </c>
      <c r="G137">
        <v>2</v>
      </c>
      <c r="I137">
        <f>SMALL(SimData1!$B$9:$B$508,129)</f>
        <v>8.0435146960510302</v>
      </c>
      <c r="J137">
        <f>1/(COUNT(SimData1!$B$9:$B$508)-1)+$J$136</f>
        <v>0.25651302605210441</v>
      </c>
      <c r="K137">
        <f>SMALL(SimData1!$C$9:$C$508,129)</f>
        <v>4.0625735225115376</v>
      </c>
      <c r="L137">
        <f>1/(COUNT(SimData1!$C$9:$C$508)-1)+$L$136</f>
        <v>0.25651302605210441</v>
      </c>
      <c r="M137">
        <f>SMALL(SimData1!$D$9:$D$508,129)</f>
        <v>5.0820005909842445</v>
      </c>
      <c r="N137">
        <f>1/(COUNT(SimData1!$D$9:$D$508)-1)+$N$136</f>
        <v>0.25651302605210441</v>
      </c>
      <c r="O137">
        <f>SMALL(SimData1!$E$9:$E$508,129)</f>
        <v>-0.60223842875366351</v>
      </c>
      <c r="P137">
        <f>1/(COUNT(SimData1!$E$9:$E$508)-1)+$P$136</f>
        <v>0.25651302605210441</v>
      </c>
      <c r="Q137">
        <f>SMALL(SimData1!$F$9:$F$508,129)</f>
        <v>0.23</v>
      </c>
      <c r="R137">
        <f>1/(COUNT(SimData1!$F$9:$F$508)-1)+$R$136</f>
        <v>0.25651302605210441</v>
      </c>
      <c r="S137">
        <f>SMALL(SimData1!$G$9:$G$508,129)</f>
        <v>4</v>
      </c>
      <c r="T137">
        <f>1/(COUNT(SimData1!$G$9:$G$508)-1)+$T$136</f>
        <v>0.25651302605210441</v>
      </c>
    </row>
    <row r="138" spans="1:20">
      <c r="A138">
        <v>130</v>
      </c>
      <c r="B138">
        <v>10.274780131081615</v>
      </c>
      <c r="C138">
        <v>3.1164531051023987</v>
      </c>
      <c r="D138">
        <v>8.2319250530544501</v>
      </c>
      <c r="E138">
        <v>23.454539144915891</v>
      </c>
      <c r="F138">
        <v>0.23</v>
      </c>
      <c r="G138">
        <v>12</v>
      </c>
      <c r="I138">
        <f>SMALL(SimData1!$B$9:$B$508,130)</f>
        <v>8.0587008819138592</v>
      </c>
      <c r="J138">
        <f>1/(COUNT(SimData1!$B$9:$B$508)-1)+$J$137</f>
        <v>0.25851703406813648</v>
      </c>
      <c r="K138">
        <f>SMALL(SimData1!$C$9:$C$508,130)</f>
        <v>4.0776117142321571</v>
      </c>
      <c r="L138">
        <f>1/(COUNT(SimData1!$C$9:$C$508)-1)+$L$137</f>
        <v>0.25851703406813648</v>
      </c>
      <c r="M138">
        <f>SMALL(SimData1!$D$9:$D$508,130)</f>
        <v>5.1108267611802614</v>
      </c>
      <c r="N138">
        <f>1/(COUNT(SimData1!$D$9:$D$508)-1)+$N$137</f>
        <v>0.25851703406813648</v>
      </c>
      <c r="O138">
        <f>SMALL(SimData1!$E$9:$E$508,130)</f>
        <v>-0.59023828833678471</v>
      </c>
      <c r="P138">
        <f>1/(COUNT(SimData1!$E$9:$E$508)-1)+$P$137</f>
        <v>0.25851703406813648</v>
      </c>
      <c r="Q138">
        <f>SMALL(SimData1!$F$9:$F$508,130)</f>
        <v>0.23</v>
      </c>
      <c r="R138">
        <f>1/(COUNT(SimData1!$F$9:$F$508)-1)+$R$137</f>
        <v>0.25851703406813648</v>
      </c>
      <c r="S138">
        <f>SMALL(SimData1!$G$9:$G$508,130)</f>
        <v>4</v>
      </c>
      <c r="T138">
        <f>1/(COUNT(SimData1!$G$9:$G$508)-1)+$T$137</f>
        <v>0.25851703406813648</v>
      </c>
    </row>
    <row r="139" spans="1:20">
      <c r="A139">
        <v>131</v>
      </c>
      <c r="B139">
        <v>13.039592693633997</v>
      </c>
      <c r="C139">
        <v>7.9614479155487965</v>
      </c>
      <c r="D139">
        <v>5.8791807490399064</v>
      </c>
      <c r="E139">
        <v>-1.0092792197469351</v>
      </c>
      <c r="F139">
        <v>0.23</v>
      </c>
      <c r="G139">
        <v>9</v>
      </c>
      <c r="I139">
        <f>SMALL(SimData1!$B$9:$B$508,131)</f>
        <v>8.0813309679236269</v>
      </c>
      <c r="J139">
        <f>1/(COUNT(SimData1!$B$9:$B$508)-1)+$J$138</f>
        <v>0.26052104208416854</v>
      </c>
      <c r="K139">
        <f>SMALL(SimData1!$C$9:$C$508,131)</f>
        <v>4.0821028516371971</v>
      </c>
      <c r="L139">
        <f>1/(COUNT(SimData1!$C$9:$C$508)-1)+$L$138</f>
        <v>0.26052104208416854</v>
      </c>
      <c r="M139">
        <f>SMALL(SimData1!$D$9:$D$508,131)</f>
        <v>5.1413975954701652</v>
      </c>
      <c r="N139">
        <f>1/(COUNT(SimData1!$D$9:$D$508)-1)+$N$138</f>
        <v>0.26052104208416854</v>
      </c>
      <c r="O139">
        <f>SMALL(SimData1!$E$9:$E$508,131)</f>
        <v>-0.58874951954761778</v>
      </c>
      <c r="P139">
        <f>1/(COUNT(SimData1!$E$9:$E$508)-1)+$P$138</f>
        <v>0.26052104208416854</v>
      </c>
      <c r="Q139">
        <f>SMALL(SimData1!$F$9:$F$508,131)</f>
        <v>0.23</v>
      </c>
      <c r="R139">
        <f>1/(COUNT(SimData1!$F$9:$F$508)-1)+$R$138</f>
        <v>0.26052104208416854</v>
      </c>
      <c r="S139">
        <f>SMALL(SimData1!$G$9:$G$508,131)</f>
        <v>4</v>
      </c>
      <c r="T139">
        <f>1/(COUNT(SimData1!$G$9:$G$508)-1)+$T$138</f>
        <v>0.26052104208416854</v>
      </c>
    </row>
    <row r="140" spans="1:20">
      <c r="A140">
        <v>132</v>
      </c>
      <c r="B140">
        <v>4.4669063665922568</v>
      </c>
      <c r="C140">
        <v>9.5108479031824622</v>
      </c>
      <c r="D140">
        <v>16.920447533913062</v>
      </c>
      <c r="E140">
        <v>23.052687936802894</v>
      </c>
      <c r="F140">
        <v>0.23</v>
      </c>
      <c r="G140">
        <v>12</v>
      </c>
      <c r="I140">
        <f>SMALL(SimData1!$B$9:$B$508,132)</f>
        <v>8.1020504394547999</v>
      </c>
      <c r="J140">
        <f>1/(COUNT(SimData1!$B$9:$B$508)-1)+$J$139</f>
        <v>0.26252505010020061</v>
      </c>
      <c r="K140">
        <f>SMALL(SimData1!$C$9:$C$508,132)</f>
        <v>4.108524765818502</v>
      </c>
      <c r="L140">
        <f>1/(COUNT(SimData1!$C$9:$C$508)-1)+$L$139</f>
        <v>0.26252505010020061</v>
      </c>
      <c r="M140">
        <f>SMALL(SimData1!$D$9:$D$508,132)</f>
        <v>5.1655490348352</v>
      </c>
      <c r="N140">
        <f>1/(COUNT(SimData1!$D$9:$D$508)-1)+$N$139</f>
        <v>0.26252505010020061</v>
      </c>
      <c r="O140">
        <f>SMALL(SimData1!$E$9:$E$508,132)</f>
        <v>-0.57630791799406922</v>
      </c>
      <c r="P140">
        <f>1/(COUNT(SimData1!$E$9:$E$508)-1)+$P$139</f>
        <v>0.26252505010020061</v>
      </c>
      <c r="Q140">
        <f>SMALL(SimData1!$F$9:$F$508,132)</f>
        <v>0.23</v>
      </c>
      <c r="R140">
        <f>1/(COUNT(SimData1!$F$9:$F$508)-1)+$R$139</f>
        <v>0.26252505010020061</v>
      </c>
      <c r="S140">
        <f>SMALL(SimData1!$G$9:$G$508,132)</f>
        <v>4</v>
      </c>
      <c r="T140">
        <f>1/(COUNT(SimData1!$G$9:$G$508)-1)+$T$139</f>
        <v>0.26252505010020061</v>
      </c>
    </row>
    <row r="141" spans="1:20">
      <c r="A141">
        <v>133</v>
      </c>
      <c r="B141">
        <v>2.5978657393220059</v>
      </c>
      <c r="C141">
        <v>9.2258632507384437</v>
      </c>
      <c r="D141">
        <v>2.130333900785617</v>
      </c>
      <c r="E141">
        <v>-1.2266357311203566</v>
      </c>
      <c r="F141">
        <v>0.23</v>
      </c>
      <c r="G141">
        <v>10</v>
      </c>
      <c r="I141">
        <f>SMALL(SimData1!$B$9:$B$508,133)</f>
        <v>8.1143722634245723</v>
      </c>
      <c r="J141">
        <f>1/(COUNT(SimData1!$B$9:$B$508)-1)+$J$140</f>
        <v>0.26452905811623267</v>
      </c>
      <c r="K141">
        <f>SMALL(SimData1!$C$9:$C$508,133)</f>
        <v>4.115090196207885</v>
      </c>
      <c r="L141">
        <f>1/(COUNT(SimData1!$C$9:$C$508)-1)+$L$140</f>
        <v>0.26452905811623267</v>
      </c>
      <c r="M141">
        <f>SMALL(SimData1!$D$9:$D$508,133)</f>
        <v>5.1776483227279151</v>
      </c>
      <c r="N141">
        <f>1/(COUNT(SimData1!$D$9:$D$508)-1)+$N$140</f>
        <v>0.26452905811623267</v>
      </c>
      <c r="O141">
        <f>SMALL(SimData1!$E$9:$E$508,133)</f>
        <v>-0.57381479506919242</v>
      </c>
      <c r="P141">
        <f>1/(COUNT(SimData1!$E$9:$E$508)-1)+$P$140</f>
        <v>0.26452905811623267</v>
      </c>
      <c r="Q141">
        <f>SMALL(SimData1!$F$9:$F$508,133)</f>
        <v>0.23</v>
      </c>
      <c r="R141">
        <f>1/(COUNT(SimData1!$F$9:$F$508)-1)+$R$140</f>
        <v>0.26452905811623267</v>
      </c>
      <c r="S141">
        <f>SMALL(SimData1!$G$9:$G$508,133)</f>
        <v>4</v>
      </c>
      <c r="T141">
        <f>1/(COUNT(SimData1!$G$9:$G$508)-1)+$T$140</f>
        <v>0.26452905811623267</v>
      </c>
    </row>
    <row r="142" spans="1:20">
      <c r="A142">
        <v>134</v>
      </c>
      <c r="B142">
        <v>8.8135193509077734</v>
      </c>
      <c r="C142">
        <v>7.2630637902652522</v>
      </c>
      <c r="D142">
        <v>6.2899074209839814</v>
      </c>
      <c r="E142">
        <v>-0.42672781308440388</v>
      </c>
      <c r="F142">
        <v>0.23</v>
      </c>
      <c r="G142">
        <v>4</v>
      </c>
      <c r="I142">
        <f>SMALL(SimData1!$B$9:$B$508,134)</f>
        <v>8.1362543293276541</v>
      </c>
      <c r="J142">
        <f>1/(COUNT(SimData1!$B$9:$B$508)-1)+$J$141</f>
        <v>0.26653306613226474</v>
      </c>
      <c r="K142">
        <f>SMALL(SimData1!$C$9:$C$508,134)</f>
        <v>4.1324708563956598</v>
      </c>
      <c r="L142">
        <f>1/(COUNT(SimData1!$C$9:$C$508)-1)+$L$141</f>
        <v>0.26653306613226474</v>
      </c>
      <c r="M142">
        <f>SMALL(SimData1!$D$9:$D$508,134)</f>
        <v>5.2060319214067494</v>
      </c>
      <c r="N142">
        <f>1/(COUNT(SimData1!$D$9:$D$508)-1)+$N$141</f>
        <v>0.26653306613226474</v>
      </c>
      <c r="O142">
        <f>SMALL(SimData1!$E$9:$E$508,134)</f>
        <v>-0.56717262129262658</v>
      </c>
      <c r="P142">
        <f>1/(COUNT(SimData1!$E$9:$E$508)-1)+$P$141</f>
        <v>0.26653306613226474</v>
      </c>
      <c r="Q142">
        <f>SMALL(SimData1!$F$9:$F$508,134)</f>
        <v>0.23</v>
      </c>
      <c r="R142">
        <f>1/(COUNT(SimData1!$F$9:$F$508)-1)+$R$141</f>
        <v>0.26653306613226474</v>
      </c>
      <c r="S142">
        <f>SMALL(SimData1!$G$9:$G$508,134)</f>
        <v>4</v>
      </c>
      <c r="T142">
        <f>1/(COUNT(SimData1!$G$9:$G$508)-1)+$T$141</f>
        <v>0.26653306613226474</v>
      </c>
    </row>
    <row r="143" spans="1:20">
      <c r="A143">
        <v>135</v>
      </c>
      <c r="B143">
        <v>14.387978072575478</v>
      </c>
      <c r="C143">
        <v>7.6593689924765771</v>
      </c>
      <c r="D143">
        <v>2.4365311545237271</v>
      </c>
      <c r="E143">
        <v>23.85287729883791</v>
      </c>
      <c r="F143">
        <v>0.23</v>
      </c>
      <c r="G143">
        <v>9</v>
      </c>
      <c r="I143">
        <f>SMALL(SimData1!$B$9:$B$508,135)</f>
        <v>8.1530183679930239</v>
      </c>
      <c r="J143">
        <f>1/(COUNT(SimData1!$B$9:$B$508)-1)+$J$142</f>
        <v>0.26853707414829681</v>
      </c>
      <c r="K143">
        <f>SMALL(SimData1!$C$9:$C$508,135)</f>
        <v>4.1516109910662315</v>
      </c>
      <c r="L143">
        <f>1/(COUNT(SimData1!$C$9:$C$508)-1)+$L$142</f>
        <v>0.26853707414829681</v>
      </c>
      <c r="M143">
        <f>SMALL(SimData1!$D$9:$D$508,135)</f>
        <v>5.2233227891343006</v>
      </c>
      <c r="N143">
        <f>1/(COUNT(SimData1!$D$9:$D$508)-1)+$N$142</f>
        <v>0.26853707414829681</v>
      </c>
      <c r="O143">
        <f>SMALL(SimData1!$E$9:$E$508,135)</f>
        <v>-0.55751237375040397</v>
      </c>
      <c r="P143">
        <f>1/(COUNT(SimData1!$E$9:$E$508)-1)+$P$142</f>
        <v>0.26853707414829681</v>
      </c>
      <c r="Q143">
        <f>SMALL(SimData1!$F$9:$F$508,135)</f>
        <v>0.23</v>
      </c>
      <c r="R143">
        <f>1/(COUNT(SimData1!$F$9:$F$508)-1)+$R$142</f>
        <v>0.26853707414829681</v>
      </c>
      <c r="S143">
        <f>SMALL(SimData1!$G$9:$G$508,135)</f>
        <v>4</v>
      </c>
      <c r="T143">
        <f>1/(COUNT(SimData1!$G$9:$G$508)-1)+$T$142</f>
        <v>0.26853707414829681</v>
      </c>
    </row>
    <row r="144" spans="1:20">
      <c r="A144">
        <v>136</v>
      </c>
      <c r="B144">
        <v>11.362731393410009</v>
      </c>
      <c r="C144">
        <v>2.3677403604834666</v>
      </c>
      <c r="D144">
        <v>4.253277840617411</v>
      </c>
      <c r="E144">
        <v>21.831048033019353</v>
      </c>
      <c r="F144">
        <v>0.23</v>
      </c>
      <c r="G144">
        <v>12</v>
      </c>
      <c r="I144">
        <f>SMALL(SimData1!$B$9:$B$508,136)</f>
        <v>8.1707706887305989</v>
      </c>
      <c r="J144">
        <f>1/(COUNT(SimData1!$B$9:$B$508)-1)+$J$143</f>
        <v>0.27054108216432887</v>
      </c>
      <c r="K144">
        <f>SMALL(SimData1!$C$9:$C$508,136)</f>
        <v>4.1751192653326132</v>
      </c>
      <c r="L144">
        <f>1/(COUNT(SimData1!$C$9:$C$508)-1)+$L$143</f>
        <v>0.27054108216432887</v>
      </c>
      <c r="M144">
        <f>SMALL(SimData1!$D$9:$D$508,136)</f>
        <v>5.2613672949572479</v>
      </c>
      <c r="N144">
        <f>1/(COUNT(SimData1!$D$9:$D$508)-1)+$N$143</f>
        <v>0.27054108216432887</v>
      </c>
      <c r="O144">
        <f>SMALL(SimData1!$E$9:$E$508,136)</f>
        <v>-0.55384357875776113</v>
      </c>
      <c r="P144">
        <f>1/(COUNT(SimData1!$E$9:$E$508)-1)+$P$143</f>
        <v>0.27054108216432887</v>
      </c>
      <c r="Q144">
        <f>SMALL(SimData1!$F$9:$F$508,136)</f>
        <v>0.23</v>
      </c>
      <c r="R144">
        <f>1/(COUNT(SimData1!$F$9:$F$508)-1)+$R$143</f>
        <v>0.27054108216432887</v>
      </c>
      <c r="S144">
        <f>SMALL(SimData1!$G$9:$G$508,136)</f>
        <v>4</v>
      </c>
      <c r="T144">
        <f>1/(COUNT(SimData1!$G$9:$G$508)-1)+$T$143</f>
        <v>0.27054108216432887</v>
      </c>
    </row>
    <row r="145" spans="1:20">
      <c r="A145">
        <v>137</v>
      </c>
      <c r="B145">
        <v>10.060631682582644</v>
      </c>
      <c r="C145">
        <v>9.2588837166118623</v>
      </c>
      <c r="D145">
        <v>13.750852213054628</v>
      </c>
      <c r="E145">
        <v>23.770556928246798</v>
      </c>
      <c r="F145">
        <v>0.23</v>
      </c>
      <c r="G145">
        <v>9</v>
      </c>
      <c r="I145">
        <f>SMALL(SimData1!$B$9:$B$508,137)</f>
        <v>8.1828608701677918</v>
      </c>
      <c r="J145">
        <f>1/(COUNT(SimData1!$B$9:$B$508)-1)+$J$144</f>
        <v>0.27254509018036094</v>
      </c>
      <c r="K145">
        <f>SMALL(SimData1!$C$9:$C$508,137)</f>
        <v>4.1819468992813373</v>
      </c>
      <c r="L145">
        <f>1/(COUNT(SimData1!$C$9:$C$508)-1)+$L$144</f>
        <v>0.27254509018036094</v>
      </c>
      <c r="M145">
        <f>SMALL(SimData1!$D$9:$D$508,137)</f>
        <v>5.2642873415929001</v>
      </c>
      <c r="N145">
        <f>1/(COUNT(SimData1!$D$9:$D$508)-1)+$N$144</f>
        <v>0.27254509018036094</v>
      </c>
      <c r="O145">
        <f>SMALL(SimData1!$E$9:$E$508,137)</f>
        <v>-0.54435161209909289</v>
      </c>
      <c r="P145">
        <f>1/(COUNT(SimData1!$E$9:$E$508)-1)+$P$144</f>
        <v>0.27254509018036094</v>
      </c>
      <c r="Q145">
        <f>SMALL(SimData1!$F$9:$F$508,137)</f>
        <v>0.23</v>
      </c>
      <c r="R145">
        <f>1/(COUNT(SimData1!$F$9:$F$508)-1)+$R$144</f>
        <v>0.27254509018036094</v>
      </c>
      <c r="S145">
        <f>SMALL(SimData1!$G$9:$G$508,137)</f>
        <v>4</v>
      </c>
      <c r="T145">
        <f>1/(COUNT(SimData1!$G$9:$G$508)-1)+$T$144</f>
        <v>0.27254509018036094</v>
      </c>
    </row>
    <row r="146" spans="1:20">
      <c r="A146">
        <v>138</v>
      </c>
      <c r="B146">
        <v>14.577157875485826</v>
      </c>
      <c r="C146">
        <v>2.5013651043896949</v>
      </c>
      <c r="D146">
        <v>6.2367613654110485</v>
      </c>
      <c r="E146">
        <v>23.706787151464951</v>
      </c>
      <c r="F146">
        <v>0.23</v>
      </c>
      <c r="G146">
        <v>2</v>
      </c>
      <c r="I146">
        <f>SMALL(SimData1!$B$9:$B$508,138)</f>
        <v>8.2134927022816679</v>
      </c>
      <c r="J146">
        <f>1/(COUNT(SimData1!$B$9:$B$508)-1)+$J$145</f>
        <v>0.274549098196393</v>
      </c>
      <c r="K146">
        <f>SMALL(SimData1!$C$9:$C$508,138)</f>
        <v>4.2058720376561096</v>
      </c>
      <c r="L146">
        <f>1/(COUNT(SimData1!$C$9:$C$508)-1)+$L$145</f>
        <v>0.274549098196393</v>
      </c>
      <c r="M146">
        <f>SMALL(SimData1!$D$9:$D$508,138)</f>
        <v>5.2966802783516886</v>
      </c>
      <c r="N146">
        <f>1/(COUNT(SimData1!$D$9:$D$508)-1)+$N$145</f>
        <v>0.274549098196393</v>
      </c>
      <c r="O146">
        <f>SMALL(SimData1!$E$9:$E$508,138)</f>
        <v>-0.53718081835532505</v>
      </c>
      <c r="P146">
        <f>1/(COUNT(SimData1!$E$9:$E$508)-1)+$P$145</f>
        <v>0.274549098196393</v>
      </c>
      <c r="Q146">
        <f>SMALL(SimData1!$F$9:$F$508,138)</f>
        <v>0.23</v>
      </c>
      <c r="R146">
        <f>1/(COUNT(SimData1!$F$9:$F$508)-1)+$R$145</f>
        <v>0.274549098196393</v>
      </c>
      <c r="S146">
        <f>SMALL(SimData1!$G$9:$G$508,138)</f>
        <v>4</v>
      </c>
      <c r="T146">
        <f>1/(COUNT(SimData1!$G$9:$G$508)-1)+$T$145</f>
        <v>0.274549098196393</v>
      </c>
    </row>
    <row r="147" spans="1:20">
      <c r="A147">
        <v>139</v>
      </c>
      <c r="B147">
        <v>9.5789761953824932</v>
      </c>
      <c r="C147">
        <v>7.2086894876716405</v>
      </c>
      <c r="D147">
        <v>17.650332187889685</v>
      </c>
      <c r="E147">
        <v>-0.3512644341818163</v>
      </c>
      <c r="F147">
        <v>0.23</v>
      </c>
      <c r="G147">
        <v>4</v>
      </c>
      <c r="I147">
        <f>SMALL(SimData1!$B$9:$B$508,139)</f>
        <v>8.2291697384021809</v>
      </c>
      <c r="J147">
        <f>1/(COUNT(SimData1!$B$9:$B$508)-1)+$J$146</f>
        <v>0.27655310621242507</v>
      </c>
      <c r="K147">
        <f>SMALL(SimData1!$C$9:$C$508,139)</f>
        <v>4.2211949409724205</v>
      </c>
      <c r="L147">
        <f>1/(COUNT(SimData1!$C$9:$C$508)-1)+$L$146</f>
        <v>0.27655310621242507</v>
      </c>
      <c r="M147">
        <f>SMALL(SimData1!$D$9:$D$508,139)</f>
        <v>5.3163203824712717</v>
      </c>
      <c r="N147">
        <f>1/(COUNT(SimData1!$D$9:$D$508)-1)+$N$146</f>
        <v>0.27655310621242507</v>
      </c>
      <c r="O147">
        <f>SMALL(SimData1!$E$9:$E$508,139)</f>
        <v>-0.52804091814665621</v>
      </c>
      <c r="P147">
        <f>1/(COUNT(SimData1!$E$9:$E$508)-1)+$P$146</f>
        <v>0.27655310621242507</v>
      </c>
      <c r="Q147">
        <f>SMALL(SimData1!$F$9:$F$508,139)</f>
        <v>0.23</v>
      </c>
      <c r="R147">
        <f>1/(COUNT(SimData1!$F$9:$F$508)-1)+$R$146</f>
        <v>0.27655310621242507</v>
      </c>
      <c r="S147">
        <f>SMALL(SimData1!$G$9:$G$508,139)</f>
        <v>4</v>
      </c>
      <c r="T147">
        <f>1/(COUNT(SimData1!$G$9:$G$508)-1)+$T$146</f>
        <v>0.27655310621242507</v>
      </c>
    </row>
    <row r="148" spans="1:20">
      <c r="A148">
        <v>140</v>
      </c>
      <c r="B148">
        <v>17.380553022298919</v>
      </c>
      <c r="C148">
        <v>4.5806258006181162</v>
      </c>
      <c r="D148">
        <v>8.6251286489761263</v>
      </c>
      <c r="E148">
        <v>-0.75852478119641242</v>
      </c>
      <c r="F148">
        <v>0.23</v>
      </c>
      <c r="G148">
        <v>12</v>
      </c>
      <c r="I148">
        <f>SMALL(SimData1!$B$9:$B$508,140)</f>
        <v>8.2386742818494625</v>
      </c>
      <c r="J148">
        <f>1/(COUNT(SimData1!$B$9:$B$508)-1)+$J$147</f>
        <v>0.27855711422845714</v>
      </c>
      <c r="K148">
        <f>SMALL(SimData1!$C$9:$C$508,140)</f>
        <v>4.2287149127136718</v>
      </c>
      <c r="L148">
        <f>1/(COUNT(SimData1!$C$9:$C$508)-1)+$L$147</f>
        <v>0.27855711422845714</v>
      </c>
      <c r="M148">
        <f>SMALL(SimData1!$D$9:$D$508,140)</f>
        <v>5.3486254914525491</v>
      </c>
      <c r="N148">
        <f>1/(COUNT(SimData1!$D$9:$D$508)-1)+$N$147</f>
        <v>0.27855711422845714</v>
      </c>
      <c r="O148">
        <f>SMALL(SimData1!$E$9:$E$508,140)</f>
        <v>-0.52344473113441481</v>
      </c>
      <c r="P148">
        <f>1/(COUNT(SimData1!$E$9:$E$508)-1)+$P$147</f>
        <v>0.27855711422845714</v>
      </c>
      <c r="Q148">
        <f>SMALL(SimData1!$F$9:$F$508,140)</f>
        <v>0.23</v>
      </c>
      <c r="R148">
        <f>1/(COUNT(SimData1!$F$9:$F$508)-1)+$R$147</f>
        <v>0.27855711422845714</v>
      </c>
      <c r="S148">
        <f>SMALL(SimData1!$G$9:$G$508,140)</f>
        <v>4</v>
      </c>
      <c r="T148">
        <f>1/(COUNT(SimData1!$G$9:$G$508)-1)+$T$147</f>
        <v>0.27855711422845714</v>
      </c>
    </row>
    <row r="149" spans="1:20">
      <c r="A149">
        <v>141</v>
      </c>
      <c r="B149">
        <v>5.1614816264569132</v>
      </c>
      <c r="C149">
        <v>5.0236478332243042</v>
      </c>
      <c r="D149">
        <v>9.470818588969955</v>
      </c>
      <c r="E149">
        <v>23.540877507420053</v>
      </c>
      <c r="F149">
        <v>0.23</v>
      </c>
      <c r="G149">
        <v>6</v>
      </c>
      <c r="I149">
        <f>SMALL(SimData1!$B$9:$B$508,141)</f>
        <v>8.2691278230195628</v>
      </c>
      <c r="J149">
        <f>1/(COUNT(SimData1!$B$9:$B$508)-1)+$J$148</f>
        <v>0.2805611222444892</v>
      </c>
      <c r="K149">
        <f>SMALL(SimData1!$C$9:$C$508,141)</f>
        <v>4.2515247234244651</v>
      </c>
      <c r="L149">
        <f>1/(COUNT(SimData1!$C$9:$C$508)-1)+$L$148</f>
        <v>0.2805611222444892</v>
      </c>
      <c r="M149">
        <f>SMALL(SimData1!$D$9:$D$508,141)</f>
        <v>5.3736238581011131</v>
      </c>
      <c r="N149">
        <f>1/(COUNT(SimData1!$D$9:$D$508)-1)+$N$148</f>
        <v>0.2805611222444892</v>
      </c>
      <c r="O149">
        <f>SMALL(SimData1!$E$9:$E$508,141)</f>
        <v>-0.51384401919704525</v>
      </c>
      <c r="P149">
        <f>1/(COUNT(SimData1!$E$9:$E$508)-1)+$P$148</f>
        <v>0.2805611222444892</v>
      </c>
      <c r="Q149">
        <f>SMALL(SimData1!$F$9:$F$508,141)</f>
        <v>0.23</v>
      </c>
      <c r="R149">
        <f>1/(COUNT(SimData1!$F$9:$F$508)-1)+$R$148</f>
        <v>0.2805611222444892</v>
      </c>
      <c r="S149">
        <f>SMALL(SimData1!$G$9:$G$508,141)</f>
        <v>4</v>
      </c>
      <c r="T149">
        <f>1/(COUNT(SimData1!$G$9:$G$508)-1)+$T$148</f>
        <v>0.2805611222444892</v>
      </c>
    </row>
    <row r="150" spans="1:20">
      <c r="A150">
        <v>142</v>
      </c>
      <c r="B150">
        <v>13.133965369310852</v>
      </c>
      <c r="C150">
        <v>8.2328588534502458</v>
      </c>
      <c r="D150">
        <v>10.153752702217957</v>
      </c>
      <c r="E150">
        <v>-1.1312797078244614</v>
      </c>
      <c r="F150">
        <v>0.23</v>
      </c>
      <c r="G150">
        <v>12</v>
      </c>
      <c r="I150">
        <f>SMALL(SimData1!$B$9:$B$508,142)</f>
        <v>8.2844071126754315</v>
      </c>
      <c r="J150">
        <f>1/(COUNT(SimData1!$B$9:$B$508)-1)+$J$149</f>
        <v>0.28256513026052127</v>
      </c>
      <c r="K150">
        <f>SMALL(SimData1!$C$9:$C$508,142)</f>
        <v>4.2690275657132801</v>
      </c>
      <c r="L150">
        <f>1/(COUNT(SimData1!$C$9:$C$508)-1)+$L$149</f>
        <v>0.28256513026052127</v>
      </c>
      <c r="M150">
        <f>SMALL(SimData1!$D$9:$D$508,142)</f>
        <v>5.4068588269443385</v>
      </c>
      <c r="N150">
        <f>1/(COUNT(SimData1!$D$9:$D$508)-1)+$N$149</f>
        <v>0.28256513026052127</v>
      </c>
      <c r="O150">
        <f>SMALL(SimData1!$E$9:$E$508,142)</f>
        <v>-0.50786479282972408</v>
      </c>
      <c r="P150">
        <f>1/(COUNT(SimData1!$E$9:$E$508)-1)+$P$149</f>
        <v>0.28256513026052127</v>
      </c>
      <c r="Q150">
        <f>SMALL(SimData1!$F$9:$F$508,142)</f>
        <v>0.23</v>
      </c>
      <c r="R150">
        <f>1/(COUNT(SimData1!$F$9:$F$508)-1)+$R$149</f>
        <v>0.28256513026052127</v>
      </c>
      <c r="S150">
        <f>SMALL(SimData1!$G$9:$G$508,142)</f>
        <v>4</v>
      </c>
      <c r="T150">
        <f>1/(COUNT(SimData1!$G$9:$G$508)-1)+$T$149</f>
        <v>0.28256513026052127</v>
      </c>
    </row>
    <row r="151" spans="1:20">
      <c r="A151">
        <v>143</v>
      </c>
      <c r="B151">
        <v>9.9109474283268817</v>
      </c>
      <c r="C151">
        <v>8.1937767916884674</v>
      </c>
      <c r="D151">
        <v>14.153579251755396</v>
      </c>
      <c r="E151">
        <v>-0.88621219941769047</v>
      </c>
      <c r="F151">
        <v>0.23</v>
      </c>
      <c r="G151">
        <v>2</v>
      </c>
      <c r="I151">
        <f>SMALL(SimData1!$B$9:$B$508,143)</f>
        <v>8.2904209009563434</v>
      </c>
      <c r="J151">
        <f>1/(COUNT(SimData1!$B$9:$B$508)-1)+$J$150</f>
        <v>0.28456913827655334</v>
      </c>
      <c r="K151">
        <f>SMALL(SimData1!$C$9:$C$508,143)</f>
        <v>4.2833610607412087</v>
      </c>
      <c r="L151">
        <f>1/(COUNT(SimData1!$C$9:$C$508)-1)+$L$150</f>
        <v>0.28456913827655334</v>
      </c>
      <c r="M151">
        <f>SMALL(SimData1!$D$9:$D$508,143)</f>
        <v>5.4167324481161154</v>
      </c>
      <c r="N151">
        <f>1/(COUNT(SimData1!$D$9:$D$508)-1)+$N$150</f>
        <v>0.28456913827655334</v>
      </c>
      <c r="O151">
        <f>SMALL(SimData1!$E$9:$E$508,143)</f>
        <v>-0.50530335800639981</v>
      </c>
      <c r="P151">
        <f>1/(COUNT(SimData1!$E$9:$E$508)-1)+$P$150</f>
        <v>0.28456913827655334</v>
      </c>
      <c r="Q151">
        <f>SMALL(SimData1!$F$9:$F$508,143)</f>
        <v>0.23</v>
      </c>
      <c r="R151">
        <f>1/(COUNT(SimData1!$F$9:$F$508)-1)+$R$150</f>
        <v>0.28456913827655334</v>
      </c>
      <c r="S151">
        <f>SMALL(SimData1!$G$9:$G$508,143)</f>
        <v>4</v>
      </c>
      <c r="T151">
        <f>1/(COUNT(SimData1!$G$9:$G$508)-1)+$T$150</f>
        <v>0.28456913827655334</v>
      </c>
    </row>
    <row r="152" spans="1:20">
      <c r="A152">
        <v>144</v>
      </c>
      <c r="B152">
        <v>13.942236952978915</v>
      </c>
      <c r="C152">
        <v>4.5610488909150124</v>
      </c>
      <c r="D152">
        <v>2.5280634633470478</v>
      </c>
      <c r="E152">
        <v>22.889745348211061</v>
      </c>
      <c r="F152">
        <v>0.23</v>
      </c>
      <c r="G152">
        <v>12</v>
      </c>
      <c r="I152">
        <f>SMALL(SimData1!$B$9:$B$508,144)</f>
        <v>8.3155144035147543</v>
      </c>
      <c r="J152">
        <f>1/(COUNT(SimData1!$B$9:$B$508)-1)+$J$151</f>
        <v>0.2865731462925854</v>
      </c>
      <c r="K152">
        <f>SMALL(SimData1!$C$9:$C$508,144)</f>
        <v>4.2912043201036765</v>
      </c>
      <c r="L152">
        <f>1/(COUNT(SimData1!$C$9:$C$508)-1)+$L$151</f>
        <v>0.2865731462925854</v>
      </c>
      <c r="M152">
        <f>SMALL(SimData1!$D$9:$D$508,144)</f>
        <v>5.4525446936722251</v>
      </c>
      <c r="N152">
        <f>1/(COUNT(SimData1!$D$9:$D$508)-1)+$N$151</f>
        <v>0.2865731462925854</v>
      </c>
      <c r="O152">
        <f>SMALL(SimData1!$E$9:$E$508,144)</f>
        <v>-0.49400637784555945</v>
      </c>
      <c r="P152">
        <f>1/(COUNT(SimData1!$E$9:$E$508)-1)+$P$151</f>
        <v>0.2865731462925854</v>
      </c>
      <c r="Q152">
        <f>SMALL(SimData1!$F$9:$F$508,144)</f>
        <v>0.23</v>
      </c>
      <c r="R152">
        <f>1/(COUNT(SimData1!$F$9:$F$508)-1)+$R$151</f>
        <v>0.2865731462925854</v>
      </c>
      <c r="S152">
        <f>SMALL(SimData1!$G$9:$G$508,144)</f>
        <v>4</v>
      </c>
      <c r="T152">
        <f>1/(COUNT(SimData1!$G$9:$G$508)-1)+$T$151</f>
        <v>0.2865731462925854</v>
      </c>
    </row>
    <row r="153" spans="1:20">
      <c r="A153">
        <v>145</v>
      </c>
      <c r="B153">
        <v>5.6401676729609083</v>
      </c>
      <c r="C153">
        <v>8.6789842976459735</v>
      </c>
      <c r="D153">
        <v>6.394465262037345</v>
      </c>
      <c r="E153">
        <v>-0.35293315992387742</v>
      </c>
      <c r="F153">
        <v>0.23</v>
      </c>
      <c r="G153">
        <v>4</v>
      </c>
      <c r="I153">
        <f>SMALL(SimData1!$B$9:$B$508,145)</f>
        <v>8.3385720733203286</v>
      </c>
      <c r="J153">
        <f>1/(COUNT(SimData1!$B$9:$B$508)-1)+$J$152</f>
        <v>0.28857715430861747</v>
      </c>
      <c r="K153">
        <f>SMALL(SimData1!$C$9:$C$508,145)</f>
        <v>4.3132542953810784</v>
      </c>
      <c r="L153">
        <f>1/(COUNT(SimData1!$C$9:$C$508)-1)+$L$152</f>
        <v>0.28857715430861747</v>
      </c>
      <c r="M153">
        <f>SMALL(SimData1!$D$9:$D$508,145)</f>
        <v>5.4778413639398851</v>
      </c>
      <c r="N153">
        <f>1/(COUNT(SimData1!$D$9:$D$508)-1)+$N$152</f>
        <v>0.28857715430861747</v>
      </c>
      <c r="O153">
        <f>SMALL(SimData1!$E$9:$E$508,145)</f>
        <v>-0.49032913359464092</v>
      </c>
      <c r="P153">
        <f>1/(COUNT(SimData1!$E$9:$E$508)-1)+$P$152</f>
        <v>0.28857715430861747</v>
      </c>
      <c r="Q153">
        <f>SMALL(SimData1!$F$9:$F$508,145)</f>
        <v>0.23</v>
      </c>
      <c r="R153">
        <f>1/(COUNT(SimData1!$F$9:$F$508)-1)+$R$152</f>
        <v>0.28857715430861747</v>
      </c>
      <c r="S153">
        <f>SMALL(SimData1!$G$9:$G$508,145)</f>
        <v>4</v>
      </c>
      <c r="T153">
        <f>1/(COUNT(SimData1!$G$9:$G$508)-1)+$T$152</f>
        <v>0.28857715430861747</v>
      </c>
    </row>
    <row r="154" spans="1:20">
      <c r="A154">
        <v>146</v>
      </c>
      <c r="B154">
        <v>7.8037811580762506</v>
      </c>
      <c r="C154">
        <v>6.0021155928117489</v>
      </c>
      <c r="D154">
        <v>7.7751424991654092</v>
      </c>
      <c r="E154">
        <v>-0.52344473113441481</v>
      </c>
      <c r="F154">
        <v>0.23</v>
      </c>
      <c r="G154">
        <v>10</v>
      </c>
      <c r="I154">
        <f>SMALL(SimData1!$B$9:$B$508,146)</f>
        <v>8.3454337334859243</v>
      </c>
      <c r="J154">
        <f>1/(COUNT(SimData1!$B$9:$B$508)-1)+$J$153</f>
        <v>0.29058116232464953</v>
      </c>
      <c r="K154">
        <f>SMALL(SimData1!$C$9:$C$508,146)</f>
        <v>4.3211158543045434</v>
      </c>
      <c r="L154">
        <f>1/(COUNT(SimData1!$C$9:$C$508)-1)+$L$153</f>
        <v>0.29058116232464953</v>
      </c>
      <c r="M154">
        <f>SMALL(SimData1!$D$9:$D$508,146)</f>
        <v>5.4921279855789917</v>
      </c>
      <c r="N154">
        <f>1/(COUNT(SimData1!$D$9:$D$508)-1)+$N$153</f>
        <v>0.29058116232464953</v>
      </c>
      <c r="O154">
        <f>SMALL(SimData1!$E$9:$E$508,146)</f>
        <v>-0.47820442355739212</v>
      </c>
      <c r="P154">
        <f>1/(COUNT(SimData1!$E$9:$E$508)-1)+$P$153</f>
        <v>0.29058116232464953</v>
      </c>
      <c r="Q154">
        <f>SMALL(SimData1!$F$9:$F$508,146)</f>
        <v>0.23</v>
      </c>
      <c r="R154">
        <f>1/(COUNT(SimData1!$F$9:$F$508)-1)+$R$153</f>
        <v>0.29058116232464953</v>
      </c>
      <c r="S154">
        <f>SMALL(SimData1!$G$9:$G$508,146)</f>
        <v>4</v>
      </c>
      <c r="T154">
        <f>1/(COUNT(SimData1!$G$9:$G$508)-1)+$T$153</f>
        <v>0.29058116232464953</v>
      </c>
    </row>
    <row r="155" spans="1:20">
      <c r="A155">
        <v>147</v>
      </c>
      <c r="B155">
        <v>7.3600971195619458</v>
      </c>
      <c r="C155">
        <v>3.4007486075742053</v>
      </c>
      <c r="D155">
        <v>13.117932190851761</v>
      </c>
      <c r="E155">
        <v>22.297768982577601</v>
      </c>
      <c r="F155">
        <v>0.23</v>
      </c>
      <c r="G155">
        <v>9</v>
      </c>
      <c r="I155">
        <f>SMALL(SimData1!$B$9:$B$508,147)</f>
        <v>8.3669615105954733</v>
      </c>
      <c r="J155">
        <f>1/(COUNT(SimData1!$B$9:$B$508)-1)+$J$154</f>
        <v>0.2925851703406816</v>
      </c>
      <c r="K155">
        <f>SMALL(SimData1!$C$9:$C$508,147)</f>
        <v>4.3513757748602364</v>
      </c>
      <c r="L155">
        <f>1/(COUNT(SimData1!$C$9:$C$508)-1)+$L$154</f>
        <v>0.2925851703406816</v>
      </c>
      <c r="M155">
        <f>SMALL(SimData1!$D$9:$D$508,147)</f>
        <v>5.5077093234517864</v>
      </c>
      <c r="N155">
        <f>1/(COUNT(SimData1!$D$9:$D$508)-1)+$N$154</f>
        <v>0.2925851703406816</v>
      </c>
      <c r="O155">
        <f>SMALL(SimData1!$E$9:$E$508,147)</f>
        <v>-0.47120985445218855</v>
      </c>
      <c r="P155">
        <f>1/(COUNT(SimData1!$E$9:$E$508)-1)+$P$154</f>
        <v>0.2925851703406816</v>
      </c>
      <c r="Q155">
        <f>SMALL(SimData1!$F$9:$F$508,147)</f>
        <v>0.23</v>
      </c>
      <c r="R155">
        <f>1/(COUNT(SimData1!$F$9:$F$508)-1)+$R$154</f>
        <v>0.2925851703406816</v>
      </c>
      <c r="S155">
        <f>SMALL(SimData1!$G$9:$G$508,147)</f>
        <v>4</v>
      </c>
      <c r="T155">
        <f>1/(COUNT(SimData1!$G$9:$G$508)-1)+$T$154</f>
        <v>0.2925851703406816</v>
      </c>
    </row>
    <row r="156" spans="1:20">
      <c r="A156">
        <v>148</v>
      </c>
      <c r="B156">
        <v>7.7669883603983871</v>
      </c>
      <c r="C156">
        <v>7.5315625613135202</v>
      </c>
      <c r="D156">
        <v>10.182426539886375</v>
      </c>
      <c r="E156">
        <v>8.4769811976588061E-2</v>
      </c>
      <c r="F156">
        <v>0.23</v>
      </c>
      <c r="G156">
        <v>6</v>
      </c>
      <c r="I156">
        <f>SMALL(SimData1!$B$9:$B$508,148)</f>
        <v>8.3767181469941558</v>
      </c>
      <c r="J156">
        <f>1/(COUNT(SimData1!$B$9:$B$508)-1)+$J$155</f>
        <v>0.29458917835671367</v>
      </c>
      <c r="K156">
        <f>SMALL(SimData1!$C$9:$C$508,148)</f>
        <v>4.3530631600211054</v>
      </c>
      <c r="L156">
        <f>1/(COUNT(SimData1!$C$9:$C$508)-1)+$L$155</f>
        <v>0.29458917835671367</v>
      </c>
      <c r="M156">
        <f>SMALL(SimData1!$D$9:$D$508,148)</f>
        <v>5.5287508811617156</v>
      </c>
      <c r="N156">
        <f>1/(COUNT(SimData1!$D$9:$D$508)-1)+$N$155</f>
        <v>0.29458917835671367</v>
      </c>
      <c r="O156">
        <f>SMALL(SimData1!$E$9:$E$508,148)</f>
        <v>-0.46957551642549267</v>
      </c>
      <c r="P156">
        <f>1/(COUNT(SimData1!$E$9:$E$508)-1)+$P$155</f>
        <v>0.29458917835671367</v>
      </c>
      <c r="Q156">
        <f>SMALL(SimData1!$F$9:$F$508,148)</f>
        <v>0.23</v>
      </c>
      <c r="R156">
        <f>1/(COUNT(SimData1!$F$9:$F$508)-1)+$R$155</f>
        <v>0.29458917835671367</v>
      </c>
      <c r="S156">
        <f>SMALL(SimData1!$G$9:$G$508,148)</f>
        <v>4</v>
      </c>
      <c r="T156">
        <f>1/(COUNT(SimData1!$G$9:$G$508)-1)+$T$155</f>
        <v>0.29458917835671367</v>
      </c>
    </row>
    <row r="157" spans="1:20">
      <c r="A157">
        <v>149</v>
      </c>
      <c r="B157">
        <v>8.7281425849555205</v>
      </c>
      <c r="C157">
        <v>4.7223826334184</v>
      </c>
      <c r="D157">
        <v>11.732264212048673</v>
      </c>
      <c r="E157">
        <v>-1.4464945203311976</v>
      </c>
      <c r="F157">
        <v>0.23</v>
      </c>
      <c r="G157">
        <v>12</v>
      </c>
      <c r="I157">
        <f>SMALL(SimData1!$B$9:$B$508,149)</f>
        <v>8.3989269755673384</v>
      </c>
      <c r="J157">
        <f>1/(COUNT(SimData1!$B$9:$B$508)-1)+$J$156</f>
        <v>0.29659318637274573</v>
      </c>
      <c r="K157">
        <f>SMALL(SimData1!$C$9:$C$508,149)</f>
        <v>4.3755287551413122</v>
      </c>
      <c r="L157">
        <f>1/(COUNT(SimData1!$C$9:$C$508)-1)+$L$156</f>
        <v>0.29659318637274573</v>
      </c>
      <c r="M157">
        <f>SMALL(SimData1!$D$9:$D$508,149)</f>
        <v>5.5670003809386399</v>
      </c>
      <c r="N157">
        <f>1/(COUNT(SimData1!$D$9:$D$508)-1)+$N$156</f>
        <v>0.29659318637274573</v>
      </c>
      <c r="O157">
        <f>SMALL(SimData1!$E$9:$E$508,149)</f>
        <v>-0.4627177362532493</v>
      </c>
      <c r="P157">
        <f>1/(COUNT(SimData1!$E$9:$E$508)-1)+$P$156</f>
        <v>0.29659318637274573</v>
      </c>
      <c r="Q157">
        <f>SMALL(SimData1!$F$9:$F$508,149)</f>
        <v>0.23</v>
      </c>
      <c r="R157">
        <f>1/(COUNT(SimData1!$F$9:$F$508)-1)+$R$156</f>
        <v>0.29659318637274573</v>
      </c>
      <c r="S157">
        <f>SMALL(SimData1!$G$9:$G$508,149)</f>
        <v>4</v>
      </c>
      <c r="T157">
        <f>1/(COUNT(SimData1!$G$9:$G$508)-1)+$T$156</f>
        <v>0.29659318637274573</v>
      </c>
    </row>
    <row r="158" spans="1:20">
      <c r="A158">
        <v>150</v>
      </c>
      <c r="B158">
        <v>10.645872465048111</v>
      </c>
      <c r="C158">
        <v>6.9205983944667029</v>
      </c>
      <c r="D158">
        <v>7.2745579590356346</v>
      </c>
      <c r="E158">
        <v>7.772811061614604E-2</v>
      </c>
      <c r="F158">
        <v>0.23</v>
      </c>
      <c r="G158">
        <v>2</v>
      </c>
      <c r="I158">
        <f>SMALL(SimData1!$B$9:$B$508,150)</f>
        <v>8.4109281143985104</v>
      </c>
      <c r="J158">
        <f>1/(COUNT(SimData1!$B$9:$B$508)-1)+$J$157</f>
        <v>0.2985971943887778</v>
      </c>
      <c r="K158">
        <f>SMALL(SimData1!$C$9:$C$508,150)</f>
        <v>4.3990542608311056</v>
      </c>
      <c r="L158">
        <f>1/(COUNT(SimData1!$C$9:$C$508)-1)+$L$157</f>
        <v>0.2985971943887778</v>
      </c>
      <c r="M158">
        <f>SMALL(SimData1!$D$9:$D$508,150)</f>
        <v>5.5871271820429547</v>
      </c>
      <c r="N158">
        <f>1/(COUNT(SimData1!$D$9:$D$508)-1)+$N$157</f>
        <v>0.2985971943887778</v>
      </c>
      <c r="O158">
        <f>SMALL(SimData1!$E$9:$E$508,150)</f>
        <v>-0.45325409954857521</v>
      </c>
      <c r="P158">
        <f>1/(COUNT(SimData1!$E$9:$E$508)-1)+$P$157</f>
        <v>0.2985971943887778</v>
      </c>
      <c r="Q158">
        <f>SMALL(SimData1!$F$9:$F$508,150)</f>
        <v>0.23</v>
      </c>
      <c r="R158">
        <f>1/(COUNT(SimData1!$F$9:$F$508)-1)+$R$157</f>
        <v>0.2985971943887778</v>
      </c>
      <c r="S158">
        <f>SMALL(SimData1!$G$9:$G$508,150)</f>
        <v>4</v>
      </c>
      <c r="T158">
        <f>1/(COUNT(SimData1!$G$9:$G$508)-1)+$T$157</f>
        <v>0.2985971943887778</v>
      </c>
    </row>
    <row r="159" spans="1:20">
      <c r="A159">
        <v>151</v>
      </c>
      <c r="B159">
        <v>13.437720576700757</v>
      </c>
      <c r="C159">
        <v>5.1634685706187664</v>
      </c>
      <c r="D159">
        <v>6.1159295018995019</v>
      </c>
      <c r="E159">
        <v>22.826895886340285</v>
      </c>
      <c r="F159">
        <v>0.23</v>
      </c>
      <c r="G159">
        <v>6</v>
      </c>
      <c r="I159">
        <f>SMALL(SimData1!$B$9:$B$508,151)</f>
        <v>8.4328549808819169</v>
      </c>
      <c r="J159">
        <f>1/(COUNT(SimData1!$B$9:$B$508)-1)+$J$158</f>
        <v>0.30060120240480986</v>
      </c>
      <c r="K159">
        <f>SMALL(SimData1!$C$9:$C$508,151)</f>
        <v>4.4051993123007005</v>
      </c>
      <c r="L159">
        <f>1/(COUNT(SimData1!$C$9:$C$508)-1)+$L$158</f>
        <v>0.30060120240480986</v>
      </c>
      <c r="M159">
        <f>SMALL(SimData1!$D$9:$D$508,151)</f>
        <v>5.6225989195272792</v>
      </c>
      <c r="N159">
        <f>1/(COUNT(SimData1!$D$9:$D$508)-1)+$N$158</f>
        <v>0.30060120240480986</v>
      </c>
      <c r="O159">
        <f>SMALL(SimData1!$E$9:$E$508,151)</f>
        <v>-0.44374920783178018</v>
      </c>
      <c r="P159">
        <f>1/(COUNT(SimData1!$E$9:$E$508)-1)+$P$158</f>
        <v>0.30060120240480986</v>
      </c>
      <c r="Q159">
        <f>SMALL(SimData1!$F$9:$F$508,151)</f>
        <v>0.23</v>
      </c>
      <c r="R159">
        <f>1/(COUNT(SimData1!$F$9:$F$508)-1)+$R$158</f>
        <v>0.30060120240480986</v>
      </c>
      <c r="S159">
        <f>SMALL(SimData1!$G$9:$G$508,151)</f>
        <v>4</v>
      </c>
      <c r="T159">
        <f>1/(COUNT(SimData1!$G$9:$G$508)-1)+$T$158</f>
        <v>0.30060120240480986</v>
      </c>
    </row>
    <row r="160" spans="1:20">
      <c r="A160">
        <v>152</v>
      </c>
      <c r="B160">
        <v>12.326051483756949</v>
      </c>
      <c r="C160">
        <v>2.7024008857008073</v>
      </c>
      <c r="D160">
        <v>6.9307712420380607</v>
      </c>
      <c r="E160">
        <v>22.844507267671979</v>
      </c>
      <c r="F160">
        <v>0.23</v>
      </c>
      <c r="G160">
        <v>6</v>
      </c>
      <c r="I160">
        <f>SMALL(SimData1!$B$9:$B$508,152)</f>
        <v>8.4457654500636075</v>
      </c>
      <c r="J160">
        <f>1/(COUNT(SimData1!$B$9:$B$508)-1)+$J$159</f>
        <v>0.30260521042084193</v>
      </c>
      <c r="K160">
        <f>SMALL(SimData1!$C$9:$C$508,152)</f>
        <v>4.4225412549876006</v>
      </c>
      <c r="L160">
        <f>1/(COUNT(SimData1!$C$9:$C$508)-1)+$L$159</f>
        <v>0.30260521042084193</v>
      </c>
      <c r="M160">
        <f>SMALL(SimData1!$D$9:$D$508,152)</f>
        <v>5.6317282725571953</v>
      </c>
      <c r="N160">
        <f>1/(COUNT(SimData1!$D$9:$D$508)-1)+$N$159</f>
        <v>0.30260521042084193</v>
      </c>
      <c r="O160">
        <f>SMALL(SimData1!$E$9:$E$508,152)</f>
        <v>-0.43689963483005578</v>
      </c>
      <c r="P160">
        <f>1/(COUNT(SimData1!$E$9:$E$508)-1)+$P$159</f>
        <v>0.30260521042084193</v>
      </c>
      <c r="Q160">
        <f>SMALL(SimData1!$F$9:$F$508,152)</f>
        <v>0.23</v>
      </c>
      <c r="R160">
        <f>1/(COUNT(SimData1!$F$9:$F$508)-1)+$R$159</f>
        <v>0.30260521042084193</v>
      </c>
      <c r="S160">
        <f>SMALL(SimData1!$G$9:$G$508,152)</f>
        <v>4</v>
      </c>
      <c r="T160">
        <f>1/(COUNT(SimData1!$G$9:$G$508)-1)+$T$159</f>
        <v>0.30260521042084193</v>
      </c>
    </row>
    <row r="161" spans="1:20">
      <c r="A161">
        <v>153</v>
      </c>
      <c r="B161">
        <v>6.7693451646558902</v>
      </c>
      <c r="C161">
        <v>2.6701812834176657</v>
      </c>
      <c r="D161">
        <v>11.388331860632711</v>
      </c>
      <c r="E161">
        <v>22.25194152746386</v>
      </c>
      <c r="F161">
        <v>0.23</v>
      </c>
      <c r="G161">
        <v>6</v>
      </c>
      <c r="I161">
        <f>SMALL(SimData1!$B$9:$B$508,153)</f>
        <v>8.4756272546270708</v>
      </c>
      <c r="J161">
        <f>1/(COUNT(SimData1!$B$9:$B$508)-1)+$J$160</f>
        <v>0.304609218436874</v>
      </c>
      <c r="K161">
        <f>SMALL(SimData1!$C$9:$C$508,153)</f>
        <v>4.4402469921727308</v>
      </c>
      <c r="L161">
        <f>1/(COUNT(SimData1!$C$9:$C$508)-1)+$L$160</f>
        <v>0.304609218436874</v>
      </c>
      <c r="M161">
        <f>SMALL(SimData1!$D$9:$D$508,153)</f>
        <v>5.6484159689993634</v>
      </c>
      <c r="N161">
        <f>1/(COUNT(SimData1!$D$9:$D$508)-1)+$N$160</f>
        <v>0.304609218436874</v>
      </c>
      <c r="O161">
        <f>SMALL(SimData1!$E$9:$E$508,153)</f>
        <v>-0.43584365121697455</v>
      </c>
      <c r="P161">
        <f>1/(COUNT(SimData1!$E$9:$E$508)-1)+$P$160</f>
        <v>0.304609218436874</v>
      </c>
      <c r="Q161">
        <f>SMALL(SimData1!$F$9:$F$508,153)</f>
        <v>0.23</v>
      </c>
      <c r="R161">
        <f>1/(COUNT(SimData1!$F$9:$F$508)-1)+$R$160</f>
        <v>0.304609218436874</v>
      </c>
      <c r="S161">
        <f>SMALL(SimData1!$G$9:$G$508,153)</f>
        <v>4</v>
      </c>
      <c r="T161">
        <f>1/(COUNT(SimData1!$G$9:$G$508)-1)+$T$160</f>
        <v>0.304609218436874</v>
      </c>
    </row>
    <row r="162" spans="1:20">
      <c r="A162">
        <v>154</v>
      </c>
      <c r="B162">
        <v>11.209705928291893</v>
      </c>
      <c r="C162">
        <v>3.5518393563143533</v>
      </c>
      <c r="D162">
        <v>3.6547060155623381</v>
      </c>
      <c r="E162">
        <v>-0.6543441917769659</v>
      </c>
      <c r="F162">
        <v>0.23</v>
      </c>
      <c r="G162">
        <v>4</v>
      </c>
      <c r="I162">
        <f>SMALL(SimData1!$B$9:$B$508,154)</f>
        <v>8.4926280004353281</v>
      </c>
      <c r="J162">
        <f>1/(COUNT(SimData1!$B$9:$B$508)-1)+$J$161</f>
        <v>0.30661322645290606</v>
      </c>
      <c r="K162">
        <f>SMALL(SimData1!$C$9:$C$508,154)</f>
        <v>4.4581931285360348</v>
      </c>
      <c r="L162">
        <f>1/(COUNT(SimData1!$C$9:$C$508)-1)+$L$161</f>
        <v>0.30661322645290606</v>
      </c>
      <c r="M162">
        <f>SMALL(SimData1!$D$9:$D$508,154)</f>
        <v>5.6886642459278614</v>
      </c>
      <c r="N162">
        <f>1/(COUNT(SimData1!$D$9:$D$508)-1)+$N$161</f>
        <v>0.30661322645290606</v>
      </c>
      <c r="O162">
        <f>SMALL(SimData1!$E$9:$E$508,154)</f>
        <v>-0.42672781308440388</v>
      </c>
      <c r="P162">
        <f>1/(COUNT(SimData1!$E$9:$E$508)-1)+$P$161</f>
        <v>0.30661322645290606</v>
      </c>
      <c r="Q162">
        <f>SMALL(SimData1!$F$9:$F$508,154)</f>
        <v>0.23</v>
      </c>
      <c r="R162">
        <f>1/(COUNT(SimData1!$F$9:$F$508)-1)+$R$161</f>
        <v>0.30661322645290606</v>
      </c>
      <c r="S162">
        <f>SMALL(SimData1!$G$9:$G$508,154)</f>
        <v>4</v>
      </c>
      <c r="T162">
        <f>1/(COUNT(SimData1!$G$9:$G$508)-1)+$T$161</f>
        <v>0.30661322645290606</v>
      </c>
    </row>
    <row r="163" spans="1:20">
      <c r="A163">
        <v>155</v>
      </c>
      <c r="B163">
        <v>11.15811284766122</v>
      </c>
      <c r="C163">
        <v>4.4755604887445362</v>
      </c>
      <c r="D163">
        <v>9.2597048714691077</v>
      </c>
      <c r="E163">
        <v>-1.4046231860275353</v>
      </c>
      <c r="F163">
        <v>0.23</v>
      </c>
      <c r="G163">
        <v>4</v>
      </c>
      <c r="I163">
        <f>SMALL(SimData1!$B$9:$B$508,155)</f>
        <v>8.5044673760768497</v>
      </c>
      <c r="J163">
        <f>1/(COUNT(SimData1!$B$9:$B$508)-1)+$J$162</f>
        <v>0.30861723446893813</v>
      </c>
      <c r="K163">
        <f>SMALL(SimData1!$C$9:$C$508,155)</f>
        <v>4.4755604887445362</v>
      </c>
      <c r="L163">
        <f>1/(COUNT(SimData1!$C$9:$C$508)-1)+$L$162</f>
        <v>0.30861723446893813</v>
      </c>
      <c r="M163">
        <f>SMALL(SimData1!$D$9:$D$508,155)</f>
        <v>5.7063538725288474</v>
      </c>
      <c r="N163">
        <f>1/(COUNT(SimData1!$D$9:$D$508)-1)+$N$162</f>
        <v>0.30861723446893813</v>
      </c>
      <c r="O163">
        <f>SMALL(SimData1!$E$9:$E$508,155)</f>
        <v>-0.41622371151157744</v>
      </c>
      <c r="P163">
        <f>1/(COUNT(SimData1!$E$9:$E$508)-1)+$P$162</f>
        <v>0.30861723446893813</v>
      </c>
      <c r="Q163">
        <f>SMALL(SimData1!$F$9:$F$508,155)</f>
        <v>0.23</v>
      </c>
      <c r="R163">
        <f>1/(COUNT(SimData1!$F$9:$F$508)-1)+$R$162</f>
        <v>0.30861723446893813</v>
      </c>
      <c r="S163">
        <f>SMALL(SimData1!$G$9:$G$508,155)</f>
        <v>4</v>
      </c>
      <c r="T163">
        <f>1/(COUNT(SimData1!$G$9:$G$508)-1)+$T$162</f>
        <v>0.30861723446893813</v>
      </c>
    </row>
    <row r="164" spans="1:20">
      <c r="A164">
        <v>156</v>
      </c>
      <c r="B164">
        <v>12.897303147181702</v>
      </c>
      <c r="C164">
        <v>6.7132789312063901</v>
      </c>
      <c r="D164">
        <v>9.6340736756571737</v>
      </c>
      <c r="E164">
        <v>-1.1600295748628304</v>
      </c>
      <c r="F164">
        <v>0.23</v>
      </c>
      <c r="G164">
        <v>9</v>
      </c>
      <c r="I164">
        <f>SMALL(SimData1!$B$9:$B$508,156)</f>
        <v>8.5206295601159834</v>
      </c>
      <c r="J164">
        <f>1/(COUNT(SimData1!$B$9:$B$508)-1)+$J$163</f>
        <v>0.31062124248497019</v>
      </c>
      <c r="K164">
        <f>SMALL(SimData1!$C$9:$C$508,156)</f>
        <v>4.4924972601860063</v>
      </c>
      <c r="L164">
        <f>1/(COUNT(SimData1!$C$9:$C$508)-1)+$L$163</f>
        <v>0.31062124248497019</v>
      </c>
      <c r="M164">
        <f>SMALL(SimData1!$D$9:$D$508,156)</f>
        <v>5.7302152462830334</v>
      </c>
      <c r="N164">
        <f>1/(COUNT(SimData1!$D$9:$D$508)-1)+$N$163</f>
        <v>0.31062124248497019</v>
      </c>
      <c r="O164">
        <f>SMALL(SimData1!$E$9:$E$508,156)</f>
        <v>-0.41348809768854689</v>
      </c>
      <c r="P164">
        <f>1/(COUNT(SimData1!$E$9:$E$508)-1)+$P$163</f>
        <v>0.31062124248497019</v>
      </c>
      <c r="Q164">
        <f>SMALL(SimData1!$F$9:$F$508,156)</f>
        <v>0.23</v>
      </c>
      <c r="R164">
        <f>1/(COUNT(SimData1!$F$9:$F$508)-1)+$R$163</f>
        <v>0.31062124248497019</v>
      </c>
      <c r="S164">
        <f>SMALL(SimData1!$G$9:$G$508,156)</f>
        <v>4</v>
      </c>
      <c r="T164">
        <f>1/(COUNT(SimData1!$G$9:$G$508)-1)+$T$163</f>
        <v>0.31062124248497019</v>
      </c>
    </row>
    <row r="165" spans="1:20">
      <c r="A165">
        <v>157</v>
      </c>
      <c r="B165">
        <v>13.670553683362002</v>
      </c>
      <c r="C165">
        <v>5.8021815314242104</v>
      </c>
      <c r="D165">
        <v>2.0858124394076438</v>
      </c>
      <c r="E165">
        <v>-1.168142901532859</v>
      </c>
      <c r="F165">
        <v>0.23</v>
      </c>
      <c r="G165">
        <v>4</v>
      </c>
      <c r="I165">
        <f>SMALL(SimData1!$B$9:$B$508,157)</f>
        <v>8.5387602724146365</v>
      </c>
      <c r="J165">
        <f>1/(COUNT(SimData1!$B$9:$B$508)-1)+$J$164</f>
        <v>0.31262525050100226</v>
      </c>
      <c r="K165">
        <f>SMALL(SimData1!$C$9:$C$508,157)</f>
        <v>4.5078680658107313</v>
      </c>
      <c r="L165">
        <f>1/(COUNT(SimData1!$C$9:$C$508)-1)+$L$164</f>
        <v>0.31262525050100226</v>
      </c>
      <c r="M165">
        <f>SMALL(SimData1!$D$9:$D$508,157)</f>
        <v>5.7496105471359593</v>
      </c>
      <c r="N165">
        <f>1/(COUNT(SimData1!$D$9:$D$508)-1)+$N$164</f>
        <v>0.31262525050100226</v>
      </c>
      <c r="O165">
        <f>SMALL(SimData1!$E$9:$E$508,157)</f>
        <v>-0.40269953759513055</v>
      </c>
      <c r="P165">
        <f>1/(COUNT(SimData1!$E$9:$E$508)-1)+$P$164</f>
        <v>0.31262525050100226</v>
      </c>
      <c r="Q165">
        <f>SMALL(SimData1!$F$9:$F$508,157)</f>
        <v>0.23</v>
      </c>
      <c r="R165">
        <f>1/(COUNT(SimData1!$F$9:$F$508)-1)+$R$164</f>
        <v>0.31262525050100226</v>
      </c>
      <c r="S165">
        <f>SMALL(SimData1!$G$9:$G$508,157)</f>
        <v>4</v>
      </c>
      <c r="T165">
        <f>1/(COUNT(SimData1!$G$9:$G$508)-1)+$T$164</f>
        <v>0.31262525050100226</v>
      </c>
    </row>
    <row r="166" spans="1:20">
      <c r="A166">
        <v>158</v>
      </c>
      <c r="B166">
        <v>7.0359818391163911</v>
      </c>
      <c r="C166">
        <v>6.2318271938580621</v>
      </c>
      <c r="D166">
        <v>11.124249739213905</v>
      </c>
      <c r="E166">
        <v>23.093625038314524</v>
      </c>
      <c r="F166">
        <v>0.23</v>
      </c>
      <c r="G166">
        <v>4</v>
      </c>
      <c r="I166">
        <f>SMALL(SimData1!$B$9:$B$508,158)</f>
        <v>8.5529285394105781</v>
      </c>
      <c r="J166">
        <f>1/(COUNT(SimData1!$B$9:$B$508)-1)+$J$165</f>
        <v>0.31462925851703433</v>
      </c>
      <c r="K166">
        <f>SMALL(SimData1!$C$9:$C$508,158)</f>
        <v>4.5197201790790356</v>
      </c>
      <c r="L166">
        <f>1/(COUNT(SimData1!$C$9:$C$508)-1)+$L$165</f>
        <v>0.31462925851703433</v>
      </c>
      <c r="M166">
        <f>SMALL(SimData1!$D$9:$D$508,158)</f>
        <v>5.780493090295348</v>
      </c>
      <c r="N166">
        <f>1/(COUNT(SimData1!$D$9:$D$508)-1)+$N$165</f>
        <v>0.31462925851703433</v>
      </c>
      <c r="O166">
        <f>SMALL(SimData1!$E$9:$E$508,158)</f>
        <v>-0.39889398366300344</v>
      </c>
      <c r="P166">
        <f>1/(COUNT(SimData1!$E$9:$E$508)-1)+$P$165</f>
        <v>0.31462925851703433</v>
      </c>
      <c r="Q166">
        <f>SMALL(SimData1!$F$9:$F$508,158)</f>
        <v>0.23</v>
      </c>
      <c r="R166">
        <f>1/(COUNT(SimData1!$F$9:$F$508)-1)+$R$165</f>
        <v>0.31462925851703433</v>
      </c>
      <c r="S166">
        <f>SMALL(SimData1!$G$9:$G$508,158)</f>
        <v>4</v>
      </c>
      <c r="T166">
        <f>1/(COUNT(SimData1!$G$9:$G$508)-1)+$T$165</f>
        <v>0.31462925851703433</v>
      </c>
    </row>
    <row r="167" spans="1:20">
      <c r="A167">
        <v>159</v>
      </c>
      <c r="B167">
        <v>9.7009674417520593</v>
      </c>
      <c r="C167">
        <v>4.8025535597285618</v>
      </c>
      <c r="D167">
        <v>9.7664546336081006</v>
      </c>
      <c r="E167">
        <v>21.70337681769627</v>
      </c>
      <c r="F167">
        <v>0.23</v>
      </c>
      <c r="G167">
        <v>10</v>
      </c>
      <c r="I167">
        <f>SMALL(SimData1!$B$9:$B$508,159)</f>
        <v>8.5696195204363086</v>
      </c>
      <c r="J167">
        <f>1/(COUNT(SimData1!$B$9:$B$508)-1)+$J$166</f>
        <v>0.31663326653306639</v>
      </c>
      <c r="K167">
        <f>SMALL(SimData1!$C$9:$C$508,159)</f>
        <v>4.537733810829403</v>
      </c>
      <c r="L167">
        <f>1/(COUNT(SimData1!$C$9:$C$508)-1)+$L$166</f>
        <v>0.31663326653306639</v>
      </c>
      <c r="M167">
        <f>SMALL(SimData1!$D$9:$D$508,159)</f>
        <v>5.8147260716684919</v>
      </c>
      <c r="N167">
        <f>1/(COUNT(SimData1!$D$9:$D$508)-1)+$N$166</f>
        <v>0.31663326653306639</v>
      </c>
      <c r="O167">
        <f>SMALL(SimData1!$E$9:$E$508,159)</f>
        <v>-0.39224813526102165</v>
      </c>
      <c r="P167">
        <f>1/(COUNT(SimData1!$E$9:$E$508)-1)+$P$166</f>
        <v>0.31663326653306639</v>
      </c>
      <c r="Q167">
        <f>SMALL(SimData1!$F$9:$F$508,159)</f>
        <v>0.23</v>
      </c>
      <c r="R167">
        <f>1/(COUNT(SimData1!$F$9:$F$508)-1)+$R$166</f>
        <v>0.31663326653306639</v>
      </c>
      <c r="S167">
        <f>SMALL(SimData1!$G$9:$G$508,159)</f>
        <v>4</v>
      </c>
      <c r="T167">
        <f>1/(COUNT(SimData1!$G$9:$G$508)-1)+$T$166</f>
        <v>0.31663326653306639</v>
      </c>
    </row>
    <row r="168" spans="1:20">
      <c r="A168">
        <v>160</v>
      </c>
      <c r="B168">
        <v>12.544431321600543</v>
      </c>
      <c r="C168">
        <v>6.5165354435081912</v>
      </c>
      <c r="D168">
        <v>6.6119100449448238</v>
      </c>
      <c r="E168">
        <v>-0.77552349209750893</v>
      </c>
      <c r="F168">
        <v>0.23</v>
      </c>
      <c r="G168">
        <v>10</v>
      </c>
      <c r="I168">
        <f>SMALL(SimData1!$B$9:$B$508,160)</f>
        <v>8.5858188048577695</v>
      </c>
      <c r="J168">
        <f>1/(COUNT(SimData1!$B$9:$B$508)-1)+$J$167</f>
        <v>0.31863727454909846</v>
      </c>
      <c r="K168">
        <f>SMALL(SimData1!$C$9:$C$508,160)</f>
        <v>4.5529955900667698</v>
      </c>
      <c r="L168">
        <f>1/(COUNT(SimData1!$C$9:$C$508)-1)+$L$167</f>
        <v>0.31863727454909846</v>
      </c>
      <c r="M168">
        <f>SMALL(SimData1!$D$9:$D$508,160)</f>
        <v>5.8372253010471411</v>
      </c>
      <c r="N168">
        <f>1/(COUNT(SimData1!$D$9:$D$508)-1)+$N$167</f>
        <v>0.31863727454909846</v>
      </c>
      <c r="O168">
        <f>SMALL(SimData1!$E$9:$E$508,160)</f>
        <v>-0.38500094629300219</v>
      </c>
      <c r="P168">
        <f>1/(COUNT(SimData1!$E$9:$E$508)-1)+$P$167</f>
        <v>0.31863727454909846</v>
      </c>
      <c r="Q168">
        <f>SMALL(SimData1!$F$9:$F$508,160)</f>
        <v>0.23</v>
      </c>
      <c r="R168">
        <f>1/(COUNT(SimData1!$F$9:$F$508)-1)+$R$167</f>
        <v>0.31863727454909846</v>
      </c>
      <c r="S168">
        <f>SMALL(SimData1!$G$9:$G$508,160)</f>
        <v>4</v>
      </c>
      <c r="T168">
        <f>1/(COUNT(SimData1!$G$9:$G$508)-1)+$T$167</f>
        <v>0.31863727454909846</v>
      </c>
    </row>
    <row r="169" spans="1:20">
      <c r="A169">
        <v>161</v>
      </c>
      <c r="B169">
        <v>6.9691340816279777</v>
      </c>
      <c r="C169">
        <v>2.6083122930378448</v>
      </c>
      <c r="D169">
        <v>5.7496105471359593</v>
      </c>
      <c r="E169">
        <v>22.172364699936765</v>
      </c>
      <c r="F169">
        <v>0.23</v>
      </c>
      <c r="G169">
        <v>9</v>
      </c>
      <c r="I169">
        <f>SMALL(SimData1!$B$9:$B$508,161)</f>
        <v>8.6091260186542833</v>
      </c>
      <c r="J169">
        <f>1/(COUNT(SimData1!$B$9:$B$508)-1)+$J$168</f>
        <v>0.32064128256513053</v>
      </c>
      <c r="K169">
        <f>SMALL(SimData1!$C$9:$C$508,161)</f>
        <v>4.5610488909150124</v>
      </c>
      <c r="L169">
        <f>1/(COUNT(SimData1!$C$9:$C$508)-1)+$L$168</f>
        <v>0.32064128256513053</v>
      </c>
      <c r="M169">
        <f>SMALL(SimData1!$D$9:$D$508,161)</f>
        <v>5.8549491241981624</v>
      </c>
      <c r="N169">
        <f>1/(COUNT(SimData1!$D$9:$D$508)-1)+$N$168</f>
        <v>0.32064128256513053</v>
      </c>
      <c r="O169">
        <f>SMALL(SimData1!$E$9:$E$508,161)</f>
        <v>-0.37704649946428859</v>
      </c>
      <c r="P169">
        <f>1/(COUNT(SimData1!$E$9:$E$508)-1)+$P$168</f>
        <v>0.32064128256513053</v>
      </c>
      <c r="Q169">
        <f>SMALL(SimData1!$F$9:$F$508,161)</f>
        <v>0.23</v>
      </c>
      <c r="R169">
        <f>1/(COUNT(SimData1!$F$9:$F$508)-1)+$R$168</f>
        <v>0.32064128256513053</v>
      </c>
      <c r="S169">
        <f>SMALL(SimData1!$G$9:$G$508,161)</f>
        <v>4</v>
      </c>
      <c r="T169">
        <f>1/(COUNT(SimData1!$G$9:$G$508)-1)+$T$168</f>
        <v>0.32064128256513053</v>
      </c>
    </row>
    <row r="170" spans="1:20">
      <c r="A170">
        <v>162</v>
      </c>
      <c r="B170">
        <v>11.819420505886232</v>
      </c>
      <c r="C170">
        <v>7.3406200756385509</v>
      </c>
      <c r="D170">
        <v>2.004804312483595</v>
      </c>
      <c r="E170">
        <v>23.233509778920123</v>
      </c>
      <c r="F170">
        <v>0.23</v>
      </c>
      <c r="G170">
        <v>4</v>
      </c>
      <c r="I170">
        <f>SMALL(SimData1!$B$9:$B$508,162)</f>
        <v>8.618357013838482</v>
      </c>
      <c r="J170">
        <f>1/(COUNT(SimData1!$B$9:$B$508)-1)+$J$169</f>
        <v>0.32264529058116259</v>
      </c>
      <c r="K170">
        <f>SMALL(SimData1!$C$9:$C$508,162)</f>
        <v>4.5806258006181162</v>
      </c>
      <c r="L170">
        <f>1/(COUNT(SimData1!$C$9:$C$508)-1)+$L$169</f>
        <v>0.32264529058116259</v>
      </c>
      <c r="M170">
        <f>SMALL(SimData1!$D$9:$D$508,162)</f>
        <v>5.8791807490399064</v>
      </c>
      <c r="N170">
        <f>1/(COUNT(SimData1!$D$9:$D$508)-1)+$N$169</f>
        <v>0.32264529058116259</v>
      </c>
      <c r="O170">
        <f>SMALL(SimData1!$E$9:$E$508,162)</f>
        <v>-0.36714063626531313</v>
      </c>
      <c r="P170">
        <f>1/(COUNT(SimData1!$E$9:$E$508)-1)+$P$169</f>
        <v>0.32264529058116259</v>
      </c>
      <c r="Q170">
        <f>SMALL(SimData1!$F$9:$F$508,162)</f>
        <v>0.23</v>
      </c>
      <c r="R170">
        <f>1/(COUNT(SimData1!$F$9:$F$508)-1)+$R$169</f>
        <v>0.32264529058116259</v>
      </c>
      <c r="S170">
        <f>SMALL(SimData1!$G$9:$G$508,162)</f>
        <v>4</v>
      </c>
      <c r="T170">
        <f>1/(COUNT(SimData1!$G$9:$G$508)-1)+$T$169</f>
        <v>0.32264529058116259</v>
      </c>
    </row>
    <row r="171" spans="1:20">
      <c r="A171">
        <v>163</v>
      </c>
      <c r="B171">
        <v>6.4955015004934946</v>
      </c>
      <c r="C171">
        <v>2.5735659252585763</v>
      </c>
      <c r="D171">
        <v>6.0492028911209665</v>
      </c>
      <c r="E171">
        <v>22.524835793123277</v>
      </c>
      <c r="F171">
        <v>0.23</v>
      </c>
      <c r="G171">
        <v>10</v>
      </c>
      <c r="I171">
        <f>SMALL(SimData1!$B$9:$B$508,163)</f>
        <v>8.6427021150596151</v>
      </c>
      <c r="J171">
        <f>1/(COUNT(SimData1!$B$9:$B$508)-1)+$J$170</f>
        <v>0.32464929859719466</v>
      </c>
      <c r="K171">
        <f>SMALL(SimData1!$C$9:$C$508,163)</f>
        <v>4.595963974212288</v>
      </c>
      <c r="L171">
        <f>1/(COUNT(SimData1!$C$9:$C$508)-1)+$L$170</f>
        <v>0.32464929859719466</v>
      </c>
      <c r="M171">
        <f>SMALL(SimData1!$D$9:$D$508,163)</f>
        <v>5.8925103316243064</v>
      </c>
      <c r="N171">
        <f>1/(COUNT(SimData1!$D$9:$D$508)-1)+$N$170</f>
        <v>0.32464929859719466</v>
      </c>
      <c r="O171">
        <f>SMALL(SimData1!$E$9:$E$508,163)</f>
        <v>-0.36591928280155095</v>
      </c>
      <c r="P171">
        <f>1/(COUNT(SimData1!$E$9:$E$508)-1)+$P$170</f>
        <v>0.32464929859719466</v>
      </c>
      <c r="Q171">
        <f>SMALL(SimData1!$F$9:$F$508,163)</f>
        <v>0.23</v>
      </c>
      <c r="R171">
        <f>1/(COUNT(SimData1!$F$9:$F$508)-1)+$R$170</f>
        <v>0.32464929859719466</v>
      </c>
      <c r="S171">
        <f>SMALL(SimData1!$G$9:$G$508,163)</f>
        <v>4</v>
      </c>
      <c r="T171">
        <f>1/(COUNT(SimData1!$G$9:$G$508)-1)+$T$170</f>
        <v>0.32464929859719466</v>
      </c>
    </row>
    <row r="172" spans="1:20">
      <c r="A172">
        <v>164</v>
      </c>
      <c r="B172">
        <v>13.253522554674248</v>
      </c>
      <c r="C172">
        <v>7.7534849380947382</v>
      </c>
      <c r="D172">
        <v>5.1655490348352</v>
      </c>
      <c r="E172">
        <v>23.310800182783009</v>
      </c>
      <c r="F172">
        <v>0.23</v>
      </c>
      <c r="G172">
        <v>10</v>
      </c>
      <c r="I172">
        <f>SMALL(SimData1!$B$9:$B$508,164)</f>
        <v>8.6541516372204565</v>
      </c>
      <c r="J172">
        <f>1/(COUNT(SimData1!$B$9:$B$508)-1)+$J$171</f>
        <v>0.32665330661322672</v>
      </c>
      <c r="K172">
        <f>SMALL(SimData1!$C$9:$C$508,164)</f>
        <v>4.6200457030302022</v>
      </c>
      <c r="L172">
        <f>1/(COUNT(SimData1!$C$9:$C$508)-1)+$L$171</f>
        <v>0.32665330661322672</v>
      </c>
      <c r="M172">
        <f>SMALL(SimData1!$D$9:$D$508,164)</f>
        <v>5.9297140388213361</v>
      </c>
      <c r="N172">
        <f>1/(COUNT(SimData1!$D$9:$D$508)-1)+$N$171</f>
        <v>0.32665330661322672</v>
      </c>
      <c r="O172">
        <f>SMALL(SimData1!$E$9:$E$508,164)</f>
        <v>-0.35293315992387742</v>
      </c>
      <c r="P172">
        <f>1/(COUNT(SimData1!$E$9:$E$508)-1)+$P$171</f>
        <v>0.32665330661322672</v>
      </c>
      <c r="Q172">
        <f>SMALL(SimData1!$F$9:$F$508,164)</f>
        <v>0.23</v>
      </c>
      <c r="R172">
        <f>1/(COUNT(SimData1!$F$9:$F$508)-1)+$R$171</f>
        <v>0.32665330661322672</v>
      </c>
      <c r="S172">
        <f>SMALL(SimData1!$G$9:$G$508,164)</f>
        <v>4</v>
      </c>
      <c r="T172">
        <f>1/(COUNT(SimData1!$G$9:$G$508)-1)+$T$171</f>
        <v>0.32665330661322672</v>
      </c>
    </row>
    <row r="173" spans="1:20">
      <c r="A173">
        <v>165</v>
      </c>
      <c r="B173">
        <v>14.209816973254723</v>
      </c>
      <c r="C173">
        <v>6.3691753728094458</v>
      </c>
      <c r="D173">
        <v>5.2060319214067494</v>
      </c>
      <c r="E173">
        <v>-0.82132001978923974</v>
      </c>
      <c r="F173">
        <v>0.23</v>
      </c>
      <c r="G173">
        <v>4</v>
      </c>
      <c r="I173">
        <f>SMALL(SimData1!$B$9:$B$508,165)</f>
        <v>8.6639412815774719</v>
      </c>
      <c r="J173">
        <f>1/(COUNT(SimData1!$B$9:$B$508)-1)+$J$172</f>
        <v>0.32865731462925879</v>
      </c>
      <c r="K173">
        <f>SMALL(SimData1!$C$9:$C$508,165)</f>
        <v>4.6383322422649549</v>
      </c>
      <c r="L173">
        <f>1/(COUNT(SimData1!$C$9:$C$508)-1)+$L$172</f>
        <v>0.32865731462925879</v>
      </c>
      <c r="M173">
        <f>SMALL(SimData1!$D$9:$D$508,165)</f>
        <v>5.9543142393534803</v>
      </c>
      <c r="N173">
        <f>1/(COUNT(SimData1!$D$9:$D$508)-1)+$N$172</f>
        <v>0.32865731462925879</v>
      </c>
      <c r="O173">
        <f>SMALL(SimData1!$E$9:$E$508,165)</f>
        <v>-0.3512644341818163</v>
      </c>
      <c r="P173">
        <f>1/(COUNT(SimData1!$E$9:$E$508)-1)+$P$172</f>
        <v>0.32865731462925879</v>
      </c>
      <c r="Q173">
        <f>SMALL(SimData1!$F$9:$F$508,165)</f>
        <v>0.23</v>
      </c>
      <c r="R173">
        <f>1/(COUNT(SimData1!$F$9:$F$508)-1)+$R$172</f>
        <v>0.32865731462925879</v>
      </c>
      <c r="S173">
        <f>SMALL(SimData1!$G$9:$G$508,165)</f>
        <v>4</v>
      </c>
      <c r="T173">
        <f>1/(COUNT(SimData1!$G$9:$G$508)-1)+$T$172</f>
        <v>0.32865731462925879</v>
      </c>
    </row>
    <row r="174" spans="1:20">
      <c r="A174">
        <v>166</v>
      </c>
      <c r="B174">
        <v>13.176358339256515</v>
      </c>
      <c r="C174">
        <v>4.6734311094175638</v>
      </c>
      <c r="D174">
        <v>13.470298565888381</v>
      </c>
      <c r="E174">
        <v>23.003260829106413</v>
      </c>
      <c r="F174">
        <v>0.23</v>
      </c>
      <c r="G174">
        <v>2</v>
      </c>
      <c r="I174">
        <f>SMALL(SimData1!$B$9:$B$508,166)</f>
        <v>8.6917086822341556</v>
      </c>
      <c r="J174">
        <f>1/(COUNT(SimData1!$B$9:$B$508)-1)+$J$173</f>
        <v>0.33066132264529086</v>
      </c>
      <c r="K174">
        <f>SMALL(SimData1!$C$9:$C$508,166)</f>
        <v>4.6482069508526962</v>
      </c>
      <c r="L174">
        <f>1/(COUNT(SimData1!$C$9:$C$508)-1)+$L$173</f>
        <v>0.33066132264529086</v>
      </c>
      <c r="M174">
        <f>SMALL(SimData1!$D$9:$D$508,166)</f>
        <v>5.9718881971491244</v>
      </c>
      <c r="N174">
        <f>1/(COUNT(SimData1!$D$9:$D$508)-1)+$N$173</f>
        <v>0.33066132264529086</v>
      </c>
      <c r="O174">
        <f>SMALL(SimData1!$E$9:$E$508,166)</f>
        <v>-0.34126177112477252</v>
      </c>
      <c r="P174">
        <f>1/(COUNT(SimData1!$E$9:$E$508)-1)+$P$173</f>
        <v>0.33066132264529086</v>
      </c>
      <c r="Q174">
        <f>SMALL(SimData1!$F$9:$F$508,166)</f>
        <v>0.23</v>
      </c>
      <c r="R174">
        <f>1/(COUNT(SimData1!$F$9:$F$508)-1)+$R$173</f>
        <v>0.33066132264529086</v>
      </c>
      <c r="S174">
        <f>SMALL(SimData1!$G$9:$G$508,166)</f>
        <v>4</v>
      </c>
      <c r="T174">
        <f>1/(COUNT(SimData1!$G$9:$G$508)-1)+$T$173</f>
        <v>0.33066132264529086</v>
      </c>
    </row>
    <row r="175" spans="1:20">
      <c r="A175">
        <v>167</v>
      </c>
      <c r="B175">
        <v>8.5696195204363086</v>
      </c>
      <c r="C175">
        <v>9.3833181735033442</v>
      </c>
      <c r="D175">
        <v>7.9079629653943613</v>
      </c>
      <c r="E175">
        <v>23.122753641483854</v>
      </c>
      <c r="F175">
        <v>0.23</v>
      </c>
      <c r="G175">
        <v>10</v>
      </c>
      <c r="I175">
        <f>SMALL(SimData1!$B$9:$B$508,167)</f>
        <v>8.7010978117275428</v>
      </c>
      <c r="J175">
        <f>1/(COUNT(SimData1!$B$9:$B$508)-1)+$J$174</f>
        <v>0.33266533066132292</v>
      </c>
      <c r="K175">
        <f>SMALL(SimData1!$C$9:$C$508,167)</f>
        <v>4.66440921096327</v>
      </c>
      <c r="L175">
        <f>1/(COUNT(SimData1!$C$9:$C$508)-1)+$L$174</f>
        <v>0.33266533066132292</v>
      </c>
      <c r="M175">
        <f>SMALL(SimData1!$D$9:$D$508,167)</f>
        <v>5.9987175171763445</v>
      </c>
      <c r="N175">
        <f>1/(COUNT(SimData1!$D$9:$D$508)-1)+$N$174</f>
        <v>0.33266533066132292</v>
      </c>
      <c r="O175">
        <f>SMALL(SimData1!$E$9:$E$508,167)</f>
        <v>-0.3349555455895743</v>
      </c>
      <c r="P175">
        <f>1/(COUNT(SimData1!$E$9:$E$508)-1)+$P$174</f>
        <v>0.33266533066132292</v>
      </c>
      <c r="Q175">
        <f>SMALL(SimData1!$F$9:$F$508,167)</f>
        <v>0.23</v>
      </c>
      <c r="R175">
        <f>1/(COUNT(SimData1!$F$9:$F$508)-1)+$R$174</f>
        <v>0.33266533066132292</v>
      </c>
      <c r="S175">
        <f>SMALL(SimData1!$G$9:$G$508,167)</f>
        <v>4</v>
      </c>
      <c r="T175">
        <f>1/(COUNT(SimData1!$G$9:$G$508)-1)+$T$174</f>
        <v>0.33266533066132292</v>
      </c>
    </row>
    <row r="176" spans="1:20">
      <c r="A176">
        <v>168</v>
      </c>
      <c r="B176">
        <v>14.163262940351238</v>
      </c>
      <c r="C176">
        <v>9.0177114907525748</v>
      </c>
      <c r="D176">
        <v>18.57741583891805</v>
      </c>
      <c r="E176">
        <v>23.343759627052439</v>
      </c>
      <c r="F176">
        <v>0.23</v>
      </c>
      <c r="G176">
        <v>4</v>
      </c>
      <c r="I176">
        <f>SMALL(SimData1!$B$9:$B$508,168)</f>
        <v>8.7281425849555205</v>
      </c>
      <c r="J176">
        <f>1/(COUNT(SimData1!$B$9:$B$508)-1)+$J$175</f>
        <v>0.33466933867735499</v>
      </c>
      <c r="K176">
        <f>SMALL(SimData1!$C$9:$C$508,168)</f>
        <v>4.6734311094175638</v>
      </c>
      <c r="L176">
        <f>1/(COUNT(SimData1!$C$9:$C$508)-1)+$L$175</f>
        <v>0.33466933867735499</v>
      </c>
      <c r="M176">
        <f>SMALL(SimData1!$D$9:$D$508,168)</f>
        <v>6.0247735878994622</v>
      </c>
      <c r="N176">
        <f>1/(COUNT(SimData1!$D$9:$D$508)-1)+$N$175</f>
        <v>0.33466933867735499</v>
      </c>
      <c r="O176">
        <f>SMALL(SimData1!$E$9:$E$508,168)</f>
        <v>-0.32902990002600596</v>
      </c>
      <c r="P176">
        <f>1/(COUNT(SimData1!$E$9:$E$508)-1)+$P$175</f>
        <v>0.33466933867735499</v>
      </c>
      <c r="Q176">
        <f>SMALL(SimData1!$F$9:$F$508,168)</f>
        <v>0.23</v>
      </c>
      <c r="R176">
        <f>1/(COUNT(SimData1!$F$9:$F$508)-1)+$R$175</f>
        <v>0.33466933867735499</v>
      </c>
      <c r="S176">
        <f>SMALL(SimData1!$G$9:$G$508,168)</f>
        <v>6</v>
      </c>
      <c r="T176">
        <f>1/(COUNT(SimData1!$G$9:$G$508)-1)+$T$175</f>
        <v>0.33466933867735499</v>
      </c>
    </row>
    <row r="177" spans="1:20">
      <c r="A177">
        <v>169</v>
      </c>
      <c r="B177">
        <v>12.004981864878493</v>
      </c>
      <c r="C177">
        <v>9.5237870704987522</v>
      </c>
      <c r="D177">
        <v>5.9297140388213361</v>
      </c>
      <c r="E177">
        <v>-0.2875982754505686</v>
      </c>
      <c r="F177">
        <v>0.23</v>
      </c>
      <c r="G177">
        <v>9</v>
      </c>
      <c r="I177">
        <f>SMALL(SimData1!$B$9:$B$508,169)</f>
        <v>8.7425591023396407</v>
      </c>
      <c r="J177">
        <f>1/(COUNT(SimData1!$B$9:$B$508)-1)+$J$176</f>
        <v>0.33667334669338705</v>
      </c>
      <c r="K177">
        <f>SMALL(SimData1!$C$9:$C$508,169)</f>
        <v>4.6957273229564835</v>
      </c>
      <c r="L177">
        <f>1/(COUNT(SimData1!$C$9:$C$508)-1)+$L$176</f>
        <v>0.33667334669338705</v>
      </c>
      <c r="M177">
        <f>SMALL(SimData1!$D$9:$D$508,169)</f>
        <v>6.0492028911209665</v>
      </c>
      <c r="N177">
        <f>1/(COUNT(SimData1!$D$9:$D$508)-1)+$N$176</f>
        <v>0.33667334669338705</v>
      </c>
      <c r="O177">
        <f>SMALL(SimData1!$E$9:$E$508,169)</f>
        <v>-0.32171778523933559</v>
      </c>
      <c r="P177">
        <f>1/(COUNT(SimData1!$E$9:$E$508)-1)+$P$176</f>
        <v>0.33667334669338705</v>
      </c>
      <c r="Q177">
        <f>SMALL(SimData1!$F$9:$F$508,169)</f>
        <v>0.23</v>
      </c>
      <c r="R177">
        <f>1/(COUNT(SimData1!$F$9:$F$508)-1)+$R$176</f>
        <v>0.33667334669338705</v>
      </c>
      <c r="S177">
        <f>SMALL(SimData1!$G$9:$G$508,169)</f>
        <v>6</v>
      </c>
      <c r="T177">
        <f>1/(COUNT(SimData1!$G$9:$G$508)-1)+$T$176</f>
        <v>0.33667334669338705</v>
      </c>
    </row>
    <row r="178" spans="1:20">
      <c r="A178">
        <v>170</v>
      </c>
      <c r="B178">
        <v>15.667879568354575</v>
      </c>
      <c r="C178">
        <v>2.182667386555734</v>
      </c>
      <c r="D178">
        <v>14.301250511148304</v>
      </c>
      <c r="E178">
        <v>-0.95259031673668704</v>
      </c>
      <c r="F178">
        <v>0.23</v>
      </c>
      <c r="G178">
        <v>12</v>
      </c>
      <c r="I178">
        <f>SMALL(SimData1!$B$9:$B$508,170)</f>
        <v>8.751430945801113</v>
      </c>
      <c r="J178">
        <f>1/(COUNT(SimData1!$B$9:$B$508)-1)+$J$177</f>
        <v>0.33867735470941912</v>
      </c>
      <c r="K178">
        <f>SMALL(SimData1!$C$9:$C$508,170)</f>
        <v>4.7107279203289023</v>
      </c>
      <c r="L178">
        <f>1/(COUNT(SimData1!$C$9:$C$508)-1)+$L$177</f>
        <v>0.33867735470941912</v>
      </c>
      <c r="M178">
        <f>SMALL(SimData1!$D$9:$D$508,170)</f>
        <v>6.0798902579378087</v>
      </c>
      <c r="N178">
        <f>1/(COUNT(SimData1!$D$9:$D$508)-1)+$N$177</f>
        <v>0.33867735470941912</v>
      </c>
      <c r="O178">
        <f>SMALL(SimData1!$E$9:$E$508,170)</f>
        <v>-0.31495884598912882</v>
      </c>
      <c r="P178">
        <f>1/(COUNT(SimData1!$E$9:$E$508)-1)+$P$177</f>
        <v>0.33867735470941912</v>
      </c>
      <c r="Q178">
        <f>SMALL(SimData1!$F$9:$F$508,170)</f>
        <v>0.23</v>
      </c>
      <c r="R178">
        <f>1/(COUNT(SimData1!$F$9:$F$508)-1)+$R$177</f>
        <v>0.33867735470941912</v>
      </c>
      <c r="S178">
        <f>SMALL(SimData1!$G$9:$G$508,170)</f>
        <v>6</v>
      </c>
      <c r="T178">
        <f>1/(COUNT(SimData1!$G$9:$G$508)-1)+$T$177</f>
        <v>0.33867735470941912</v>
      </c>
    </row>
    <row r="179" spans="1:20">
      <c r="A179">
        <v>171</v>
      </c>
      <c r="B179">
        <v>14.553052091377461</v>
      </c>
      <c r="C179">
        <v>7.3676143395359661</v>
      </c>
      <c r="D179">
        <v>9.0377287061600313</v>
      </c>
      <c r="E179">
        <v>3.1033428308560262E-2</v>
      </c>
      <c r="F179">
        <v>0.23</v>
      </c>
      <c r="G179">
        <v>9</v>
      </c>
      <c r="I179">
        <f>SMALL(SimData1!$B$9:$B$508,171)</f>
        <v>8.7683197788759788</v>
      </c>
      <c r="J179">
        <f>1/(COUNT(SimData1!$B$9:$B$508)-1)+$J$178</f>
        <v>0.34068136272545119</v>
      </c>
      <c r="K179">
        <f>SMALL(SimData1!$C$9:$C$508,171)</f>
        <v>4.7223826334184</v>
      </c>
      <c r="L179">
        <f>1/(COUNT(SimData1!$C$9:$C$508)-1)+$L$178</f>
        <v>0.34068136272545119</v>
      </c>
      <c r="M179">
        <f>SMALL(SimData1!$D$9:$D$508,171)</f>
        <v>6.0943680474866104</v>
      </c>
      <c r="N179">
        <f>1/(COUNT(SimData1!$D$9:$D$508)-1)+$N$178</f>
        <v>0.34068136272545119</v>
      </c>
      <c r="O179">
        <f>SMALL(SimData1!$E$9:$E$508,171)</f>
        <v>-0.30633716624846064</v>
      </c>
      <c r="P179">
        <f>1/(COUNT(SimData1!$E$9:$E$508)-1)+$P$178</f>
        <v>0.34068136272545119</v>
      </c>
      <c r="Q179">
        <f>SMALL(SimData1!$F$9:$F$508,171)</f>
        <v>0.23</v>
      </c>
      <c r="R179">
        <f>1/(COUNT(SimData1!$F$9:$F$508)-1)+$R$178</f>
        <v>0.34068136272545119</v>
      </c>
      <c r="S179">
        <f>SMALL(SimData1!$G$9:$G$508,171)</f>
        <v>6</v>
      </c>
      <c r="T179">
        <f>1/(COUNT(SimData1!$G$9:$G$508)-1)+$T$178</f>
        <v>0.34068136272545119</v>
      </c>
    </row>
    <row r="180" spans="1:20">
      <c r="A180">
        <v>172</v>
      </c>
      <c r="B180">
        <v>10.92546197541289</v>
      </c>
      <c r="C180">
        <v>2.8385329648606792</v>
      </c>
      <c r="D180">
        <v>2.8207430131222915</v>
      </c>
      <c r="E180">
        <v>22.919587352615551</v>
      </c>
      <c r="F180">
        <v>0.23</v>
      </c>
      <c r="G180">
        <v>12</v>
      </c>
      <c r="I180">
        <f>SMALL(SimData1!$B$9:$B$508,172)</f>
        <v>8.7940633549941829</v>
      </c>
      <c r="J180">
        <f>1/(COUNT(SimData1!$B$9:$B$508)-1)+$J$179</f>
        <v>0.34268537074148325</v>
      </c>
      <c r="K180">
        <f>SMALL(SimData1!$C$9:$C$508,172)</f>
        <v>4.7384230704760233</v>
      </c>
      <c r="L180">
        <f>1/(COUNT(SimData1!$C$9:$C$508)-1)+$L$179</f>
        <v>0.34268537074148325</v>
      </c>
      <c r="M180">
        <f>SMALL(SimData1!$D$9:$D$508,172)</f>
        <v>6.1159295018995019</v>
      </c>
      <c r="N180">
        <f>1/(COUNT(SimData1!$D$9:$D$508)-1)+$N$179</f>
        <v>0.34268537074148325</v>
      </c>
      <c r="O180">
        <f>SMALL(SimData1!$E$9:$E$508,172)</f>
        <v>-0.30118284518470406</v>
      </c>
      <c r="P180">
        <f>1/(COUNT(SimData1!$E$9:$E$508)-1)+$P$179</f>
        <v>0.34268537074148325</v>
      </c>
      <c r="Q180">
        <f>SMALL(SimData1!$F$9:$F$508,172)</f>
        <v>0.23</v>
      </c>
      <c r="R180">
        <f>1/(COUNT(SimData1!$F$9:$F$508)-1)+$R$179</f>
        <v>0.34268537074148325</v>
      </c>
      <c r="S180">
        <f>SMALL(SimData1!$G$9:$G$508,172)</f>
        <v>6</v>
      </c>
      <c r="T180">
        <f>1/(COUNT(SimData1!$G$9:$G$508)-1)+$T$179</f>
        <v>0.34268537074148325</v>
      </c>
    </row>
    <row r="181" spans="1:20">
      <c r="A181">
        <v>173</v>
      </c>
      <c r="B181">
        <v>10.130741694777869</v>
      </c>
      <c r="C181">
        <v>7.8015642617069094</v>
      </c>
      <c r="D181">
        <v>11.937146556386988</v>
      </c>
      <c r="E181">
        <v>23.41927711575789</v>
      </c>
      <c r="F181">
        <v>0.23</v>
      </c>
      <c r="G181">
        <v>6</v>
      </c>
      <c r="I181">
        <f>SMALL(SimData1!$B$9:$B$508,173)</f>
        <v>8.8107047385413768</v>
      </c>
      <c r="J181">
        <f>1/(COUNT(SimData1!$B$9:$B$508)-1)+$J$180</f>
        <v>0.34468937875751532</v>
      </c>
      <c r="K181">
        <f>SMALL(SimData1!$C$9:$C$508,173)</f>
        <v>4.7677453155181713</v>
      </c>
      <c r="L181">
        <f>1/(COUNT(SimData1!$C$9:$C$508)-1)+$L$180</f>
        <v>0.34468937875751532</v>
      </c>
      <c r="M181">
        <f>SMALL(SimData1!$D$9:$D$508,173)</f>
        <v>6.1357731549385406</v>
      </c>
      <c r="N181">
        <f>1/(COUNT(SimData1!$D$9:$D$508)-1)+$N$180</f>
        <v>0.34468937875751532</v>
      </c>
      <c r="O181">
        <f>SMALL(SimData1!$E$9:$E$508,173)</f>
        <v>-0.29058374451792734</v>
      </c>
      <c r="P181">
        <f>1/(COUNT(SimData1!$E$9:$E$508)-1)+$P$180</f>
        <v>0.34468937875751532</v>
      </c>
      <c r="Q181">
        <f>SMALL(SimData1!$F$9:$F$508,173)</f>
        <v>0.23</v>
      </c>
      <c r="R181">
        <f>1/(COUNT(SimData1!$F$9:$F$508)-1)+$R$180</f>
        <v>0.34468937875751532</v>
      </c>
      <c r="S181">
        <f>SMALL(SimData1!$G$9:$G$508,173)</f>
        <v>6</v>
      </c>
      <c r="T181">
        <f>1/(COUNT(SimData1!$G$9:$G$508)-1)+$T$180</f>
        <v>0.34468937875751532</v>
      </c>
    </row>
    <row r="182" spans="1:20">
      <c r="A182">
        <v>174</v>
      </c>
      <c r="B182">
        <v>7.9428468569129747</v>
      </c>
      <c r="C182">
        <v>3.2706676765770344</v>
      </c>
      <c r="D182">
        <v>9.1519219568241201</v>
      </c>
      <c r="E182">
        <v>-0.30633716624846064</v>
      </c>
      <c r="F182">
        <v>0.23</v>
      </c>
      <c r="G182">
        <v>4</v>
      </c>
      <c r="I182">
        <f>SMALL(SimData1!$B$9:$B$508,174)</f>
        <v>8.8135193509077734</v>
      </c>
      <c r="J182">
        <f>1/(COUNT(SimData1!$B$9:$B$508)-1)+$J$181</f>
        <v>0.34669338677354739</v>
      </c>
      <c r="K182">
        <f>SMALL(SimData1!$C$9:$C$508,174)</f>
        <v>4.7787217108632252</v>
      </c>
      <c r="L182">
        <f>1/(COUNT(SimData1!$C$9:$C$508)-1)+$L$181</f>
        <v>0.34669338677354739</v>
      </c>
      <c r="M182">
        <f>SMALL(SimData1!$D$9:$D$508,174)</f>
        <v>6.1729726464517816</v>
      </c>
      <c r="N182">
        <f>1/(COUNT(SimData1!$D$9:$D$508)-1)+$N$181</f>
        <v>0.34669338677354739</v>
      </c>
      <c r="O182">
        <f>SMALL(SimData1!$E$9:$E$508,174)</f>
        <v>-0.2875982754505686</v>
      </c>
      <c r="P182">
        <f>1/(COUNT(SimData1!$E$9:$E$508)-1)+$P$181</f>
        <v>0.34669338677354739</v>
      </c>
      <c r="Q182">
        <f>SMALL(SimData1!$F$9:$F$508,174)</f>
        <v>0.23</v>
      </c>
      <c r="R182">
        <f>1/(COUNT(SimData1!$F$9:$F$508)-1)+$R$181</f>
        <v>0.34669338677354739</v>
      </c>
      <c r="S182">
        <f>SMALL(SimData1!$G$9:$G$508,174)</f>
        <v>6</v>
      </c>
      <c r="T182">
        <f>1/(COUNT(SimData1!$G$9:$G$508)-1)+$T$181</f>
        <v>0.34669338677354739</v>
      </c>
    </row>
    <row r="183" spans="1:20">
      <c r="A183">
        <v>175</v>
      </c>
      <c r="B183">
        <v>8.751430945801113</v>
      </c>
      <c r="C183">
        <v>3.7936999415721977</v>
      </c>
      <c r="D183">
        <v>14.85724666035577</v>
      </c>
      <c r="E183">
        <v>-0.1510758070941367</v>
      </c>
      <c r="F183">
        <v>0.23</v>
      </c>
      <c r="G183">
        <v>9</v>
      </c>
      <c r="I183">
        <f>SMALL(SimData1!$B$9:$B$508,175)</f>
        <v>8.8357722389268503</v>
      </c>
      <c r="J183">
        <f>1/(COUNT(SimData1!$B$9:$B$508)-1)+$J$182</f>
        <v>0.34869739478957945</v>
      </c>
      <c r="K183">
        <f>SMALL(SimData1!$C$9:$C$508,175)</f>
        <v>4.7955970552069136</v>
      </c>
      <c r="L183">
        <f>1/(COUNT(SimData1!$C$9:$C$508)-1)+$L$182</f>
        <v>0.34869739478957945</v>
      </c>
      <c r="M183">
        <f>SMALL(SimData1!$D$9:$D$508,175)</f>
        <v>6.1825003928594526</v>
      </c>
      <c r="N183">
        <f>1/(COUNT(SimData1!$D$9:$D$508)-1)+$N$182</f>
        <v>0.34869739478957945</v>
      </c>
      <c r="O183">
        <f>SMALL(SimData1!$E$9:$E$508,175)</f>
        <v>-0.27980451651907812</v>
      </c>
      <c r="P183">
        <f>1/(COUNT(SimData1!$E$9:$E$508)-1)+$P$182</f>
        <v>0.34869739478957945</v>
      </c>
      <c r="Q183">
        <f>SMALL(SimData1!$F$9:$F$508,175)</f>
        <v>0.23</v>
      </c>
      <c r="R183">
        <f>1/(COUNT(SimData1!$F$9:$F$508)-1)+$R$182</f>
        <v>0.34869739478957945</v>
      </c>
      <c r="S183">
        <f>SMALL(SimData1!$G$9:$G$508,175)</f>
        <v>6</v>
      </c>
      <c r="T183">
        <f>1/(COUNT(SimData1!$G$9:$G$508)-1)+$T$182</f>
        <v>0.34869739478957945</v>
      </c>
    </row>
    <row r="184" spans="1:20">
      <c r="A184">
        <v>176</v>
      </c>
      <c r="B184">
        <v>10.700126221894864</v>
      </c>
      <c r="C184">
        <v>4.5078680658107313</v>
      </c>
      <c r="D184">
        <v>9.5868625146362145</v>
      </c>
      <c r="E184">
        <v>-0.64060830812314695</v>
      </c>
      <c r="F184">
        <v>0.23</v>
      </c>
      <c r="G184">
        <v>2</v>
      </c>
      <c r="I184">
        <f>SMALL(SimData1!$B$9:$B$508,176)</f>
        <v>8.8573966678777953</v>
      </c>
      <c r="J184">
        <f>1/(COUNT(SimData1!$B$9:$B$508)-1)+$J$183</f>
        <v>0.35070140280561152</v>
      </c>
      <c r="K184">
        <f>SMALL(SimData1!$C$9:$C$508,176)</f>
        <v>4.8025535597285618</v>
      </c>
      <c r="L184">
        <f>1/(COUNT(SimData1!$C$9:$C$508)-1)+$L$183</f>
        <v>0.35070140280561152</v>
      </c>
      <c r="M184">
        <f>SMALL(SimData1!$D$9:$D$508,176)</f>
        <v>6.2020707457368429</v>
      </c>
      <c r="N184">
        <f>1/(COUNT(SimData1!$D$9:$D$508)-1)+$N$183</f>
        <v>0.35070140280561152</v>
      </c>
      <c r="O184">
        <f>SMALL(SimData1!$E$9:$E$508,176)</f>
        <v>-0.27278243368239274</v>
      </c>
      <c r="P184">
        <f>1/(COUNT(SimData1!$E$9:$E$508)-1)+$P$183</f>
        <v>0.35070140280561152</v>
      </c>
      <c r="Q184">
        <f>SMALL(SimData1!$F$9:$F$508,176)</f>
        <v>0.23</v>
      </c>
      <c r="R184">
        <f>1/(COUNT(SimData1!$F$9:$F$508)-1)+$R$183</f>
        <v>0.35070140280561152</v>
      </c>
      <c r="S184">
        <f>SMALL(SimData1!$G$9:$G$508,176)</f>
        <v>6</v>
      </c>
      <c r="T184">
        <f>1/(COUNT(SimData1!$G$9:$G$508)-1)+$T$183</f>
        <v>0.35070140280561152</v>
      </c>
    </row>
    <row r="185" spans="1:20">
      <c r="A185">
        <v>177</v>
      </c>
      <c r="B185">
        <v>9.8859931691725542</v>
      </c>
      <c r="C185">
        <v>5.7909515434128584</v>
      </c>
      <c r="D185">
        <v>3.7222908524894831</v>
      </c>
      <c r="E185">
        <v>23.224475525489161</v>
      </c>
      <c r="F185">
        <v>0.23</v>
      </c>
      <c r="G185">
        <v>2</v>
      </c>
      <c r="I185">
        <f>SMALL(SimData1!$B$9:$B$508,177)</f>
        <v>8.866522213264755</v>
      </c>
      <c r="J185">
        <f>1/(COUNT(SimData1!$B$9:$B$508)-1)+$J$184</f>
        <v>0.35270541082164358</v>
      </c>
      <c r="K185">
        <f>SMALL(SimData1!$C$9:$C$508,177)</f>
        <v>4.8213141976570046</v>
      </c>
      <c r="L185">
        <f>1/(COUNT(SimData1!$C$9:$C$508)-1)+$L$184</f>
        <v>0.35270541082164358</v>
      </c>
      <c r="M185">
        <f>SMALL(SimData1!$D$9:$D$508,177)</f>
        <v>6.2367613654110485</v>
      </c>
      <c r="N185">
        <f>1/(COUNT(SimData1!$D$9:$D$508)-1)+$N$184</f>
        <v>0.35270541082164358</v>
      </c>
      <c r="O185">
        <f>SMALL(SimData1!$E$9:$E$508,177)</f>
        <v>-0.26483123529890107</v>
      </c>
      <c r="P185">
        <f>1/(COUNT(SimData1!$E$9:$E$508)-1)+$P$184</f>
        <v>0.35270541082164358</v>
      </c>
      <c r="Q185">
        <f>SMALL(SimData1!$F$9:$F$508,177)</f>
        <v>0.23</v>
      </c>
      <c r="R185">
        <f>1/(COUNT(SimData1!$F$9:$F$508)-1)+$R$184</f>
        <v>0.35270541082164358</v>
      </c>
      <c r="S185">
        <f>SMALL(SimData1!$G$9:$G$508,177)</f>
        <v>6</v>
      </c>
      <c r="T185">
        <f>1/(COUNT(SimData1!$G$9:$G$508)-1)+$T$184</f>
        <v>0.35270541082164358</v>
      </c>
    </row>
    <row r="186" spans="1:20">
      <c r="A186">
        <v>178</v>
      </c>
      <c r="B186">
        <v>10.210118840404865</v>
      </c>
      <c r="C186">
        <v>7.8393868603332404</v>
      </c>
      <c r="D186">
        <v>17.513165857073194</v>
      </c>
      <c r="E186">
        <v>21.640334175048114</v>
      </c>
      <c r="F186">
        <v>0.23</v>
      </c>
      <c r="G186">
        <v>6</v>
      </c>
      <c r="I186">
        <f>SMALL(SimData1!$B$9:$B$508,178)</f>
        <v>8.8812673894292757</v>
      </c>
      <c r="J186">
        <f>1/(COUNT(SimData1!$B$9:$B$508)-1)+$J$185</f>
        <v>0.35470941883767565</v>
      </c>
      <c r="K186">
        <f>SMALL(SimData1!$C$9:$C$508,178)</f>
        <v>4.8421770064966232</v>
      </c>
      <c r="L186">
        <f>1/(COUNT(SimData1!$C$9:$C$508)-1)+$L$185</f>
        <v>0.35470941883767565</v>
      </c>
      <c r="M186">
        <f>SMALL(SimData1!$D$9:$D$508,178)</f>
        <v>6.2507968535802316</v>
      </c>
      <c r="N186">
        <f>1/(COUNT(SimData1!$D$9:$D$508)-1)+$N$185</f>
        <v>0.35470941883767565</v>
      </c>
      <c r="O186">
        <f>SMALL(SimData1!$E$9:$E$508,178)</f>
        <v>-0.25622521029325451</v>
      </c>
      <c r="P186">
        <f>1/(COUNT(SimData1!$E$9:$E$508)-1)+$P$185</f>
        <v>0.35470941883767565</v>
      </c>
      <c r="Q186">
        <f>SMALL(SimData1!$F$9:$F$508,178)</f>
        <v>0.23</v>
      </c>
      <c r="R186">
        <f>1/(COUNT(SimData1!$F$9:$F$508)-1)+$R$185</f>
        <v>0.35470941883767565</v>
      </c>
      <c r="S186">
        <f>SMALL(SimData1!$G$9:$G$508,178)</f>
        <v>6</v>
      </c>
      <c r="T186">
        <f>1/(COUNT(SimData1!$G$9:$G$508)-1)+$T$185</f>
        <v>0.35470941883767565</v>
      </c>
    </row>
    <row r="187" spans="1:20">
      <c r="A187">
        <v>179</v>
      </c>
      <c r="B187">
        <v>11.499734324227731</v>
      </c>
      <c r="C187">
        <v>8.2681688376991467</v>
      </c>
      <c r="D187">
        <v>10.940380456012761</v>
      </c>
      <c r="E187">
        <v>23.752498658349911</v>
      </c>
      <c r="F187">
        <v>0.23</v>
      </c>
      <c r="G187">
        <v>10</v>
      </c>
      <c r="I187">
        <f>SMALL(SimData1!$B$9:$B$508,179)</f>
        <v>8.8939809289900431</v>
      </c>
      <c r="J187">
        <f>1/(COUNT(SimData1!$B$9:$B$508)-1)+$J$186</f>
        <v>0.35671342685370772</v>
      </c>
      <c r="K187">
        <f>SMALL(SimData1!$C$9:$C$508,179)</f>
        <v>4.8584497470507513</v>
      </c>
      <c r="L187">
        <f>1/(COUNT(SimData1!$C$9:$C$508)-1)+$L$186</f>
        <v>0.35671342685370772</v>
      </c>
      <c r="M187">
        <f>SMALL(SimData1!$D$9:$D$508,179)</f>
        <v>6.2899074209839814</v>
      </c>
      <c r="N187">
        <f>1/(COUNT(SimData1!$D$9:$D$508)-1)+$N$186</f>
        <v>0.35671342685370772</v>
      </c>
      <c r="O187">
        <f>SMALL(SimData1!$E$9:$E$508,179)</f>
        <v>-0.24983746698118248</v>
      </c>
      <c r="P187">
        <f>1/(COUNT(SimData1!$E$9:$E$508)-1)+$P$186</f>
        <v>0.35671342685370772</v>
      </c>
      <c r="Q187">
        <f>SMALL(SimData1!$F$9:$F$508,179)</f>
        <v>0.23</v>
      </c>
      <c r="R187">
        <f>1/(COUNT(SimData1!$F$9:$F$508)-1)+$R$186</f>
        <v>0.35671342685370772</v>
      </c>
      <c r="S187">
        <f>SMALL(SimData1!$G$9:$G$508,179)</f>
        <v>6</v>
      </c>
      <c r="T187">
        <f>1/(COUNT(SimData1!$G$9:$G$508)-1)+$T$186</f>
        <v>0.35671342685370772</v>
      </c>
    </row>
    <row r="188" spans="1:20">
      <c r="A188">
        <v>180</v>
      </c>
      <c r="B188">
        <v>11.942375146765102</v>
      </c>
      <c r="C188">
        <v>9.3229673839162501</v>
      </c>
      <c r="D188">
        <v>10.547816814984152</v>
      </c>
      <c r="E188">
        <v>23.975068783981882</v>
      </c>
      <c r="F188">
        <v>0.23</v>
      </c>
      <c r="G188">
        <v>9</v>
      </c>
      <c r="I188">
        <f>SMALL(SimData1!$B$9:$B$508,180)</f>
        <v>8.9160219768901996</v>
      </c>
      <c r="J188">
        <f>1/(COUNT(SimData1!$B$9:$B$508)-1)+$J$187</f>
        <v>0.35871743486973978</v>
      </c>
      <c r="K188">
        <f>SMALL(SimData1!$C$9:$C$508,180)</f>
        <v>4.8704614687688785</v>
      </c>
      <c r="L188">
        <f>1/(COUNT(SimData1!$C$9:$C$508)-1)+$L$187</f>
        <v>0.35871743486973978</v>
      </c>
      <c r="M188">
        <f>SMALL(SimData1!$D$9:$D$508,180)</f>
        <v>6.304857699839598</v>
      </c>
      <c r="N188">
        <f>1/(COUNT(SimData1!$D$9:$D$508)-1)+$N$187</f>
        <v>0.35871743486973978</v>
      </c>
      <c r="O188">
        <f>SMALL(SimData1!$E$9:$E$508,180)</f>
        <v>-0.24172222633360119</v>
      </c>
      <c r="P188">
        <f>1/(COUNT(SimData1!$E$9:$E$508)-1)+$P$187</f>
        <v>0.35871743486973978</v>
      </c>
      <c r="Q188">
        <f>SMALL(SimData1!$F$9:$F$508,180)</f>
        <v>0.23</v>
      </c>
      <c r="R188">
        <f>1/(COUNT(SimData1!$F$9:$F$508)-1)+$R$187</f>
        <v>0.35871743486973978</v>
      </c>
      <c r="S188">
        <f>SMALL(SimData1!$G$9:$G$508,180)</f>
        <v>6</v>
      </c>
      <c r="T188">
        <f>1/(COUNT(SimData1!$G$9:$G$508)-1)+$T$187</f>
        <v>0.35871743486973978</v>
      </c>
    </row>
    <row r="189" spans="1:20">
      <c r="A189">
        <v>181</v>
      </c>
      <c r="B189">
        <v>11.609995056566898</v>
      </c>
      <c r="C189">
        <v>3.6552376682849688</v>
      </c>
      <c r="D189">
        <v>9.8088907887025023</v>
      </c>
      <c r="E189">
        <v>-0.15892376368320349</v>
      </c>
      <c r="F189">
        <v>0.23</v>
      </c>
      <c r="G189">
        <v>10</v>
      </c>
      <c r="I189">
        <f>SMALL(SimData1!$B$9:$B$508,181)</f>
        <v>8.9325808303026726</v>
      </c>
      <c r="J189">
        <f>1/(COUNT(SimData1!$B$9:$B$508)-1)+$J$188</f>
        <v>0.36072144288577185</v>
      </c>
      <c r="K189">
        <f>SMALL(SimData1!$C$9:$C$508,181)</f>
        <v>4.8903604686768638</v>
      </c>
      <c r="L189">
        <f>1/(COUNT(SimData1!$C$9:$C$508)-1)+$L$188</f>
        <v>0.36072144288577185</v>
      </c>
      <c r="M189">
        <f>SMALL(SimData1!$D$9:$D$508,181)</f>
        <v>6.3271289043200962</v>
      </c>
      <c r="N189">
        <f>1/(COUNT(SimData1!$D$9:$D$508)-1)+$N$188</f>
        <v>0.36072144288577185</v>
      </c>
      <c r="O189">
        <f>SMALL(SimData1!$E$9:$E$508,181)</f>
        <v>-0.2383747629527635</v>
      </c>
      <c r="P189">
        <f>1/(COUNT(SimData1!$E$9:$E$508)-1)+$P$188</f>
        <v>0.36072144288577185</v>
      </c>
      <c r="Q189">
        <f>SMALL(SimData1!$F$9:$F$508,181)</f>
        <v>0.23</v>
      </c>
      <c r="R189">
        <f>1/(COUNT(SimData1!$F$9:$F$508)-1)+$R$188</f>
        <v>0.36072144288577185</v>
      </c>
      <c r="S189">
        <f>SMALL(SimData1!$G$9:$G$508,181)</f>
        <v>6</v>
      </c>
      <c r="T189">
        <f>1/(COUNT(SimData1!$G$9:$G$508)-1)+$T$188</f>
        <v>0.36072144288577185</v>
      </c>
    </row>
    <row r="190" spans="1:20">
      <c r="A190">
        <v>182</v>
      </c>
      <c r="B190">
        <v>10.395705387336132</v>
      </c>
      <c r="C190">
        <v>3.7834173913987859</v>
      </c>
      <c r="D190">
        <v>18.425880094886264</v>
      </c>
      <c r="E190">
        <v>22.127978411689114</v>
      </c>
      <c r="F190">
        <v>0.23</v>
      </c>
      <c r="G190">
        <v>6</v>
      </c>
      <c r="I190">
        <f>SMALL(SimData1!$B$9:$B$508,182)</f>
        <v>8.9424831638756519</v>
      </c>
      <c r="J190">
        <f>1/(COUNT(SimData1!$B$9:$B$508)-1)+$J$189</f>
        <v>0.36272545090180391</v>
      </c>
      <c r="K190">
        <f>SMALL(SimData1!$C$9:$C$508,182)</f>
        <v>4.9092194996283434</v>
      </c>
      <c r="L190">
        <f>1/(COUNT(SimData1!$C$9:$C$508)-1)+$L$189</f>
        <v>0.36272545090180391</v>
      </c>
      <c r="M190">
        <f>SMALL(SimData1!$D$9:$D$508,182)</f>
        <v>6.3563948013885865</v>
      </c>
      <c r="N190">
        <f>1/(COUNT(SimData1!$D$9:$D$508)-1)+$N$189</f>
        <v>0.36272545090180391</v>
      </c>
      <c r="O190">
        <f>SMALL(SimData1!$E$9:$E$508,182)</f>
        <v>-0.22648404236873243</v>
      </c>
      <c r="P190">
        <f>1/(COUNT(SimData1!$E$9:$E$508)-1)+$P$189</f>
        <v>0.36272545090180391</v>
      </c>
      <c r="Q190">
        <f>SMALL(SimData1!$F$9:$F$508,182)</f>
        <v>0.23</v>
      </c>
      <c r="R190">
        <f>1/(COUNT(SimData1!$F$9:$F$508)-1)+$R$189</f>
        <v>0.36272545090180391</v>
      </c>
      <c r="S190">
        <f>SMALL(SimData1!$G$9:$G$508,182)</f>
        <v>6</v>
      </c>
      <c r="T190">
        <f>1/(COUNT(SimData1!$G$9:$G$508)-1)+$T$189</f>
        <v>0.36272545090180391</v>
      </c>
    </row>
    <row r="191" spans="1:20">
      <c r="A191">
        <v>183</v>
      </c>
      <c r="B191">
        <v>11.202928083638151</v>
      </c>
      <c r="C191">
        <v>3.9888953626837802</v>
      </c>
      <c r="D191">
        <v>5.3736238581011131</v>
      </c>
      <c r="E191">
        <v>22.24871009789495</v>
      </c>
      <c r="F191">
        <v>0.23</v>
      </c>
      <c r="G191">
        <v>2</v>
      </c>
      <c r="I191">
        <f>SMALL(SimData1!$B$9:$B$508,183)</f>
        <v>8.9690479107527032</v>
      </c>
      <c r="J191">
        <f>1/(COUNT(SimData1!$B$9:$B$508)-1)+$J$190</f>
        <v>0.36472945891783598</v>
      </c>
      <c r="K191">
        <f>SMALL(SimData1!$C$9:$C$508,183)</f>
        <v>4.9141412488823146</v>
      </c>
      <c r="L191">
        <f>1/(COUNT(SimData1!$C$9:$C$508)-1)+$L$190</f>
        <v>0.36472945891783598</v>
      </c>
      <c r="M191">
        <f>SMALL(SimData1!$D$9:$D$508,183)</f>
        <v>6.3704261373529274</v>
      </c>
      <c r="N191">
        <f>1/(COUNT(SimData1!$D$9:$D$508)-1)+$N$190</f>
        <v>0.36472945891783598</v>
      </c>
      <c r="O191">
        <f>SMALL(SimData1!$E$9:$E$508,183)</f>
        <v>-0.22391523628882037</v>
      </c>
      <c r="P191">
        <f>1/(COUNT(SimData1!$E$9:$E$508)-1)+$P$190</f>
        <v>0.36472945891783598</v>
      </c>
      <c r="Q191">
        <f>SMALL(SimData1!$F$9:$F$508,183)</f>
        <v>0.23</v>
      </c>
      <c r="R191">
        <f>1/(COUNT(SimData1!$F$9:$F$508)-1)+$R$190</f>
        <v>0.36472945891783598</v>
      </c>
      <c r="S191">
        <f>SMALL(SimData1!$G$9:$G$508,183)</f>
        <v>6</v>
      </c>
      <c r="T191">
        <f>1/(COUNT(SimData1!$G$9:$G$508)-1)+$T$190</f>
        <v>0.36472945891783598</v>
      </c>
    </row>
    <row r="192" spans="1:20">
      <c r="A192">
        <v>184</v>
      </c>
      <c r="B192">
        <v>7.2764256284264963</v>
      </c>
      <c r="C192">
        <v>3.675488138927959</v>
      </c>
      <c r="D192">
        <v>12.483166363972046</v>
      </c>
      <c r="E192">
        <v>21.821736567114009</v>
      </c>
      <c r="F192">
        <v>0.23</v>
      </c>
      <c r="G192">
        <v>10</v>
      </c>
      <c r="I192">
        <f>SMALL(SimData1!$B$9:$B$508,184)</f>
        <v>8.9843617551387833</v>
      </c>
      <c r="J192">
        <f>1/(COUNT(SimData1!$B$9:$B$508)-1)+$J$191</f>
        <v>0.36673346693386805</v>
      </c>
      <c r="K192">
        <f>SMALL(SimData1!$C$9:$C$508,184)</f>
        <v>4.9317404618383716</v>
      </c>
      <c r="L192">
        <f>1/(COUNT(SimData1!$C$9:$C$508)-1)+$L$191</f>
        <v>0.36673346693386805</v>
      </c>
      <c r="M192">
        <f>SMALL(SimData1!$D$9:$D$508,184)</f>
        <v>6.394465262037345</v>
      </c>
      <c r="N192">
        <f>1/(COUNT(SimData1!$D$9:$D$508)-1)+$N$191</f>
        <v>0.36673346693386805</v>
      </c>
      <c r="O192">
        <f>SMALL(SimData1!$E$9:$E$508,184)</f>
        <v>-0.21805203947521856</v>
      </c>
      <c r="P192">
        <f>1/(COUNT(SimData1!$E$9:$E$508)-1)+$P$191</f>
        <v>0.36673346693386805</v>
      </c>
      <c r="Q192">
        <f>SMALL(SimData1!$F$9:$F$508,184)</f>
        <v>0.23</v>
      </c>
      <c r="R192">
        <f>1/(COUNT(SimData1!$F$9:$F$508)-1)+$R$191</f>
        <v>0.36673346693386805</v>
      </c>
      <c r="S192">
        <f>SMALL(SimData1!$G$9:$G$508,184)</f>
        <v>6</v>
      </c>
      <c r="T192">
        <f>1/(COUNT(SimData1!$G$9:$G$508)-1)+$T$191</f>
        <v>0.36673346693386805</v>
      </c>
    </row>
    <row r="193" spans="1:20">
      <c r="A193">
        <v>185</v>
      </c>
      <c r="B193">
        <v>10.084847079812512</v>
      </c>
      <c r="C193">
        <v>5.3322876595007926</v>
      </c>
      <c r="D193">
        <v>13.228963118654903</v>
      </c>
      <c r="E193">
        <v>23.740637354087411</v>
      </c>
      <c r="F193">
        <v>0.23</v>
      </c>
      <c r="G193">
        <v>2</v>
      </c>
      <c r="I193">
        <f>SMALL(SimData1!$B$9:$B$508,185)</f>
        <v>8.9994273369139606</v>
      </c>
      <c r="J193">
        <f>1/(COUNT(SimData1!$B$9:$B$508)-1)+$J$192</f>
        <v>0.36873747494990011</v>
      </c>
      <c r="K193">
        <f>SMALL(SimData1!$C$9:$C$508,185)</f>
        <v>4.9539449990899174</v>
      </c>
      <c r="L193">
        <f>1/(COUNT(SimData1!$C$9:$C$508)-1)+$L$192</f>
        <v>0.36873747494990011</v>
      </c>
      <c r="M193">
        <f>SMALL(SimData1!$D$9:$D$508,185)</f>
        <v>6.4309569044203858</v>
      </c>
      <c r="N193">
        <f>1/(COUNT(SimData1!$D$9:$D$508)-1)+$N$192</f>
        <v>0.36873747494990011</v>
      </c>
      <c r="O193">
        <f>SMALL(SimData1!$E$9:$E$508,185)</f>
        <v>-0.20791162282082665</v>
      </c>
      <c r="P193">
        <f>1/(COUNT(SimData1!$E$9:$E$508)-1)+$P$192</f>
        <v>0.36873747494990011</v>
      </c>
      <c r="Q193">
        <f>SMALL(SimData1!$F$9:$F$508,185)</f>
        <v>0.23</v>
      </c>
      <c r="R193">
        <f>1/(COUNT(SimData1!$F$9:$F$508)-1)+$R$192</f>
        <v>0.36873747494990011</v>
      </c>
      <c r="S193">
        <f>SMALL(SimData1!$G$9:$G$508,185)</f>
        <v>6</v>
      </c>
      <c r="T193">
        <f>1/(COUNT(SimData1!$G$9:$G$508)-1)+$T$192</f>
        <v>0.36873747494990011</v>
      </c>
    </row>
    <row r="194" spans="1:20">
      <c r="A194">
        <v>186</v>
      </c>
      <c r="B194">
        <v>13.980433259851255</v>
      </c>
      <c r="C194">
        <v>8.4450348837666773</v>
      </c>
      <c r="D194">
        <v>9.5030788103023269</v>
      </c>
      <c r="E194">
        <v>21.774076406273398</v>
      </c>
      <c r="F194">
        <v>0.23</v>
      </c>
      <c r="G194">
        <v>2</v>
      </c>
      <c r="I194">
        <f>SMALL(SimData1!$B$9:$B$508,186)</f>
        <v>9.0056226303730753</v>
      </c>
      <c r="J194">
        <f>1/(COUNT(SimData1!$B$9:$B$508)-1)+$J$193</f>
        <v>0.37074148296593218</v>
      </c>
      <c r="K194">
        <f>SMALL(SimData1!$C$9:$C$508,186)</f>
        <v>4.9605107072518457</v>
      </c>
      <c r="L194">
        <f>1/(COUNT(SimData1!$C$9:$C$508)-1)+$L$193</f>
        <v>0.37074148296593218</v>
      </c>
      <c r="M194">
        <f>SMALL(SimData1!$D$9:$D$508,186)</f>
        <v>6.4526420773446187</v>
      </c>
      <c r="N194">
        <f>1/(COUNT(SimData1!$D$9:$D$508)-1)+$N$193</f>
        <v>0.37074148296593218</v>
      </c>
      <c r="O194">
        <f>SMALL(SimData1!$E$9:$E$508,186)</f>
        <v>-0.20012727317843737</v>
      </c>
      <c r="P194">
        <f>1/(COUNT(SimData1!$E$9:$E$508)-1)+$P$193</f>
        <v>0.37074148296593218</v>
      </c>
      <c r="Q194">
        <f>SMALL(SimData1!$F$9:$F$508,186)</f>
        <v>0.23</v>
      </c>
      <c r="R194">
        <f>1/(COUNT(SimData1!$F$9:$F$508)-1)+$R$193</f>
        <v>0.37074148296593218</v>
      </c>
      <c r="S194">
        <f>SMALL(SimData1!$G$9:$G$508,186)</f>
        <v>6</v>
      </c>
      <c r="T194">
        <f>1/(COUNT(SimData1!$G$9:$G$508)-1)+$T$193</f>
        <v>0.37074148296593218</v>
      </c>
    </row>
    <row r="195" spans="1:20">
      <c r="A195">
        <v>187</v>
      </c>
      <c r="B195">
        <v>16.482013797543996</v>
      </c>
      <c r="C195">
        <v>6.5426147406023496</v>
      </c>
      <c r="D195">
        <v>18.964722543186674</v>
      </c>
      <c r="E195">
        <v>-0.2383747629527635</v>
      </c>
      <c r="F195">
        <v>0.23</v>
      </c>
      <c r="G195">
        <v>9</v>
      </c>
      <c r="I195">
        <f>SMALL(SimData1!$B$9:$B$508,187)</f>
        <v>9.027121983557052</v>
      </c>
      <c r="J195">
        <f>1/(COUNT(SimData1!$B$9:$B$508)-1)+$J$194</f>
        <v>0.37274549098196424</v>
      </c>
      <c r="K195">
        <f>SMALL(SimData1!$C$9:$C$508,187)</f>
        <v>4.9893794138462697</v>
      </c>
      <c r="L195">
        <f>1/(COUNT(SimData1!$C$9:$C$508)-1)+$L$194</f>
        <v>0.37274549098196424</v>
      </c>
      <c r="M195">
        <f>SMALL(SimData1!$D$9:$D$508,187)</f>
        <v>6.4821395324287332</v>
      </c>
      <c r="N195">
        <f>1/(COUNT(SimData1!$D$9:$D$508)-1)+$N$194</f>
        <v>0.37274549098196424</v>
      </c>
      <c r="O195">
        <f>SMALL(SimData1!$E$9:$E$508,187)</f>
        <v>-0.19276734236415116</v>
      </c>
      <c r="P195">
        <f>1/(COUNT(SimData1!$E$9:$E$508)-1)+$P$194</f>
        <v>0.37274549098196424</v>
      </c>
      <c r="Q195">
        <f>SMALL(SimData1!$F$9:$F$508,187)</f>
        <v>0.23</v>
      </c>
      <c r="R195">
        <f>1/(COUNT(SimData1!$F$9:$F$508)-1)+$R$194</f>
        <v>0.37274549098196424</v>
      </c>
      <c r="S195">
        <f>SMALL(SimData1!$G$9:$G$508,187)</f>
        <v>6</v>
      </c>
      <c r="T195">
        <f>1/(COUNT(SimData1!$G$9:$G$508)-1)+$T$194</f>
        <v>0.37274549098196424</v>
      </c>
    </row>
    <row r="196" spans="1:20">
      <c r="A196">
        <v>188</v>
      </c>
      <c r="B196">
        <v>5.8004401956078269</v>
      </c>
      <c r="C196">
        <v>3.8265449096566404</v>
      </c>
      <c r="D196">
        <v>17.921312220769309</v>
      </c>
      <c r="E196">
        <v>-0.3349555455895743</v>
      </c>
      <c r="F196">
        <v>0.23</v>
      </c>
      <c r="G196">
        <v>6</v>
      </c>
      <c r="I196">
        <f>SMALL(SimData1!$B$9:$B$508,188)</f>
        <v>9.0492704186025765</v>
      </c>
      <c r="J196">
        <f>1/(COUNT(SimData1!$B$9:$B$508)-1)+$J$195</f>
        <v>0.37474949899799631</v>
      </c>
      <c r="K196">
        <f>SMALL(SimData1!$C$9:$C$508,188)</f>
        <v>5.0018395449467565</v>
      </c>
      <c r="L196">
        <f>1/(COUNT(SimData1!$C$9:$C$508)-1)+$L$195</f>
        <v>0.37474949899799631</v>
      </c>
      <c r="M196">
        <f>SMALL(SimData1!$D$9:$D$508,188)</f>
        <v>6.4919258532514625</v>
      </c>
      <c r="N196">
        <f>1/(COUNT(SimData1!$D$9:$D$508)-1)+$N$195</f>
        <v>0.37474949899799631</v>
      </c>
      <c r="O196">
        <f>SMALL(SimData1!$E$9:$E$508,188)</f>
        <v>-0.18994703309209049</v>
      </c>
      <c r="P196">
        <f>1/(COUNT(SimData1!$E$9:$E$508)-1)+$P$195</f>
        <v>0.37474949899799631</v>
      </c>
      <c r="Q196">
        <f>SMALL(SimData1!$F$9:$F$508,188)</f>
        <v>0.23</v>
      </c>
      <c r="R196">
        <f>1/(COUNT(SimData1!$F$9:$F$508)-1)+$R$195</f>
        <v>0.37474949899799631</v>
      </c>
      <c r="S196">
        <f>SMALL(SimData1!$G$9:$G$508,188)</f>
        <v>6</v>
      </c>
      <c r="T196">
        <f>1/(COUNT(SimData1!$G$9:$G$508)-1)+$T$195</f>
        <v>0.37474949899799631</v>
      </c>
    </row>
    <row r="197" spans="1:20">
      <c r="A197">
        <v>189</v>
      </c>
      <c r="B197">
        <v>13.106311309323916</v>
      </c>
      <c r="C197">
        <v>5.6282327782651951</v>
      </c>
      <c r="D197">
        <v>11.16882772443649</v>
      </c>
      <c r="E197">
        <v>21.712502771013021</v>
      </c>
      <c r="F197">
        <v>0.23</v>
      </c>
      <c r="G197">
        <v>4</v>
      </c>
      <c r="I197">
        <f>SMALL(SimData1!$B$9:$B$508,189)</f>
        <v>9.0538945840970282</v>
      </c>
      <c r="J197">
        <f>1/(COUNT(SimData1!$B$9:$B$508)-1)+$J$196</f>
        <v>0.37675350701402838</v>
      </c>
      <c r="K197">
        <f>SMALL(SimData1!$C$9:$C$508,189)</f>
        <v>5.0236478332243042</v>
      </c>
      <c r="L197">
        <f>1/(COUNT(SimData1!$C$9:$C$508)-1)+$L$196</f>
        <v>0.37675350701402838</v>
      </c>
      <c r="M197">
        <f>SMALL(SimData1!$D$9:$D$508,189)</f>
        <v>6.5269235124175724</v>
      </c>
      <c r="N197">
        <f>1/(COUNT(SimData1!$D$9:$D$508)-1)+$N$196</f>
        <v>0.37675350701402838</v>
      </c>
      <c r="O197">
        <f>SMALL(SimData1!$E$9:$E$508,189)</f>
        <v>-0.17788600110543662</v>
      </c>
      <c r="P197">
        <f>1/(COUNT(SimData1!$E$9:$E$508)-1)+$P$196</f>
        <v>0.37675350701402838</v>
      </c>
      <c r="Q197">
        <f>SMALL(SimData1!$F$9:$F$508,189)</f>
        <v>0.23</v>
      </c>
      <c r="R197">
        <f>1/(COUNT(SimData1!$F$9:$F$508)-1)+$R$196</f>
        <v>0.37675350701402838</v>
      </c>
      <c r="S197">
        <f>SMALL(SimData1!$G$9:$G$508,189)</f>
        <v>6</v>
      </c>
      <c r="T197">
        <f>1/(COUNT(SimData1!$G$9:$G$508)-1)+$T$196</f>
        <v>0.37675350701402838</v>
      </c>
    </row>
    <row r="198" spans="1:20">
      <c r="A198">
        <v>190</v>
      </c>
      <c r="B198">
        <v>6.8977029421846536</v>
      </c>
      <c r="C198">
        <v>3.7493011539590779</v>
      </c>
      <c r="D198">
        <v>18.794564030897469</v>
      </c>
      <c r="E198">
        <v>23.608864112800358</v>
      </c>
      <c r="F198">
        <v>0.23</v>
      </c>
      <c r="G198">
        <v>9</v>
      </c>
      <c r="I198">
        <f>SMALL(SimData1!$B$9:$B$508,190)</f>
        <v>9.0693168307670184</v>
      </c>
      <c r="J198">
        <f>1/(COUNT(SimData1!$B$9:$B$508)-1)+$J$197</f>
        <v>0.37875751503006044</v>
      </c>
      <c r="K198">
        <f>SMALL(SimData1!$C$9:$C$508,190)</f>
        <v>5.0292964025599183</v>
      </c>
      <c r="L198">
        <f>1/(COUNT(SimData1!$C$9:$C$508)-1)+$L$197</f>
        <v>0.37875751503006044</v>
      </c>
      <c r="M198">
        <f>SMALL(SimData1!$D$9:$D$508,190)</f>
        <v>6.5966839993271709</v>
      </c>
      <c r="N198">
        <f>1/(COUNT(SimData1!$D$9:$D$508)-1)+$N$197</f>
        <v>0.37875751503006044</v>
      </c>
      <c r="O198">
        <f>SMALL(SimData1!$E$9:$E$508,190)</f>
        <v>-0.1743588093564481</v>
      </c>
      <c r="P198">
        <f>1/(COUNT(SimData1!$E$9:$E$508)-1)+$P$197</f>
        <v>0.37875751503006044</v>
      </c>
      <c r="Q198">
        <f>SMALL(SimData1!$F$9:$F$508,190)</f>
        <v>0.23</v>
      </c>
      <c r="R198">
        <f>1/(COUNT(SimData1!$F$9:$F$508)-1)+$R$197</f>
        <v>0.37875751503006044</v>
      </c>
      <c r="S198">
        <f>SMALL(SimData1!$G$9:$G$508,190)</f>
        <v>6</v>
      </c>
      <c r="T198">
        <f>1/(COUNT(SimData1!$G$9:$G$508)-1)+$T$197</f>
        <v>0.37875751503006044</v>
      </c>
    </row>
    <row r="199" spans="1:20">
      <c r="A199">
        <v>191</v>
      </c>
      <c r="B199">
        <v>15.026879720450987</v>
      </c>
      <c r="C199">
        <v>6.6147962462098331</v>
      </c>
      <c r="D199">
        <v>5.780493090295348</v>
      </c>
      <c r="E199">
        <v>21.613582405882291</v>
      </c>
      <c r="F199">
        <v>0.23</v>
      </c>
      <c r="G199">
        <v>6</v>
      </c>
      <c r="I199">
        <f>SMALL(SimData1!$B$9:$B$508,191)</f>
        <v>9.0907040217990414</v>
      </c>
      <c r="J199">
        <f>1/(COUNT(SimData1!$B$9:$B$508)-1)+$J$198</f>
        <v>0.38076152304609251</v>
      </c>
      <c r="K199">
        <f>SMALL(SimData1!$C$9:$C$508,191)</f>
        <v>5.049042662663628</v>
      </c>
      <c r="L199">
        <f>1/(COUNT(SimData1!$C$9:$C$508)-1)+$L$198</f>
        <v>0.38076152304609251</v>
      </c>
      <c r="M199">
        <f>SMALL(SimData1!$D$9:$D$508,191)</f>
        <v>6.6119100449448238</v>
      </c>
      <c r="N199">
        <f>1/(COUNT(SimData1!$D$9:$D$508)-1)+$N$198</f>
        <v>0.38076152304609251</v>
      </c>
      <c r="O199">
        <f>SMALL(SimData1!$E$9:$E$508,191)</f>
        <v>-0.16533769289895206</v>
      </c>
      <c r="P199">
        <f>1/(COUNT(SimData1!$E$9:$E$508)-1)+$P$198</f>
        <v>0.38076152304609251</v>
      </c>
      <c r="Q199">
        <f>SMALL(SimData1!$F$9:$F$508,191)</f>
        <v>0.23</v>
      </c>
      <c r="R199">
        <f>1/(COUNT(SimData1!$F$9:$F$508)-1)+$R$198</f>
        <v>0.38076152304609251</v>
      </c>
      <c r="S199">
        <f>SMALL(SimData1!$G$9:$G$508,191)</f>
        <v>6</v>
      </c>
      <c r="T199">
        <f>1/(COUNT(SimData1!$G$9:$G$508)-1)+$T$198</f>
        <v>0.38076152304609251</v>
      </c>
    </row>
    <row r="200" spans="1:20">
      <c r="A200">
        <v>192</v>
      </c>
      <c r="B200">
        <v>7.4868275307703991</v>
      </c>
      <c r="C200">
        <v>8.8430801186736403</v>
      </c>
      <c r="D200">
        <v>6.3704261373529274</v>
      </c>
      <c r="E200">
        <v>-0.69934415730758515</v>
      </c>
      <c r="F200">
        <v>0.23</v>
      </c>
      <c r="G200">
        <v>4</v>
      </c>
      <c r="I200">
        <f>SMALL(SimData1!$B$9:$B$508,192)</f>
        <v>9.1142076365022575</v>
      </c>
      <c r="J200">
        <f>1/(COUNT(SimData1!$B$9:$B$508)-1)+$J$199</f>
        <v>0.38276553106212458</v>
      </c>
      <c r="K200">
        <f>SMALL(SimData1!$C$9:$C$508,192)</f>
        <v>5.0656388380475432</v>
      </c>
      <c r="L200">
        <f>1/(COUNT(SimData1!$C$9:$C$508)-1)+$L$199</f>
        <v>0.38276553106212458</v>
      </c>
      <c r="M200">
        <f>SMALL(SimData1!$D$9:$D$508,192)</f>
        <v>6.654455914677694</v>
      </c>
      <c r="N200">
        <f>1/(COUNT(SimData1!$D$9:$D$508)-1)+$N$199</f>
        <v>0.38276553106212458</v>
      </c>
      <c r="O200">
        <f>SMALL(SimData1!$E$9:$E$508,192)</f>
        <v>-0.15892376368320349</v>
      </c>
      <c r="P200">
        <f>1/(COUNT(SimData1!$E$9:$E$508)-1)+$P$199</f>
        <v>0.38276553106212458</v>
      </c>
      <c r="Q200">
        <f>SMALL(SimData1!$F$9:$F$508,192)</f>
        <v>0.23</v>
      </c>
      <c r="R200">
        <f>1/(COUNT(SimData1!$F$9:$F$508)-1)+$R$199</f>
        <v>0.38276553106212458</v>
      </c>
      <c r="S200">
        <f>SMALL(SimData1!$G$9:$G$508,192)</f>
        <v>6</v>
      </c>
      <c r="T200">
        <f>1/(COUNT(SimData1!$G$9:$G$508)-1)+$T$199</f>
        <v>0.38276553106212458</v>
      </c>
    </row>
    <row r="201" spans="1:20">
      <c r="A201">
        <v>193</v>
      </c>
      <c r="B201">
        <v>6.6550803051966607</v>
      </c>
      <c r="C201">
        <v>7.5404424260902312</v>
      </c>
      <c r="D201">
        <v>2.1474740804237022</v>
      </c>
      <c r="E201">
        <v>-7.5110354802470081E-3</v>
      </c>
      <c r="F201">
        <v>0.23</v>
      </c>
      <c r="G201">
        <v>4</v>
      </c>
      <c r="I201">
        <f>SMALL(SimData1!$B$9:$B$508,193)</f>
        <v>9.126218375722388</v>
      </c>
      <c r="J201">
        <f>1/(COUNT(SimData1!$B$9:$B$508)-1)+$J$200</f>
        <v>0.38476953907815664</v>
      </c>
      <c r="K201">
        <f>SMALL(SimData1!$C$9:$C$508,193)</f>
        <v>5.0855392436193156</v>
      </c>
      <c r="L201">
        <f>1/(COUNT(SimData1!$C$9:$C$508)-1)+$L$200</f>
        <v>0.38476953907815664</v>
      </c>
      <c r="M201">
        <f>SMALL(SimData1!$D$9:$D$508,193)</f>
        <v>6.7026594681159271</v>
      </c>
      <c r="N201">
        <f>1/(COUNT(SimData1!$D$9:$D$508)-1)+$N$200</f>
        <v>0.38476953907815664</v>
      </c>
      <c r="O201">
        <f>SMALL(SimData1!$E$9:$E$508,193)</f>
        <v>-0.1510758070941367</v>
      </c>
      <c r="P201">
        <f>1/(COUNT(SimData1!$E$9:$E$508)-1)+$P$200</f>
        <v>0.38476953907815664</v>
      </c>
      <c r="Q201">
        <f>SMALL(SimData1!$F$9:$F$508,193)</f>
        <v>0.23</v>
      </c>
      <c r="R201">
        <f>1/(COUNT(SimData1!$F$9:$F$508)-1)+$R$200</f>
        <v>0.38476953907815664</v>
      </c>
      <c r="S201">
        <f>SMALL(SimData1!$G$9:$G$508,193)</f>
        <v>6</v>
      </c>
      <c r="T201">
        <f>1/(COUNT(SimData1!$G$9:$G$508)-1)+$T$200</f>
        <v>0.38476953907815664</v>
      </c>
    </row>
    <row r="202" spans="1:20">
      <c r="A202">
        <v>194</v>
      </c>
      <c r="B202">
        <v>8.5529285394105781</v>
      </c>
      <c r="C202">
        <v>9.5732211741258446</v>
      </c>
      <c r="D202">
        <v>6.4526420773446187</v>
      </c>
      <c r="E202">
        <v>-1.0122790884259063</v>
      </c>
      <c r="F202">
        <v>0.23</v>
      </c>
      <c r="G202">
        <v>4</v>
      </c>
      <c r="I202">
        <f>SMALL(SimData1!$B$9:$B$508,194)</f>
        <v>9.1436407257625234</v>
      </c>
      <c r="J202">
        <f>1/(COUNT(SimData1!$B$9:$B$508)-1)+$J$201</f>
        <v>0.38677354709418871</v>
      </c>
      <c r="K202">
        <f>SMALL(SimData1!$C$9:$C$508,194)</f>
        <v>5.097326476095553</v>
      </c>
      <c r="L202">
        <f>1/(COUNT(SimData1!$C$9:$C$508)-1)+$L$201</f>
        <v>0.38677354709418871</v>
      </c>
      <c r="M202">
        <f>SMALL(SimData1!$D$9:$D$508,194)</f>
        <v>6.725832031528892</v>
      </c>
      <c r="N202">
        <f>1/(COUNT(SimData1!$D$9:$D$508)-1)+$N$201</f>
        <v>0.38677354709418871</v>
      </c>
      <c r="O202">
        <f>SMALL(SimData1!$E$9:$E$508,194)</f>
        <v>-0.14734887044113032</v>
      </c>
      <c r="P202">
        <f>1/(COUNT(SimData1!$E$9:$E$508)-1)+$P$201</f>
        <v>0.38677354709418871</v>
      </c>
      <c r="Q202">
        <f>SMALL(SimData1!$F$9:$F$508,194)</f>
        <v>0.23</v>
      </c>
      <c r="R202">
        <f>1/(COUNT(SimData1!$F$9:$F$508)-1)+$R$201</f>
        <v>0.38677354709418871</v>
      </c>
      <c r="S202">
        <f>SMALL(SimData1!$G$9:$G$508,194)</f>
        <v>6</v>
      </c>
      <c r="T202">
        <f>1/(COUNT(SimData1!$G$9:$G$508)-1)+$T$201</f>
        <v>0.38677354709418871</v>
      </c>
    </row>
    <row r="203" spans="1:20">
      <c r="A203">
        <v>195</v>
      </c>
      <c r="B203">
        <v>11.867592589130844</v>
      </c>
      <c r="C203">
        <v>7.6829131677828064</v>
      </c>
      <c r="D203">
        <v>6.304857699839598</v>
      </c>
      <c r="E203">
        <v>-0.74925834126389934</v>
      </c>
      <c r="F203">
        <v>0.23</v>
      </c>
      <c r="G203">
        <v>2</v>
      </c>
      <c r="I203">
        <f>SMALL(SimData1!$B$9:$B$508,195)</f>
        <v>9.1546161321966473</v>
      </c>
      <c r="J203">
        <f>1/(COUNT(SimData1!$B$9:$B$508)-1)+$J$202</f>
        <v>0.38877755511022077</v>
      </c>
      <c r="K203">
        <f>SMALL(SimData1!$C$9:$C$508,195)</f>
        <v>5.1049762217889025</v>
      </c>
      <c r="L203">
        <f>1/(COUNT(SimData1!$C$9:$C$508)-1)+$L$202</f>
        <v>0.38877755511022077</v>
      </c>
      <c r="M203">
        <f>SMALL(SimData1!$D$9:$D$508,195)</f>
        <v>6.7603169808351247</v>
      </c>
      <c r="N203">
        <f>1/(COUNT(SimData1!$D$9:$D$508)-1)+$N$202</f>
        <v>0.38877755511022077</v>
      </c>
      <c r="O203">
        <f>SMALL(SimData1!$E$9:$E$508,195)</f>
        <v>-0.13905002121844068</v>
      </c>
      <c r="P203">
        <f>1/(COUNT(SimData1!$E$9:$E$508)-1)+$P$202</f>
        <v>0.38877755511022077</v>
      </c>
      <c r="Q203">
        <f>SMALL(SimData1!$F$9:$F$508,195)</f>
        <v>0.23</v>
      </c>
      <c r="R203">
        <f>1/(COUNT(SimData1!$F$9:$F$508)-1)+$R$202</f>
        <v>0.38877755511022077</v>
      </c>
      <c r="S203">
        <f>SMALL(SimData1!$G$9:$G$508,195)</f>
        <v>6</v>
      </c>
      <c r="T203">
        <f>1/(COUNT(SimData1!$G$9:$G$508)-1)+$T$202</f>
        <v>0.38877755511022077</v>
      </c>
    </row>
    <row r="204" spans="1:20">
      <c r="A204">
        <v>196</v>
      </c>
      <c r="B204">
        <v>9.5137958188464111</v>
      </c>
      <c r="C204">
        <v>6.3939519445211515</v>
      </c>
      <c r="D204">
        <v>12.962346109772646</v>
      </c>
      <c r="E204">
        <v>-1.3673808443416462</v>
      </c>
      <c r="F204">
        <v>0.23</v>
      </c>
      <c r="G204">
        <v>2</v>
      </c>
      <c r="I204">
        <f>SMALL(SimData1!$B$9:$B$508,196)</f>
        <v>9.1672044276587563</v>
      </c>
      <c r="J204">
        <f>1/(COUNT(SimData1!$B$9:$B$508)-1)+$J$203</f>
        <v>0.39078156312625284</v>
      </c>
      <c r="K204">
        <f>SMALL(SimData1!$C$9:$C$508,196)</f>
        <v>5.1332218128287286</v>
      </c>
      <c r="L204">
        <f>1/(COUNT(SimData1!$C$9:$C$508)-1)+$L$203</f>
        <v>0.39078156312625284</v>
      </c>
      <c r="M204">
        <f>SMALL(SimData1!$D$9:$D$508,196)</f>
        <v>6.8041616488164669</v>
      </c>
      <c r="N204">
        <f>1/(COUNT(SimData1!$D$9:$D$508)-1)+$N$203</f>
        <v>0.39078156312625284</v>
      </c>
      <c r="O204">
        <f>SMALL(SimData1!$E$9:$E$508,196)</f>
        <v>-0.1297694958601765</v>
      </c>
      <c r="P204">
        <f>1/(COUNT(SimData1!$E$9:$E$508)-1)+$P$203</f>
        <v>0.39078156312625284</v>
      </c>
      <c r="Q204">
        <f>SMALL(SimData1!$F$9:$F$508,196)</f>
        <v>0.23</v>
      </c>
      <c r="R204">
        <f>1/(COUNT(SimData1!$F$9:$F$508)-1)+$R$203</f>
        <v>0.39078156312625284</v>
      </c>
      <c r="S204">
        <f>SMALL(SimData1!$G$9:$G$508,196)</f>
        <v>6</v>
      </c>
      <c r="T204">
        <f>1/(COUNT(SimData1!$G$9:$G$508)-1)+$T$203</f>
        <v>0.39078156312625284</v>
      </c>
    </row>
    <row r="205" spans="1:20">
      <c r="A205">
        <v>197</v>
      </c>
      <c r="B205">
        <v>6.7193286977947677</v>
      </c>
      <c r="C205">
        <v>8.2547941300270136</v>
      </c>
      <c r="D205">
        <v>3.705033723764362</v>
      </c>
      <c r="E205">
        <v>23.070969630673723</v>
      </c>
      <c r="F205">
        <v>0.23</v>
      </c>
      <c r="G205">
        <v>10</v>
      </c>
      <c r="I205">
        <f>SMALL(SimData1!$B$9:$B$508,197)</f>
        <v>9.1830328611590772</v>
      </c>
      <c r="J205">
        <f>1/(COUNT(SimData1!$B$9:$B$508)-1)+$J$204</f>
        <v>0.39278557114228491</v>
      </c>
      <c r="K205">
        <f>SMALL(SimData1!$C$9:$C$508,197)</f>
        <v>5.1462608893574826</v>
      </c>
      <c r="L205">
        <f>1/(COUNT(SimData1!$C$9:$C$508)-1)+$L$204</f>
        <v>0.39278557114228491</v>
      </c>
      <c r="M205">
        <f>SMALL(SimData1!$D$9:$D$508,197)</f>
        <v>6.8633807408305305</v>
      </c>
      <c r="N205">
        <f>1/(COUNT(SimData1!$D$9:$D$508)-1)+$N$204</f>
        <v>0.39278557114228491</v>
      </c>
      <c r="O205">
        <f>SMALL(SimData1!$E$9:$E$508,197)</f>
        <v>-0.12225764595163491</v>
      </c>
      <c r="P205">
        <f>1/(COUNT(SimData1!$E$9:$E$508)-1)+$P$204</f>
        <v>0.39278557114228491</v>
      </c>
      <c r="Q205">
        <f>SMALL(SimData1!$F$9:$F$508,197)</f>
        <v>0.23</v>
      </c>
      <c r="R205">
        <f>1/(COUNT(SimData1!$F$9:$F$508)-1)+$R$204</f>
        <v>0.39278557114228491</v>
      </c>
      <c r="S205">
        <f>SMALL(SimData1!$G$9:$G$508,197)</f>
        <v>6</v>
      </c>
      <c r="T205">
        <f>1/(COUNT(SimData1!$G$9:$G$508)-1)+$T$204</f>
        <v>0.39278557114228491</v>
      </c>
    </row>
    <row r="206" spans="1:20">
      <c r="A206">
        <v>198</v>
      </c>
      <c r="B206">
        <v>8.9690479107527032</v>
      </c>
      <c r="C206">
        <v>5.5947640978011215</v>
      </c>
      <c r="D206">
        <v>17.578127410006275</v>
      </c>
      <c r="E206">
        <v>23.376988758230212</v>
      </c>
      <c r="F206">
        <v>0.23</v>
      </c>
      <c r="G206">
        <v>4</v>
      </c>
      <c r="I206">
        <f>SMALL(SimData1!$B$9:$B$508,198)</f>
        <v>9.2054918936546954</v>
      </c>
      <c r="J206">
        <f>1/(COUNT(SimData1!$B$9:$B$508)-1)+$J$205</f>
        <v>0.39478957915831697</v>
      </c>
      <c r="K206">
        <f>SMALL(SimData1!$C$9:$C$508,198)</f>
        <v>5.1634685706187664</v>
      </c>
      <c r="L206">
        <f>1/(COUNT(SimData1!$C$9:$C$508)-1)+$L$205</f>
        <v>0.39478957915831697</v>
      </c>
      <c r="M206">
        <f>SMALL(SimData1!$D$9:$D$508,198)</f>
        <v>6.8909790283560248</v>
      </c>
      <c r="N206">
        <f>1/(COUNT(SimData1!$D$9:$D$508)-1)+$N$205</f>
        <v>0.39478957915831697</v>
      </c>
      <c r="O206">
        <f>SMALL(SimData1!$E$9:$E$508,198)</f>
        <v>-0.12034916382560334</v>
      </c>
      <c r="P206">
        <f>1/(COUNT(SimData1!$E$9:$E$508)-1)+$P$205</f>
        <v>0.39478957915831697</v>
      </c>
      <c r="Q206">
        <f>SMALL(SimData1!$F$9:$F$508,198)</f>
        <v>0.23</v>
      </c>
      <c r="R206">
        <f>1/(COUNT(SimData1!$F$9:$F$508)-1)+$R$205</f>
        <v>0.39478957915831697</v>
      </c>
      <c r="S206">
        <f>SMALL(SimData1!$G$9:$G$508,198)</f>
        <v>6</v>
      </c>
      <c r="T206">
        <f>1/(COUNT(SimData1!$G$9:$G$508)-1)+$T$205</f>
        <v>0.39478957915831697</v>
      </c>
    </row>
    <row r="207" spans="1:20">
      <c r="A207">
        <v>199</v>
      </c>
      <c r="B207">
        <v>12.309083542940048</v>
      </c>
      <c r="C207">
        <v>2.7106209215723491</v>
      </c>
      <c r="D207">
        <v>3.950109825849093</v>
      </c>
      <c r="E207">
        <v>22.154390043561406</v>
      </c>
      <c r="F207">
        <v>0.23</v>
      </c>
      <c r="G207">
        <v>9</v>
      </c>
      <c r="I207">
        <f>SMALL(SimData1!$B$9:$B$508,199)</f>
        <v>9.2166238408898327</v>
      </c>
      <c r="J207">
        <f>1/(COUNT(SimData1!$B$9:$B$508)-1)+$J$206</f>
        <v>0.39679358717434904</v>
      </c>
      <c r="K207">
        <f>SMALL(SimData1!$C$9:$C$508,199)</f>
        <v>5.1744279625542529</v>
      </c>
      <c r="L207">
        <f>1/(COUNT(SimData1!$C$9:$C$508)-1)+$L$206</f>
        <v>0.39679358717434904</v>
      </c>
      <c r="M207">
        <f>SMALL(SimData1!$D$9:$D$508,199)</f>
        <v>6.9307712420380607</v>
      </c>
      <c r="N207">
        <f>1/(COUNT(SimData1!$D$9:$D$508)-1)+$N$206</f>
        <v>0.39679358717434904</v>
      </c>
      <c r="O207">
        <f>SMALL(SimData1!$E$9:$E$508,199)</f>
        <v>-0.10981957834932299</v>
      </c>
      <c r="P207">
        <f>1/(COUNT(SimData1!$E$9:$E$508)-1)+$P$206</f>
        <v>0.39679358717434904</v>
      </c>
      <c r="Q207">
        <f>SMALL(SimData1!$F$9:$F$508,199)</f>
        <v>0.23</v>
      </c>
      <c r="R207">
        <f>1/(COUNT(SimData1!$F$9:$F$508)-1)+$R$206</f>
        <v>0.39679358717434904</v>
      </c>
      <c r="S207">
        <f>SMALL(SimData1!$G$9:$G$508,199)</f>
        <v>6</v>
      </c>
      <c r="T207">
        <f>1/(COUNT(SimData1!$G$9:$G$508)-1)+$T$206</f>
        <v>0.39679358717434904</v>
      </c>
    </row>
    <row r="208" spans="1:20">
      <c r="A208">
        <v>200</v>
      </c>
      <c r="B208">
        <v>9.8612188981226065</v>
      </c>
      <c r="C208">
        <v>8.9217037278846156</v>
      </c>
      <c r="D208">
        <v>5.7063538725288474</v>
      </c>
      <c r="E208">
        <v>-0.9906099685660974</v>
      </c>
      <c r="F208">
        <v>0.23</v>
      </c>
      <c r="G208">
        <v>4</v>
      </c>
      <c r="I208">
        <f>SMALL(SimData1!$B$9:$B$508,200)</f>
        <v>9.2252673415095998</v>
      </c>
      <c r="J208">
        <f>1/(COUNT(SimData1!$B$9:$B$508)-1)+$J$207</f>
        <v>0.3987975951903811</v>
      </c>
      <c r="K208">
        <f>SMALL(SimData1!$C$9:$C$508,200)</f>
        <v>5.1889962605435862</v>
      </c>
      <c r="L208">
        <f>1/(COUNT(SimData1!$C$9:$C$508)-1)+$L$207</f>
        <v>0.3987975951903811</v>
      </c>
      <c r="M208">
        <f>SMALL(SimData1!$D$9:$D$508,200)</f>
        <v>6.987575633150426</v>
      </c>
      <c r="N208">
        <f>1/(COUNT(SimData1!$D$9:$D$508)-1)+$N$207</f>
        <v>0.3987975951903811</v>
      </c>
      <c r="O208">
        <f>SMALL(SimData1!$E$9:$E$508,200)</f>
        <v>-0.10510360648212869</v>
      </c>
      <c r="P208">
        <f>1/(COUNT(SimData1!$E$9:$E$508)-1)+$P$207</f>
        <v>0.3987975951903811</v>
      </c>
      <c r="Q208">
        <f>SMALL(SimData1!$F$9:$F$508,200)</f>
        <v>0.23</v>
      </c>
      <c r="R208">
        <f>1/(COUNT(SimData1!$F$9:$F$508)-1)+$R$207</f>
        <v>0.3987975951903811</v>
      </c>
      <c r="S208">
        <f>SMALL(SimData1!$G$9:$G$508,200)</f>
        <v>6</v>
      </c>
      <c r="T208">
        <f>1/(COUNT(SimData1!$G$9:$G$508)-1)+$T$207</f>
        <v>0.3987975951903811</v>
      </c>
    </row>
    <row r="209" spans="1:20">
      <c r="A209">
        <v>201</v>
      </c>
      <c r="B209">
        <v>7.2283502302344491</v>
      </c>
      <c r="C209">
        <v>2.289094591923313</v>
      </c>
      <c r="D209">
        <v>15.568084471872094</v>
      </c>
      <c r="E209">
        <v>-0.72191668349215088</v>
      </c>
      <c r="F209">
        <v>0.23</v>
      </c>
      <c r="G209">
        <v>12</v>
      </c>
      <c r="I209">
        <f>SMALL(SimData1!$B$9:$B$508,201)</f>
        <v>9.2541651514923018</v>
      </c>
      <c r="J209">
        <f>1/(COUNT(SimData1!$B$9:$B$508)-1)+$J$208</f>
        <v>0.40080160320641317</v>
      </c>
      <c r="K209">
        <f>SMALL(SimData1!$C$9:$C$508,201)</f>
        <v>5.2003793346696483</v>
      </c>
      <c r="L209">
        <f>1/(COUNT(SimData1!$C$9:$C$508)-1)+$L$208</f>
        <v>0.40080160320641317</v>
      </c>
      <c r="M209">
        <f>SMALL(SimData1!$D$9:$D$508,201)</f>
        <v>7.0346785298536254</v>
      </c>
      <c r="N209">
        <f>1/(COUNT(SimData1!$D$9:$D$508)-1)+$N$208</f>
        <v>0.40080160320641317</v>
      </c>
      <c r="O209">
        <f>SMALL(SimData1!$E$9:$E$508,201)</f>
        <v>-9.4807501613049405E-2</v>
      </c>
      <c r="P209">
        <f>1/(COUNT(SimData1!$E$9:$E$508)-1)+$P$208</f>
        <v>0.40080160320641317</v>
      </c>
      <c r="Q209">
        <f>SMALL(SimData1!$F$9:$F$508,201)</f>
        <v>0.23</v>
      </c>
      <c r="R209">
        <f>1/(COUNT(SimData1!$F$9:$F$508)-1)+$R$208</f>
        <v>0.40080160320641317</v>
      </c>
      <c r="S209">
        <f>SMALL(SimData1!$G$9:$G$508,201)</f>
        <v>6</v>
      </c>
      <c r="T209">
        <f>1/(COUNT(SimData1!$G$9:$G$508)-1)+$T$208</f>
        <v>0.40080160320641317</v>
      </c>
    </row>
    <row r="210" spans="1:20">
      <c r="A210">
        <v>202</v>
      </c>
      <c r="B210">
        <v>6.7520638607249044</v>
      </c>
      <c r="C210">
        <v>3.7385099776895974</v>
      </c>
      <c r="D210">
        <v>9.4035240134754048</v>
      </c>
      <c r="E210">
        <v>23.913111079985139</v>
      </c>
      <c r="F210">
        <v>0.23</v>
      </c>
      <c r="G210">
        <v>2</v>
      </c>
      <c r="I210">
        <f>SMALL(SimData1!$B$9:$B$508,202)</f>
        <v>9.2647729271452821</v>
      </c>
      <c r="J210">
        <f>1/(COUNT(SimData1!$B$9:$B$508)-1)+$J$209</f>
        <v>0.40280561122244524</v>
      </c>
      <c r="K210">
        <f>SMALL(SimData1!$C$9:$C$508,202)</f>
        <v>5.2214876601522526</v>
      </c>
      <c r="L210">
        <f>1/(COUNT(SimData1!$C$9:$C$508)-1)+$L$209</f>
        <v>0.40280561122244524</v>
      </c>
      <c r="M210">
        <f>SMALL(SimData1!$D$9:$D$508,202)</f>
        <v>7.0786077147532742</v>
      </c>
      <c r="N210">
        <f>1/(COUNT(SimData1!$D$9:$D$508)-1)+$N$209</f>
        <v>0.40280561122244524</v>
      </c>
      <c r="O210">
        <f>SMALL(SimData1!$E$9:$E$508,202)</f>
        <v>-8.7622137112478127E-2</v>
      </c>
      <c r="P210">
        <f>1/(COUNT(SimData1!$E$9:$E$508)-1)+$P$209</f>
        <v>0.40280561122244524</v>
      </c>
      <c r="Q210">
        <f>SMALL(SimData1!$F$9:$F$508,202)</f>
        <v>0.23</v>
      </c>
      <c r="R210">
        <f>1/(COUNT(SimData1!$F$9:$F$508)-1)+$R$209</f>
        <v>0.40280561122244524</v>
      </c>
      <c r="S210">
        <f>SMALL(SimData1!$G$9:$G$508,202)</f>
        <v>6</v>
      </c>
      <c r="T210">
        <f>1/(COUNT(SimData1!$G$9:$G$508)-1)+$T$209</f>
        <v>0.40280561122244524</v>
      </c>
    </row>
    <row r="211" spans="1:20">
      <c r="A211">
        <v>203</v>
      </c>
      <c r="B211">
        <v>8.2904209009563434</v>
      </c>
      <c r="C211">
        <v>4.2833610607412087</v>
      </c>
      <c r="D211">
        <v>5.0204905114575498</v>
      </c>
      <c r="E211">
        <v>21.557991411674127</v>
      </c>
      <c r="F211">
        <v>0.23</v>
      </c>
      <c r="G211">
        <v>2</v>
      </c>
      <c r="I211">
        <f>SMALL(SimData1!$B$9:$B$508,203)</f>
        <v>9.2711356070965376</v>
      </c>
      <c r="J211">
        <f>1/(COUNT(SimData1!$B$9:$B$508)-1)+$J$210</f>
        <v>0.4048096192384773</v>
      </c>
      <c r="K211">
        <f>SMALL(SimData1!$C$9:$C$508,203)</f>
        <v>5.237789871742434</v>
      </c>
      <c r="L211">
        <f>1/(COUNT(SimData1!$C$9:$C$508)-1)+$L$210</f>
        <v>0.4048096192384773</v>
      </c>
      <c r="M211">
        <f>SMALL(SimData1!$D$9:$D$508,203)</f>
        <v>7.1123454235383177</v>
      </c>
      <c r="N211">
        <f>1/(COUNT(SimData1!$D$9:$D$508)-1)+$N$210</f>
        <v>0.4048096192384773</v>
      </c>
      <c r="O211">
        <f>SMALL(SimData1!$E$9:$E$508,203)</f>
        <v>-8.1719071470068405E-2</v>
      </c>
      <c r="P211">
        <f>1/(COUNT(SimData1!$E$9:$E$508)-1)+$P$210</f>
        <v>0.4048096192384773</v>
      </c>
      <c r="Q211">
        <f>SMALL(SimData1!$F$9:$F$508,203)</f>
        <v>0.23</v>
      </c>
      <c r="R211">
        <f>1/(COUNT(SimData1!$F$9:$F$508)-1)+$R$210</f>
        <v>0.4048096192384773</v>
      </c>
      <c r="S211">
        <f>SMALL(SimData1!$G$9:$G$508,203)</f>
        <v>6</v>
      </c>
      <c r="T211">
        <f>1/(COUNT(SimData1!$G$9:$G$508)-1)+$T$210</f>
        <v>0.4048096192384773</v>
      </c>
    </row>
    <row r="212" spans="1:20">
      <c r="A212">
        <v>204</v>
      </c>
      <c r="B212">
        <v>11.880297256456405</v>
      </c>
      <c r="C212">
        <v>6.5100660471837193</v>
      </c>
      <c r="D212">
        <v>9.2176346702262837</v>
      </c>
      <c r="E212">
        <v>22.59356781772647</v>
      </c>
      <c r="F212">
        <v>0.23</v>
      </c>
      <c r="G212">
        <v>4</v>
      </c>
      <c r="I212">
        <f>SMALL(SimData1!$B$9:$B$508,204)</f>
        <v>9.2954886685993259</v>
      </c>
      <c r="J212">
        <f>1/(COUNT(SimData1!$B$9:$B$508)-1)+$J$211</f>
        <v>0.40681362725450937</v>
      </c>
      <c r="K212">
        <f>SMALL(SimData1!$C$9:$C$508,204)</f>
        <v>5.2557291577215608</v>
      </c>
      <c r="L212">
        <f>1/(COUNT(SimData1!$C$9:$C$508)-1)+$L$211</f>
        <v>0.40681362725450937</v>
      </c>
      <c r="M212">
        <f>SMALL(SimData1!$D$9:$D$508,204)</f>
        <v>7.1443475149721714</v>
      </c>
      <c r="N212">
        <f>1/(COUNT(SimData1!$D$9:$D$508)-1)+$N$211</f>
        <v>0.40681362725450937</v>
      </c>
      <c r="O212">
        <f>SMALL(SimData1!$E$9:$E$508,204)</f>
        <v>-7.2272126693178507E-2</v>
      </c>
      <c r="P212">
        <f>1/(COUNT(SimData1!$E$9:$E$508)-1)+$P$211</f>
        <v>0.40681362725450937</v>
      </c>
      <c r="Q212">
        <f>SMALL(SimData1!$F$9:$F$508,204)</f>
        <v>0.23</v>
      </c>
      <c r="R212">
        <f>1/(COUNT(SimData1!$F$9:$F$508)-1)+$R$211</f>
        <v>0.40681362725450937</v>
      </c>
      <c r="S212">
        <f>SMALL(SimData1!$G$9:$G$508,204)</f>
        <v>6</v>
      </c>
      <c r="T212">
        <f>1/(COUNT(SimData1!$G$9:$G$508)-1)+$T$211</f>
        <v>0.40681362725450937</v>
      </c>
    </row>
    <row r="213" spans="1:20">
      <c r="A213">
        <v>205</v>
      </c>
      <c r="B213">
        <v>7.894016813452243</v>
      </c>
      <c r="C213">
        <v>7.0773412019585589</v>
      </c>
      <c r="D213">
        <v>5.6317282725571953</v>
      </c>
      <c r="E213">
        <v>-8.7622137112478127E-2</v>
      </c>
      <c r="F213">
        <v>0.23</v>
      </c>
      <c r="G213">
        <v>12</v>
      </c>
      <c r="I213">
        <f>SMALL(SimData1!$B$9:$B$508,205)</f>
        <v>9.3130390824720113</v>
      </c>
      <c r="J213">
        <f>1/(COUNT(SimData1!$B$9:$B$508)-1)+$J$212</f>
        <v>0.40881763527054144</v>
      </c>
      <c r="K213">
        <f>SMALL(SimData1!$C$9:$C$508,205)</f>
        <v>5.2757311338697868</v>
      </c>
      <c r="L213">
        <f>1/(COUNT(SimData1!$C$9:$C$508)-1)+$L$212</f>
        <v>0.40881763527054144</v>
      </c>
      <c r="M213">
        <f>SMALL(SimData1!$D$9:$D$508,205)</f>
        <v>7.1619517330364211</v>
      </c>
      <c r="N213">
        <f>1/(COUNT(SimData1!$D$9:$D$508)-1)+$N$212</f>
        <v>0.40881763527054144</v>
      </c>
      <c r="O213">
        <f>SMALL(SimData1!$E$9:$E$508,205)</f>
        <v>-6.6289843279532246E-2</v>
      </c>
      <c r="P213">
        <f>1/(COUNT(SimData1!$E$9:$E$508)-1)+$P$212</f>
        <v>0.40881763527054144</v>
      </c>
      <c r="Q213">
        <f>SMALL(SimData1!$F$9:$F$508,205)</f>
        <v>0.23</v>
      </c>
      <c r="R213">
        <f>1/(COUNT(SimData1!$F$9:$F$508)-1)+$R$212</f>
        <v>0.40881763527054144</v>
      </c>
      <c r="S213">
        <f>SMALL(SimData1!$G$9:$G$508,205)</f>
        <v>6</v>
      </c>
      <c r="T213">
        <f>1/(COUNT(SimData1!$G$9:$G$508)-1)+$T$212</f>
        <v>0.40881763527054144</v>
      </c>
    </row>
    <row r="214" spans="1:20">
      <c r="A214">
        <v>206</v>
      </c>
      <c r="B214">
        <v>8.1143722634245723</v>
      </c>
      <c r="C214">
        <v>9.4286796556722088</v>
      </c>
      <c r="D214">
        <v>5.1413975954701652</v>
      </c>
      <c r="E214">
        <v>-5.5603342799480426E-2</v>
      </c>
      <c r="F214">
        <v>0.23</v>
      </c>
      <c r="G214">
        <v>12</v>
      </c>
      <c r="I214">
        <f>SMALL(SimData1!$B$9:$B$508,206)</f>
        <v>9.3274006688604416</v>
      </c>
      <c r="J214">
        <f>1/(COUNT(SimData1!$B$9:$B$508)-1)+$J$213</f>
        <v>0.4108216432865735</v>
      </c>
      <c r="K214">
        <f>SMALL(SimData1!$C$9:$C$508,206)</f>
        <v>5.2827104151441509</v>
      </c>
      <c r="L214">
        <f>1/(COUNT(SimData1!$C$9:$C$508)-1)+$L$213</f>
        <v>0.4108216432865735</v>
      </c>
      <c r="M214">
        <f>SMALL(SimData1!$D$9:$D$508,206)</f>
        <v>7.2065917780079385</v>
      </c>
      <c r="N214">
        <f>1/(COUNT(SimData1!$D$9:$D$508)-1)+$N$213</f>
        <v>0.4108216432865735</v>
      </c>
      <c r="O214">
        <f>SMALL(SimData1!$E$9:$E$508,206)</f>
        <v>-5.8320427841626721E-2</v>
      </c>
      <c r="P214">
        <f>1/(COUNT(SimData1!$E$9:$E$508)-1)+$P$213</f>
        <v>0.4108216432865735</v>
      </c>
      <c r="Q214">
        <f>SMALL(SimData1!$F$9:$F$508,206)</f>
        <v>0.23</v>
      </c>
      <c r="R214">
        <f>1/(COUNT(SimData1!$F$9:$F$508)-1)+$R$213</f>
        <v>0.4108216432865735</v>
      </c>
      <c r="S214">
        <f>SMALL(SimData1!$G$9:$G$508,206)</f>
        <v>6</v>
      </c>
      <c r="T214">
        <f>1/(COUNT(SimData1!$G$9:$G$508)-1)+$T$213</f>
        <v>0.4108216432865735</v>
      </c>
    </row>
    <row r="215" spans="1:20">
      <c r="A215">
        <v>207</v>
      </c>
      <c r="B215">
        <v>13.022531363783344</v>
      </c>
      <c r="C215">
        <v>3.1763038665224572</v>
      </c>
      <c r="D215">
        <v>2.4625537825521437</v>
      </c>
      <c r="E215">
        <v>21.539168584792773</v>
      </c>
      <c r="F215">
        <v>0.23</v>
      </c>
      <c r="G215">
        <v>6</v>
      </c>
      <c r="I215">
        <f>SMALL(SimData1!$B$9:$B$508,207)</f>
        <v>9.3350466372524714</v>
      </c>
      <c r="J215">
        <f>1/(COUNT(SimData1!$B$9:$B$508)-1)+$J$214</f>
        <v>0.41282565130260557</v>
      </c>
      <c r="K215">
        <f>SMALL(SimData1!$C$9:$C$508,207)</f>
        <v>5.3097713545741918</v>
      </c>
      <c r="L215">
        <f>1/(COUNT(SimData1!$C$9:$C$508)-1)+$L$214</f>
        <v>0.41282565130260557</v>
      </c>
      <c r="M215">
        <f>SMALL(SimData1!$D$9:$D$508,207)</f>
        <v>7.2745579590356346</v>
      </c>
      <c r="N215">
        <f>1/(COUNT(SimData1!$D$9:$D$508)-1)+$N$214</f>
        <v>0.41282565130260557</v>
      </c>
      <c r="O215">
        <f>SMALL(SimData1!$E$9:$E$508,207)</f>
        <v>-5.5603342799480426E-2</v>
      </c>
      <c r="P215">
        <f>1/(COUNT(SimData1!$E$9:$E$508)-1)+$P$214</f>
        <v>0.41282565130260557</v>
      </c>
      <c r="Q215">
        <f>SMALL(SimData1!$F$9:$F$508,207)</f>
        <v>0.23</v>
      </c>
      <c r="R215">
        <f>1/(COUNT(SimData1!$F$9:$F$508)-1)+$R$214</f>
        <v>0.41282565130260557</v>
      </c>
      <c r="S215">
        <f>SMALL(SimData1!$G$9:$G$508,207)</f>
        <v>6</v>
      </c>
      <c r="T215">
        <f>1/(COUNT(SimData1!$G$9:$G$508)-1)+$T$214</f>
        <v>0.41282565130260557</v>
      </c>
    </row>
    <row r="216" spans="1:20">
      <c r="A216">
        <v>208</v>
      </c>
      <c r="B216">
        <v>11.827092960608685</v>
      </c>
      <c r="C216">
        <v>4.8213141976570046</v>
      </c>
      <c r="D216">
        <v>10.656072579083983</v>
      </c>
      <c r="E216">
        <v>-1.0748363978882562</v>
      </c>
      <c r="F216">
        <v>0.23</v>
      </c>
      <c r="G216">
        <v>10</v>
      </c>
      <c r="I216">
        <f>SMALL(SimData1!$B$9:$B$508,208)</f>
        <v>9.3514961509429035</v>
      </c>
      <c r="J216">
        <f>1/(COUNT(SimData1!$B$9:$B$508)-1)+$J$215</f>
        <v>0.41482965931863763</v>
      </c>
      <c r="K216">
        <f>SMALL(SimData1!$C$9:$C$508,208)</f>
        <v>5.3155468866051052</v>
      </c>
      <c r="L216">
        <f>1/(COUNT(SimData1!$C$9:$C$508)-1)+$L$215</f>
        <v>0.41482965931863763</v>
      </c>
      <c r="M216">
        <f>SMALL(SimData1!$D$9:$D$508,208)</f>
        <v>7.2987259808226312</v>
      </c>
      <c r="N216">
        <f>1/(COUNT(SimData1!$D$9:$D$508)-1)+$N$215</f>
        <v>0.41482965931863763</v>
      </c>
      <c r="O216">
        <f>SMALL(SimData1!$E$9:$E$508,208)</f>
        <v>-5.0044347502418596E-2</v>
      </c>
      <c r="P216">
        <f>1/(COUNT(SimData1!$E$9:$E$508)-1)+$P$215</f>
        <v>0.41482965931863763</v>
      </c>
      <c r="Q216">
        <f>SMALL(SimData1!$F$9:$F$508,208)</f>
        <v>0.23</v>
      </c>
      <c r="R216">
        <f>1/(COUNT(SimData1!$F$9:$F$508)-1)+$R$215</f>
        <v>0.41482965931863763</v>
      </c>
      <c r="S216">
        <f>SMALL(SimData1!$G$9:$G$508,208)</f>
        <v>6</v>
      </c>
      <c r="T216">
        <f>1/(COUNT(SimData1!$G$9:$G$508)-1)+$T$215</f>
        <v>0.41482965931863763</v>
      </c>
    </row>
    <row r="217" spans="1:20">
      <c r="A217">
        <v>209</v>
      </c>
      <c r="B217">
        <v>10.561370365712065</v>
      </c>
      <c r="C217">
        <v>9.9718657033191676</v>
      </c>
      <c r="D217">
        <v>15.648519902641073</v>
      </c>
      <c r="E217">
        <v>0.21093026314953711</v>
      </c>
      <c r="F217">
        <v>0.23</v>
      </c>
      <c r="G217">
        <v>10</v>
      </c>
      <c r="I217">
        <f>SMALL(SimData1!$B$9:$B$508,209)</f>
        <v>9.3743261433100891</v>
      </c>
      <c r="J217">
        <f>1/(COUNT(SimData1!$B$9:$B$508)-1)+$J$216</f>
        <v>0.4168336673346697</v>
      </c>
      <c r="K217">
        <f>SMALL(SimData1!$C$9:$C$508,209)</f>
        <v>5.3322876595007926</v>
      </c>
      <c r="L217">
        <f>1/(COUNT(SimData1!$C$9:$C$508)-1)+$L$216</f>
        <v>0.4168336673346697</v>
      </c>
      <c r="M217">
        <f>SMALL(SimData1!$D$9:$D$508,209)</f>
        <v>7.3414961571668957</v>
      </c>
      <c r="N217">
        <f>1/(COUNT(SimData1!$D$9:$D$508)-1)+$N$216</f>
        <v>0.4168336673346697</v>
      </c>
      <c r="O217">
        <f>SMALL(SimData1!$E$9:$E$508,209)</f>
        <v>-4.3643507480155996E-2</v>
      </c>
      <c r="P217">
        <f>1/(COUNT(SimData1!$E$9:$E$508)-1)+$P$216</f>
        <v>0.4168336673346697</v>
      </c>
      <c r="Q217">
        <f>SMALL(SimData1!$F$9:$F$508,209)</f>
        <v>0.23</v>
      </c>
      <c r="R217">
        <f>1/(COUNT(SimData1!$F$9:$F$508)-1)+$R$216</f>
        <v>0.4168336673346697</v>
      </c>
      <c r="S217">
        <f>SMALL(SimData1!$G$9:$G$508,209)</f>
        <v>6</v>
      </c>
      <c r="T217">
        <f>1/(COUNT(SimData1!$G$9:$G$508)-1)+$T$216</f>
        <v>0.4168336673346697</v>
      </c>
    </row>
    <row r="218" spans="1:20">
      <c r="A218">
        <v>210</v>
      </c>
      <c r="B218">
        <v>10.426054677580257</v>
      </c>
      <c r="C218">
        <v>5.9142580613406039</v>
      </c>
      <c r="D218">
        <v>5.6886642459278614</v>
      </c>
      <c r="E218">
        <v>-0.41622371151157744</v>
      </c>
      <c r="F218">
        <v>0.23</v>
      </c>
      <c r="G218">
        <v>9</v>
      </c>
      <c r="I218">
        <f>SMALL(SimData1!$B$9:$B$508,210)</f>
        <v>9.3801698239802427</v>
      </c>
      <c r="J218">
        <f>1/(COUNT(SimData1!$B$9:$B$508)-1)+$J$217</f>
        <v>0.41883767535070177</v>
      </c>
      <c r="K218">
        <f>SMALL(SimData1!$C$9:$C$508,210)</f>
        <v>5.3596472335009944</v>
      </c>
      <c r="L218">
        <f>1/(COUNT(SimData1!$C$9:$C$508)-1)+$L$217</f>
        <v>0.41883767535070177</v>
      </c>
      <c r="M218">
        <f>SMALL(SimData1!$D$9:$D$508,210)</f>
        <v>7.3942907855180771</v>
      </c>
      <c r="N218">
        <f>1/(COUNT(SimData1!$D$9:$D$508)-1)+$N$217</f>
        <v>0.41883767535070177</v>
      </c>
      <c r="O218">
        <f>SMALL(SimData1!$E$9:$E$508,210)</f>
        <v>-3.0862772018843687E-2</v>
      </c>
      <c r="P218">
        <f>1/(COUNT(SimData1!$E$9:$E$508)-1)+$P$217</f>
        <v>0.41883767535070177</v>
      </c>
      <c r="Q218">
        <f>SMALL(SimData1!$F$9:$F$508,210)</f>
        <v>0.23</v>
      </c>
      <c r="R218">
        <f>1/(COUNT(SimData1!$F$9:$F$508)-1)+$R$217</f>
        <v>0.41883767535070177</v>
      </c>
      <c r="S218">
        <f>SMALL(SimData1!$G$9:$G$508,210)</f>
        <v>6</v>
      </c>
      <c r="T218">
        <f>1/(COUNT(SimData1!$G$9:$G$508)-1)+$T$217</f>
        <v>0.41883767535070177</v>
      </c>
    </row>
    <row r="219" spans="1:20">
      <c r="A219">
        <v>211</v>
      </c>
      <c r="B219">
        <v>7.7094711755691199</v>
      </c>
      <c r="C219">
        <v>9.7933694472651389</v>
      </c>
      <c r="D219">
        <v>5.5287508811617156</v>
      </c>
      <c r="E219">
        <v>23.108869860705823</v>
      </c>
      <c r="F219">
        <v>0.23</v>
      </c>
      <c r="G219">
        <v>6</v>
      </c>
      <c r="I219">
        <f>SMALL(SimData1!$B$9:$B$508,211)</f>
        <v>9.4092842311359242</v>
      </c>
      <c r="J219">
        <f>1/(COUNT(SimData1!$B$9:$B$508)-1)+$J$218</f>
        <v>0.42084168336673383</v>
      </c>
      <c r="K219">
        <f>SMALL(SimData1!$C$9:$C$508,211)</f>
        <v>5.371716267104194</v>
      </c>
      <c r="L219">
        <f>1/(COUNT(SimData1!$C$9:$C$508)-1)+$L$218</f>
        <v>0.42084168336673383</v>
      </c>
      <c r="M219">
        <f>SMALL(SimData1!$D$9:$D$508,211)</f>
        <v>7.4368647771414516</v>
      </c>
      <c r="N219">
        <f>1/(COUNT(SimData1!$D$9:$D$508)-1)+$N$218</f>
        <v>0.42084168336673383</v>
      </c>
      <c r="O219">
        <f>SMALL(SimData1!$E$9:$E$508,211)</f>
        <v>-2.3388842393191611E-2</v>
      </c>
      <c r="P219">
        <f>1/(COUNT(SimData1!$E$9:$E$508)-1)+$P$218</f>
        <v>0.42084168336673383</v>
      </c>
      <c r="Q219">
        <f>SMALL(SimData1!$F$9:$F$508,211)</f>
        <v>0.23</v>
      </c>
      <c r="R219">
        <f>1/(COUNT(SimData1!$F$9:$F$508)-1)+$R$218</f>
        <v>0.42084168336673383</v>
      </c>
      <c r="S219">
        <f>SMALL(SimData1!$G$9:$G$508,211)</f>
        <v>6</v>
      </c>
      <c r="T219">
        <f>1/(COUNT(SimData1!$G$9:$G$508)-1)+$T$218</f>
        <v>0.42084168336673383</v>
      </c>
    </row>
    <row r="220" spans="1:20">
      <c r="A220">
        <v>212</v>
      </c>
      <c r="B220">
        <v>4.368114732074071</v>
      </c>
      <c r="C220">
        <v>6.2496704986229705</v>
      </c>
      <c r="D220">
        <v>10.002961574504841</v>
      </c>
      <c r="E220">
        <v>23.396615874279878</v>
      </c>
      <c r="F220">
        <v>0.23</v>
      </c>
      <c r="G220">
        <v>2</v>
      </c>
      <c r="I220">
        <f>SMALL(SimData1!$B$9:$B$508,212)</f>
        <v>9.4117149954583148</v>
      </c>
      <c r="J220">
        <f>1/(COUNT(SimData1!$B$9:$B$508)-1)+$J$219</f>
        <v>0.4228456913827659</v>
      </c>
      <c r="K220">
        <f>SMALL(SimData1!$C$9:$C$508,212)</f>
        <v>5.3788738226897248</v>
      </c>
      <c r="L220">
        <f>1/(COUNT(SimData1!$C$9:$C$508)-1)+$L$219</f>
        <v>0.4228456913827659</v>
      </c>
      <c r="M220">
        <f>SMALL(SimData1!$D$9:$D$508,212)</f>
        <v>7.4611715297822778</v>
      </c>
      <c r="N220">
        <f>1/(COUNT(SimData1!$D$9:$D$508)-1)+$N$219</f>
        <v>0.4228456913827659</v>
      </c>
      <c r="O220">
        <f>SMALL(SimData1!$E$9:$E$508,212)</f>
        <v>-2.2868085857220999E-2</v>
      </c>
      <c r="P220">
        <f>1/(COUNT(SimData1!$E$9:$E$508)-1)+$P$219</f>
        <v>0.4228456913827659</v>
      </c>
      <c r="Q220">
        <f>SMALL(SimData1!$F$9:$F$508,212)</f>
        <v>0.23</v>
      </c>
      <c r="R220">
        <f>1/(COUNT(SimData1!$F$9:$F$508)-1)+$R$219</f>
        <v>0.4228456913827659</v>
      </c>
      <c r="S220">
        <f>SMALL(SimData1!$G$9:$G$508,212)</f>
        <v>6</v>
      </c>
      <c r="T220">
        <f>1/(COUNT(SimData1!$G$9:$G$508)-1)+$T$219</f>
        <v>0.4228456913827659</v>
      </c>
    </row>
    <row r="221" spans="1:20">
      <c r="A221">
        <v>213</v>
      </c>
      <c r="B221">
        <v>6.9256312402197917</v>
      </c>
      <c r="C221">
        <v>2.7752872310074248</v>
      </c>
      <c r="D221">
        <v>2.6628120734130061</v>
      </c>
      <c r="E221">
        <v>22.927012247168438</v>
      </c>
      <c r="F221">
        <v>0.23</v>
      </c>
      <c r="G221">
        <v>6</v>
      </c>
      <c r="I221">
        <f>SMALL(SimData1!$B$9:$B$508,213)</f>
        <v>9.432603219778418</v>
      </c>
      <c r="J221">
        <f>1/(COUNT(SimData1!$B$9:$B$508)-1)+$J$220</f>
        <v>0.42484969939879796</v>
      </c>
      <c r="K221">
        <f>SMALL(SimData1!$C$9:$C$508,213)</f>
        <v>5.3996855801510826</v>
      </c>
      <c r="L221">
        <f>1/(COUNT(SimData1!$C$9:$C$508)-1)+$L$220</f>
        <v>0.42484969939879796</v>
      </c>
      <c r="M221">
        <f>SMALL(SimData1!$D$9:$D$508,213)</f>
        <v>7.4984526743130884</v>
      </c>
      <c r="N221">
        <f>1/(COUNT(SimData1!$D$9:$D$508)-1)+$N$220</f>
        <v>0.42484969939879796</v>
      </c>
      <c r="O221">
        <f>SMALL(SimData1!$E$9:$E$508,213)</f>
        <v>-1.496750041460615E-2</v>
      </c>
      <c r="P221">
        <f>1/(COUNT(SimData1!$E$9:$E$508)-1)+$P$220</f>
        <v>0.42484969939879796</v>
      </c>
      <c r="Q221">
        <f>SMALL(SimData1!$F$9:$F$508,213)</f>
        <v>0.23</v>
      </c>
      <c r="R221">
        <f>1/(COUNT(SimData1!$F$9:$F$508)-1)+$R$220</f>
        <v>0.42484969939879796</v>
      </c>
      <c r="S221">
        <f>SMALL(SimData1!$G$9:$G$508,213)</f>
        <v>6</v>
      </c>
      <c r="T221">
        <f>1/(COUNT(SimData1!$G$9:$G$508)-1)+$T$220</f>
        <v>0.42484969939879796</v>
      </c>
    </row>
    <row r="222" spans="1:20">
      <c r="A222">
        <v>214</v>
      </c>
      <c r="B222">
        <v>6.535966596091523</v>
      </c>
      <c r="C222">
        <v>8.4591335285704439</v>
      </c>
      <c r="D222">
        <v>5.4525446936722251</v>
      </c>
      <c r="E222">
        <v>-0.57381479506919242</v>
      </c>
      <c r="F222">
        <v>0.23</v>
      </c>
      <c r="G222">
        <v>12</v>
      </c>
      <c r="I222">
        <f>SMALL(SimData1!$B$9:$B$508,214)</f>
        <v>9.4488589818302806</v>
      </c>
      <c r="J222">
        <f>1/(COUNT(SimData1!$B$9:$B$508)-1)+$J$221</f>
        <v>0.42685370741483003</v>
      </c>
      <c r="K222">
        <f>SMALL(SimData1!$C$9:$C$508,214)</f>
        <v>5.4120833854573043</v>
      </c>
      <c r="L222">
        <f>1/(COUNT(SimData1!$C$9:$C$508)-1)+$L$221</f>
        <v>0.42685370741483003</v>
      </c>
      <c r="M222">
        <f>SMALL(SimData1!$D$9:$D$508,214)</f>
        <v>7.5462232089941912</v>
      </c>
      <c r="N222">
        <f>1/(COUNT(SimData1!$D$9:$D$508)-1)+$N$221</f>
        <v>0.42685370741483003</v>
      </c>
      <c r="O222">
        <f>SMALL(SimData1!$E$9:$E$508,214)</f>
        <v>-7.5110354802470081E-3</v>
      </c>
      <c r="P222">
        <f>1/(COUNT(SimData1!$E$9:$E$508)-1)+$P$221</f>
        <v>0.42685370741483003</v>
      </c>
      <c r="Q222">
        <f>SMALL(SimData1!$F$9:$F$508,214)</f>
        <v>0.23</v>
      </c>
      <c r="R222">
        <f>1/(COUNT(SimData1!$F$9:$F$508)-1)+$R$221</f>
        <v>0.42685370741483003</v>
      </c>
      <c r="S222">
        <f>SMALL(SimData1!$G$9:$G$508,214)</f>
        <v>6</v>
      </c>
      <c r="T222">
        <f>1/(COUNT(SimData1!$G$9:$G$508)-1)+$T$221</f>
        <v>0.42685370741483003</v>
      </c>
    </row>
    <row r="223" spans="1:20">
      <c r="A223">
        <v>215</v>
      </c>
      <c r="B223">
        <v>7.4974756625524854</v>
      </c>
      <c r="C223">
        <v>8.292458439112746</v>
      </c>
      <c r="D223">
        <v>11.566486233992148</v>
      </c>
      <c r="E223">
        <v>-9.4807501613049405E-2</v>
      </c>
      <c r="F223">
        <v>0.23</v>
      </c>
      <c r="G223">
        <v>4</v>
      </c>
      <c r="I223">
        <f>SMALL(SimData1!$B$9:$B$508,215)</f>
        <v>9.4695526891308699</v>
      </c>
      <c r="J223">
        <f>1/(COUNT(SimData1!$B$9:$B$508)-1)+$J$222</f>
        <v>0.4288577154308621</v>
      </c>
      <c r="K223">
        <f>SMALL(SimData1!$C$9:$C$508,215)</f>
        <v>5.4354759266887509</v>
      </c>
      <c r="L223">
        <f>1/(COUNT(SimData1!$C$9:$C$508)-1)+$L$222</f>
        <v>0.4288577154308621</v>
      </c>
      <c r="M223">
        <f>SMALL(SimData1!$D$9:$D$508,215)</f>
        <v>7.5796350762107485</v>
      </c>
      <c r="N223">
        <f>1/(COUNT(SimData1!$D$9:$D$508)-1)+$N$222</f>
        <v>0.4288577154308621</v>
      </c>
      <c r="O223">
        <f>SMALL(SimData1!$E$9:$E$508,215)</f>
        <v>5.9858143045410372E-4</v>
      </c>
      <c r="P223">
        <f>1/(COUNT(SimData1!$E$9:$E$508)-1)+$P$222</f>
        <v>0.4288577154308621</v>
      </c>
      <c r="Q223">
        <f>SMALL(SimData1!$F$9:$F$508,215)</f>
        <v>0.23</v>
      </c>
      <c r="R223">
        <f>1/(COUNT(SimData1!$F$9:$F$508)-1)+$R$222</f>
        <v>0.4288577154308621</v>
      </c>
      <c r="S223">
        <f>SMALL(SimData1!$G$9:$G$508,215)</f>
        <v>6</v>
      </c>
      <c r="T223">
        <f>1/(COUNT(SimData1!$G$9:$G$508)-1)+$T$222</f>
        <v>0.4288577154308621</v>
      </c>
    </row>
    <row r="224" spans="1:20">
      <c r="A224">
        <v>216</v>
      </c>
      <c r="B224">
        <v>5.7277076591587468</v>
      </c>
      <c r="C224">
        <v>9.843385931205793</v>
      </c>
      <c r="D224">
        <v>16.300813490671295</v>
      </c>
      <c r="E224">
        <v>23.725841253560482</v>
      </c>
      <c r="F224">
        <v>0.23</v>
      </c>
      <c r="G224">
        <v>2</v>
      </c>
      <c r="I224">
        <f>SMALL(SimData1!$B$9:$B$508,216)</f>
        <v>9.4829670072757981</v>
      </c>
      <c r="J224">
        <f>1/(COUNT(SimData1!$B$9:$B$508)-1)+$J$223</f>
        <v>0.43086172344689416</v>
      </c>
      <c r="K224">
        <f>SMALL(SimData1!$C$9:$C$508,216)</f>
        <v>5.4498092869729291</v>
      </c>
      <c r="L224">
        <f>1/(COUNT(SimData1!$C$9:$C$508)-1)+$L$223</f>
        <v>0.43086172344689416</v>
      </c>
      <c r="M224">
        <f>SMALL(SimData1!$D$9:$D$508,216)</f>
        <v>7.6391694063877624</v>
      </c>
      <c r="N224">
        <f>1/(COUNT(SimData1!$D$9:$D$508)-1)+$N$223</f>
        <v>0.43086172344689416</v>
      </c>
      <c r="O224">
        <f>SMALL(SimData1!$E$9:$E$508,216)</f>
        <v>9.9919223954996195E-3</v>
      </c>
      <c r="P224">
        <f>1/(COUNT(SimData1!$E$9:$E$508)-1)+$P$223</f>
        <v>0.43086172344689416</v>
      </c>
      <c r="Q224">
        <f>SMALL(SimData1!$F$9:$F$508,216)</f>
        <v>0.23</v>
      </c>
      <c r="R224">
        <f>1/(COUNT(SimData1!$F$9:$F$508)-1)+$R$223</f>
        <v>0.43086172344689416</v>
      </c>
      <c r="S224">
        <f>SMALL(SimData1!$G$9:$G$508,216)</f>
        <v>6</v>
      </c>
      <c r="T224">
        <f>1/(COUNT(SimData1!$G$9:$G$508)-1)+$T$223</f>
        <v>0.43086172344689416</v>
      </c>
    </row>
    <row r="225" spans="1:20">
      <c r="A225">
        <v>217</v>
      </c>
      <c r="B225">
        <v>6.0317753711668516</v>
      </c>
      <c r="C225">
        <v>2.3957596820918283</v>
      </c>
      <c r="D225">
        <v>10.063453606219834</v>
      </c>
      <c r="E225">
        <v>0.1771248540381265</v>
      </c>
      <c r="F225">
        <v>0.23</v>
      </c>
      <c r="G225">
        <v>10</v>
      </c>
      <c r="I225">
        <f>SMALL(SimData1!$B$9:$B$508,217)</f>
        <v>9.489703030094482</v>
      </c>
      <c r="J225">
        <f>1/(COUNT(SimData1!$B$9:$B$508)-1)+$J$224</f>
        <v>0.43286573146292623</v>
      </c>
      <c r="K225">
        <f>SMALL(SimData1!$C$9:$C$508,217)</f>
        <v>5.469384077533471</v>
      </c>
      <c r="L225">
        <f>1/(COUNT(SimData1!$C$9:$C$508)-1)+$L$224</f>
        <v>0.43286573146292623</v>
      </c>
      <c r="M225">
        <f>SMALL(SimData1!$D$9:$D$508,217)</f>
        <v>7.6660065542501403</v>
      </c>
      <c r="N225">
        <f>1/(COUNT(SimData1!$D$9:$D$508)-1)+$N$224</f>
        <v>0.43286573146292623</v>
      </c>
      <c r="O225">
        <f>SMALL(SimData1!$E$9:$E$508,217)</f>
        <v>1.7640493689339953E-2</v>
      </c>
      <c r="P225">
        <f>1/(COUNT(SimData1!$E$9:$E$508)-1)+$P$224</f>
        <v>0.43286573146292623</v>
      </c>
      <c r="Q225">
        <f>SMALL(SimData1!$F$9:$F$508,217)</f>
        <v>0.23</v>
      </c>
      <c r="R225">
        <f>1/(COUNT(SimData1!$F$9:$F$508)-1)+$R$224</f>
        <v>0.43286573146292623</v>
      </c>
      <c r="S225">
        <f>SMALL(SimData1!$G$9:$G$508,217)</f>
        <v>6</v>
      </c>
      <c r="T225">
        <f>1/(COUNT(SimData1!$G$9:$G$508)-1)+$T$224</f>
        <v>0.43286573146292623</v>
      </c>
    </row>
    <row r="226" spans="1:20">
      <c r="A226">
        <v>218</v>
      </c>
      <c r="B226">
        <v>7.1181309037444711</v>
      </c>
      <c r="C226">
        <v>9.1134127335570323</v>
      </c>
      <c r="D226">
        <v>15.75851928753185</v>
      </c>
      <c r="E226">
        <v>23.56880316853638</v>
      </c>
      <c r="F226">
        <v>0.23</v>
      </c>
      <c r="G226">
        <v>12</v>
      </c>
      <c r="I226">
        <f>SMALL(SimData1!$B$9:$B$508,218)</f>
        <v>9.5137958188464111</v>
      </c>
      <c r="J226">
        <f>1/(COUNT(SimData1!$B$9:$B$508)-1)+$J$225</f>
        <v>0.43486973947895829</v>
      </c>
      <c r="K226">
        <f>SMALL(SimData1!$C$9:$C$508,218)</f>
        <v>5.4843259919612493</v>
      </c>
      <c r="L226">
        <f>1/(COUNT(SimData1!$C$9:$C$508)-1)+$L$225</f>
        <v>0.43486973947895829</v>
      </c>
      <c r="M226">
        <f>SMALL(SimData1!$D$9:$D$508,218)</f>
        <v>7.7153828420386139</v>
      </c>
      <c r="N226">
        <f>1/(COUNT(SimData1!$D$9:$D$508)-1)+$N$225</f>
        <v>0.43486973947895829</v>
      </c>
      <c r="O226">
        <f>SMALL(SimData1!$E$9:$E$508,218)</f>
        <v>2.1482164719964558E-2</v>
      </c>
      <c r="P226">
        <f>1/(COUNT(SimData1!$E$9:$E$508)-1)+$P$225</f>
        <v>0.43486973947895829</v>
      </c>
      <c r="Q226">
        <f>SMALL(SimData1!$F$9:$F$508,218)</f>
        <v>0.23</v>
      </c>
      <c r="R226">
        <f>1/(COUNT(SimData1!$F$9:$F$508)-1)+$R$225</f>
        <v>0.43486973947895829</v>
      </c>
      <c r="S226">
        <f>SMALL(SimData1!$G$9:$G$508,218)</f>
        <v>6</v>
      </c>
      <c r="T226">
        <f>1/(COUNT(SimData1!$G$9:$G$508)-1)+$T$225</f>
        <v>0.43486973947895829</v>
      </c>
    </row>
    <row r="227" spans="1:20">
      <c r="A227">
        <v>219</v>
      </c>
      <c r="B227">
        <v>8.6427021150596151</v>
      </c>
      <c r="C227">
        <v>5.0855392436193156</v>
      </c>
      <c r="D227">
        <v>2.2189094734831967</v>
      </c>
      <c r="E227">
        <v>23.440381690724191</v>
      </c>
      <c r="F227">
        <v>0.23</v>
      </c>
      <c r="G227">
        <v>12</v>
      </c>
      <c r="I227">
        <f>SMALL(SimData1!$B$9:$B$508,219)</f>
        <v>9.5201389906483893</v>
      </c>
      <c r="J227">
        <f>1/(COUNT(SimData1!$B$9:$B$508)-1)+$J$226</f>
        <v>0.43687374749499036</v>
      </c>
      <c r="K227">
        <f>SMALL(SimData1!$C$9:$C$508,219)</f>
        <v>5.497580076257135</v>
      </c>
      <c r="L227">
        <f>1/(COUNT(SimData1!$C$9:$C$508)-1)+$L$226</f>
        <v>0.43687374749499036</v>
      </c>
      <c r="M227">
        <f>SMALL(SimData1!$D$9:$D$508,219)</f>
        <v>7.757815771763636</v>
      </c>
      <c r="N227">
        <f>1/(COUNT(SimData1!$D$9:$D$508)-1)+$N$226</f>
        <v>0.43687374749499036</v>
      </c>
      <c r="O227">
        <f>SMALL(SimData1!$E$9:$E$508,219)</f>
        <v>3.1033428308560262E-2</v>
      </c>
      <c r="P227">
        <f>1/(COUNT(SimData1!$E$9:$E$508)-1)+$P$226</f>
        <v>0.43687374749499036</v>
      </c>
      <c r="Q227">
        <f>SMALL(SimData1!$F$9:$F$508,219)</f>
        <v>0.23</v>
      </c>
      <c r="R227">
        <f>1/(COUNT(SimData1!$F$9:$F$508)-1)+$R$226</f>
        <v>0.43687374749499036</v>
      </c>
      <c r="S227">
        <f>SMALL(SimData1!$G$9:$G$508,219)</f>
        <v>6</v>
      </c>
      <c r="T227">
        <f>1/(COUNT(SimData1!$G$9:$G$508)-1)+$T$226</f>
        <v>0.43687374749499036</v>
      </c>
    </row>
    <row r="228" spans="1:20">
      <c r="A228">
        <v>220</v>
      </c>
      <c r="B228">
        <v>8.0219734197586607</v>
      </c>
      <c r="C228">
        <v>4.108524765818502</v>
      </c>
      <c r="D228">
        <v>9.9586016040925394</v>
      </c>
      <c r="E228">
        <v>23.940719551691664</v>
      </c>
      <c r="F228">
        <v>0.23</v>
      </c>
      <c r="G228">
        <v>9</v>
      </c>
      <c r="I228">
        <f>SMALL(SimData1!$B$9:$B$508,220)</f>
        <v>9.5355541138640874</v>
      </c>
      <c r="J228">
        <f>1/(COUNT(SimData1!$B$9:$B$508)-1)+$J$227</f>
        <v>0.43887775551102243</v>
      </c>
      <c r="K228">
        <f>SMALL(SimData1!$C$9:$C$508,220)</f>
        <v>5.5111406101042268</v>
      </c>
      <c r="L228">
        <f>1/(COUNT(SimData1!$C$9:$C$508)-1)+$L$227</f>
        <v>0.43887775551102243</v>
      </c>
      <c r="M228">
        <f>SMALL(SimData1!$D$9:$D$508,220)</f>
        <v>7.7751424991654092</v>
      </c>
      <c r="N228">
        <f>1/(COUNT(SimData1!$D$9:$D$508)-1)+$N$227</f>
        <v>0.43887775551102243</v>
      </c>
      <c r="O228">
        <f>SMALL(SimData1!$E$9:$E$508,220)</f>
        <v>3.9679144872980299E-2</v>
      </c>
      <c r="P228">
        <f>1/(COUNT(SimData1!$E$9:$E$508)-1)+$P$227</f>
        <v>0.43887775551102243</v>
      </c>
      <c r="Q228">
        <f>SMALL(SimData1!$F$9:$F$508,220)</f>
        <v>0.23</v>
      </c>
      <c r="R228">
        <f>1/(COUNT(SimData1!$F$9:$F$508)-1)+$R$227</f>
        <v>0.43887775551102243</v>
      </c>
      <c r="S228">
        <f>SMALL(SimData1!$G$9:$G$508,220)</f>
        <v>6</v>
      </c>
      <c r="T228">
        <f>1/(COUNT(SimData1!$G$9:$G$508)-1)+$T$227</f>
        <v>0.43887775551102243</v>
      </c>
    </row>
    <row r="229" spans="1:20">
      <c r="A229">
        <v>221</v>
      </c>
      <c r="B229">
        <v>13.227664208121258</v>
      </c>
      <c r="C229">
        <v>2.4492174914556597</v>
      </c>
      <c r="D229">
        <v>5.4778413639398851</v>
      </c>
      <c r="E229">
        <v>22.215534868785422</v>
      </c>
      <c r="F229">
        <v>0.23</v>
      </c>
      <c r="G229">
        <v>4</v>
      </c>
      <c r="I229">
        <f>SMALL(SimData1!$B$9:$B$508,221)</f>
        <v>9.5516880176217267</v>
      </c>
      <c r="J229">
        <f>1/(COUNT(SimData1!$B$9:$B$508)-1)+$J$228</f>
        <v>0.44088176352705449</v>
      </c>
      <c r="K229">
        <f>SMALL(SimData1!$C$9:$C$508,221)</f>
        <v>5.5343263138528744</v>
      </c>
      <c r="L229">
        <f>1/(COUNT(SimData1!$C$9:$C$508)-1)+$L$228</f>
        <v>0.44088176352705449</v>
      </c>
      <c r="M229">
        <f>SMALL(SimData1!$D$9:$D$508,221)</f>
        <v>7.8273971141566054</v>
      </c>
      <c r="N229">
        <f>1/(COUNT(SimData1!$D$9:$D$508)-1)+$N$228</f>
        <v>0.44088176352705449</v>
      </c>
      <c r="O229">
        <f>SMALL(SimData1!$E$9:$E$508,221)</f>
        <v>4.4097423033834682E-2</v>
      </c>
      <c r="P229">
        <f>1/(COUNT(SimData1!$E$9:$E$508)-1)+$P$228</f>
        <v>0.44088176352705449</v>
      </c>
      <c r="Q229">
        <f>SMALL(SimData1!$F$9:$F$508,221)</f>
        <v>0.23</v>
      </c>
      <c r="R229">
        <f>1/(COUNT(SimData1!$F$9:$F$508)-1)+$R$228</f>
        <v>0.44088176352705449</v>
      </c>
      <c r="S229">
        <f>SMALL(SimData1!$G$9:$G$508,221)</f>
        <v>6</v>
      </c>
      <c r="T229">
        <f>1/(COUNT(SimData1!$G$9:$G$508)-1)+$T$228</f>
        <v>0.44088176352705449</v>
      </c>
    </row>
    <row r="230" spans="1:20">
      <c r="A230">
        <v>222</v>
      </c>
      <c r="B230">
        <v>11.965858425878693</v>
      </c>
      <c r="C230">
        <v>5.7258322964678126</v>
      </c>
      <c r="D230">
        <v>9.5935231272581785</v>
      </c>
      <c r="E230">
        <v>-1.1859054301515841</v>
      </c>
      <c r="F230">
        <v>0.23</v>
      </c>
      <c r="G230">
        <v>2</v>
      </c>
      <c r="I230">
        <f>SMALL(SimData1!$B$9:$B$508,222)</f>
        <v>9.5663451251043377</v>
      </c>
      <c r="J230">
        <f>1/(COUNT(SimData1!$B$9:$B$508)-1)+$J$229</f>
        <v>0.44288577154308656</v>
      </c>
      <c r="K230">
        <f>SMALL(SimData1!$C$9:$C$508,222)</f>
        <v>5.5417092180414382</v>
      </c>
      <c r="L230">
        <f>1/(COUNT(SimData1!$C$9:$C$508)-1)+$L$229</f>
        <v>0.44288577154308656</v>
      </c>
      <c r="M230">
        <f>SMALL(SimData1!$D$9:$D$508,222)</f>
        <v>7.8778937328881335</v>
      </c>
      <c r="N230">
        <f>1/(COUNT(SimData1!$D$9:$D$508)-1)+$N$229</f>
        <v>0.44288577154308656</v>
      </c>
      <c r="O230">
        <f>SMALL(SimData1!$E$9:$E$508,222)</f>
        <v>5.1280328884254933E-2</v>
      </c>
      <c r="P230">
        <f>1/(COUNT(SimData1!$E$9:$E$508)-1)+$P$229</f>
        <v>0.44288577154308656</v>
      </c>
      <c r="Q230">
        <f>SMALL(SimData1!$F$9:$F$508,222)</f>
        <v>0.23</v>
      </c>
      <c r="R230">
        <f>1/(COUNT(SimData1!$F$9:$F$508)-1)+$R$229</f>
        <v>0.44288577154308656</v>
      </c>
      <c r="S230">
        <f>SMALL(SimData1!$G$9:$G$508,222)</f>
        <v>6</v>
      </c>
      <c r="T230">
        <f>1/(COUNT(SimData1!$G$9:$G$508)-1)+$T$229</f>
        <v>0.44288577154308656</v>
      </c>
    </row>
    <row r="231" spans="1:20">
      <c r="A231">
        <v>223</v>
      </c>
      <c r="B231">
        <v>11.108764999974252</v>
      </c>
      <c r="C231">
        <v>8.7570030180562775</v>
      </c>
      <c r="D231">
        <v>10.973217220732295</v>
      </c>
      <c r="E231">
        <v>-0.80594603036222756</v>
      </c>
      <c r="F231">
        <v>0.23</v>
      </c>
      <c r="G231">
        <v>9</v>
      </c>
      <c r="I231">
        <f>SMALL(SimData1!$B$9:$B$508,223)</f>
        <v>9.5789761953824932</v>
      </c>
      <c r="J231">
        <f>1/(COUNT(SimData1!$B$9:$B$508)-1)+$J$230</f>
        <v>0.44488977955911863</v>
      </c>
      <c r="K231">
        <f>SMALL(SimData1!$C$9:$C$508,223)</f>
        <v>5.55670215312501</v>
      </c>
      <c r="L231">
        <f>1/(COUNT(SimData1!$C$9:$C$508)-1)+$L$230</f>
        <v>0.44488977955911863</v>
      </c>
      <c r="M231">
        <f>SMALL(SimData1!$D$9:$D$508,223)</f>
        <v>7.9079629653943613</v>
      </c>
      <c r="N231">
        <f>1/(COUNT(SimData1!$D$9:$D$508)-1)+$N$230</f>
        <v>0.44488977955911863</v>
      </c>
      <c r="O231">
        <f>SMALL(SimData1!$E$9:$E$508,223)</f>
        <v>5.7965552367629902E-2</v>
      </c>
      <c r="P231">
        <f>1/(COUNT(SimData1!$E$9:$E$508)-1)+$P$230</f>
        <v>0.44488977955911863</v>
      </c>
      <c r="Q231">
        <f>SMALL(SimData1!$F$9:$F$508,223)</f>
        <v>0.23</v>
      </c>
      <c r="R231">
        <f>1/(COUNT(SimData1!$F$9:$F$508)-1)+$R$230</f>
        <v>0.44488977955911863</v>
      </c>
      <c r="S231">
        <f>SMALL(SimData1!$G$9:$G$508,223)</f>
        <v>6</v>
      </c>
      <c r="T231">
        <f>1/(COUNT(SimData1!$G$9:$G$508)-1)+$T$230</f>
        <v>0.44488977955911863</v>
      </c>
    </row>
    <row r="232" spans="1:20">
      <c r="A232">
        <v>224</v>
      </c>
      <c r="B232">
        <v>9.3274006688604416</v>
      </c>
      <c r="C232">
        <v>9.9322459063781992</v>
      </c>
      <c r="D232">
        <v>14.780481514872164</v>
      </c>
      <c r="E232">
        <v>-0.27278243368239274</v>
      </c>
      <c r="F232">
        <v>0.23</v>
      </c>
      <c r="G232">
        <v>12</v>
      </c>
      <c r="I232">
        <f>SMALL(SimData1!$B$9:$B$508,224)</f>
        <v>9.6074171490744007</v>
      </c>
      <c r="J232">
        <f>1/(COUNT(SimData1!$B$9:$B$508)-1)+$J$231</f>
        <v>0.44689378757515069</v>
      </c>
      <c r="K232">
        <f>SMALL(SimData1!$C$9:$C$508,224)</f>
        <v>5.5753268022591538</v>
      </c>
      <c r="L232">
        <f>1/(COUNT(SimData1!$C$9:$C$508)-1)+$L$231</f>
        <v>0.44689378757515069</v>
      </c>
      <c r="M232">
        <f>SMALL(SimData1!$D$9:$D$508,224)</f>
        <v>7.9526618831494496</v>
      </c>
      <c r="N232">
        <f>1/(COUNT(SimData1!$D$9:$D$508)-1)+$N$231</f>
        <v>0.44689378757515069</v>
      </c>
      <c r="O232">
        <f>SMALL(SimData1!$E$9:$E$508,224)</f>
        <v>6.2222867824978101E-2</v>
      </c>
      <c r="P232">
        <f>1/(COUNT(SimData1!$E$9:$E$508)-1)+$P$231</f>
        <v>0.44689378757515069</v>
      </c>
      <c r="Q232">
        <f>SMALL(SimData1!$F$9:$F$508,224)</f>
        <v>0.23</v>
      </c>
      <c r="R232">
        <f>1/(COUNT(SimData1!$F$9:$F$508)-1)+$R$231</f>
        <v>0.44689378757515069</v>
      </c>
      <c r="S232">
        <f>SMALL(SimData1!$G$9:$G$508,224)</f>
        <v>6</v>
      </c>
      <c r="T232">
        <f>1/(COUNT(SimData1!$G$9:$G$508)-1)+$T$231</f>
        <v>0.44689378757515069</v>
      </c>
    </row>
    <row r="233" spans="1:20">
      <c r="A233">
        <v>225</v>
      </c>
      <c r="B233">
        <v>5.2097251501975128</v>
      </c>
      <c r="C233">
        <v>6.975661275077532</v>
      </c>
      <c r="D233">
        <v>4.9259581384169771</v>
      </c>
      <c r="E233">
        <v>22.566215971231603</v>
      </c>
      <c r="F233">
        <v>0.23</v>
      </c>
      <c r="G233">
        <v>4</v>
      </c>
      <c r="I233">
        <f>SMALL(SimData1!$B$9:$B$508,225)</f>
        <v>9.6089417976783462</v>
      </c>
      <c r="J233">
        <f>1/(COUNT(SimData1!$B$9:$B$508)-1)+$J$232</f>
        <v>0.44889779559118276</v>
      </c>
      <c r="K233">
        <f>SMALL(SimData1!$C$9:$C$508,225)</f>
        <v>5.5947640978011215</v>
      </c>
      <c r="L233">
        <f>1/(COUNT(SimData1!$C$9:$C$508)-1)+$L$232</f>
        <v>0.44889779559118276</v>
      </c>
      <c r="M233">
        <f>SMALL(SimData1!$D$9:$D$508,225)</f>
        <v>7.9958641959437777</v>
      </c>
      <c r="N233">
        <f>1/(COUNT(SimData1!$D$9:$D$508)-1)+$N$232</f>
        <v>0.44889779559118276</v>
      </c>
      <c r="O233">
        <f>SMALL(SimData1!$E$9:$E$508,225)</f>
        <v>7.2695710655737544E-2</v>
      </c>
      <c r="P233">
        <f>1/(COUNT(SimData1!$E$9:$E$508)-1)+$P$232</f>
        <v>0.44889779559118276</v>
      </c>
      <c r="Q233">
        <f>SMALL(SimData1!$F$9:$F$508,225)</f>
        <v>0.23</v>
      </c>
      <c r="R233">
        <f>1/(COUNT(SimData1!$F$9:$F$508)-1)+$R$232</f>
        <v>0.44889779559118276</v>
      </c>
      <c r="S233">
        <f>SMALL(SimData1!$G$9:$G$508,225)</f>
        <v>6</v>
      </c>
      <c r="T233">
        <f>1/(COUNT(SimData1!$G$9:$G$508)-1)+$T$232</f>
        <v>0.44889779559118276</v>
      </c>
    </row>
    <row r="234" spans="1:20">
      <c r="A234">
        <v>226</v>
      </c>
      <c r="B234">
        <v>7.4638384859006131</v>
      </c>
      <c r="C234">
        <v>7.1348034811054371</v>
      </c>
      <c r="D234">
        <v>2.5628325252520927</v>
      </c>
      <c r="E234">
        <v>6.2222867824978101E-2</v>
      </c>
      <c r="F234">
        <v>0.23</v>
      </c>
      <c r="G234">
        <v>4</v>
      </c>
      <c r="I234">
        <f>SMALL(SimData1!$B$9:$B$508,226)</f>
        <v>9.6273060072164114</v>
      </c>
      <c r="J234">
        <f>1/(COUNT(SimData1!$B$9:$B$508)-1)+$J$233</f>
        <v>0.45090180360721482</v>
      </c>
      <c r="K234">
        <f>SMALL(SimData1!$C$9:$C$508,226)</f>
        <v>5.6144623239744602</v>
      </c>
      <c r="L234">
        <f>1/(COUNT(SimData1!$C$9:$C$508)-1)+$L$233</f>
        <v>0.45090180360721482</v>
      </c>
      <c r="M234">
        <f>SMALL(SimData1!$D$9:$D$508,226)</f>
        <v>8.0360566170597583</v>
      </c>
      <c r="N234">
        <f>1/(COUNT(SimData1!$D$9:$D$508)-1)+$N$233</f>
        <v>0.45090180360721482</v>
      </c>
      <c r="O234">
        <f>SMALL(SimData1!$E$9:$E$508,226)</f>
        <v>7.772811061614604E-2</v>
      </c>
      <c r="P234">
        <f>1/(COUNT(SimData1!$E$9:$E$508)-1)+$P$233</f>
        <v>0.45090180360721482</v>
      </c>
      <c r="Q234">
        <f>SMALL(SimData1!$F$9:$F$508,226)</f>
        <v>0.23</v>
      </c>
      <c r="R234">
        <f>1/(COUNT(SimData1!$F$9:$F$508)-1)+$R$233</f>
        <v>0.45090180360721482</v>
      </c>
      <c r="S234">
        <f>SMALL(SimData1!$G$9:$G$508,226)</f>
        <v>6</v>
      </c>
      <c r="T234">
        <f>1/(COUNT(SimData1!$G$9:$G$508)-1)+$T$233</f>
        <v>0.45090180360721482</v>
      </c>
    </row>
    <row r="235" spans="1:20">
      <c r="A235">
        <v>227</v>
      </c>
      <c r="B235">
        <v>8.7425591023396407</v>
      </c>
      <c r="C235">
        <v>9.7577951656016051</v>
      </c>
      <c r="D235">
        <v>16.574807259143984</v>
      </c>
      <c r="E235">
        <v>-0.55384357875776113</v>
      </c>
      <c r="F235">
        <v>0.23</v>
      </c>
      <c r="G235">
        <v>10</v>
      </c>
      <c r="I235">
        <f>SMALL(SimData1!$B$9:$B$508,227)</f>
        <v>9.6405439236607826</v>
      </c>
      <c r="J235">
        <f>1/(COUNT(SimData1!$B$9:$B$508)-1)+$J$234</f>
        <v>0.45290581162324689</v>
      </c>
      <c r="K235">
        <f>SMALL(SimData1!$C$9:$C$508,227)</f>
        <v>5.6282327782651951</v>
      </c>
      <c r="L235">
        <f>1/(COUNT(SimData1!$C$9:$C$508)-1)+$L$234</f>
        <v>0.45290581162324689</v>
      </c>
      <c r="M235">
        <f>SMALL(SimData1!$D$9:$D$508,227)</f>
        <v>8.0520231052516067</v>
      </c>
      <c r="N235">
        <f>1/(COUNT(SimData1!$D$9:$D$508)-1)+$N$234</f>
        <v>0.45290581162324689</v>
      </c>
      <c r="O235">
        <f>SMALL(SimData1!$E$9:$E$508,227)</f>
        <v>8.4769811976588061E-2</v>
      </c>
      <c r="P235">
        <f>1/(COUNT(SimData1!$E$9:$E$508)-1)+$P$234</f>
        <v>0.45290581162324689</v>
      </c>
      <c r="Q235">
        <f>SMALL(SimData1!$F$9:$F$508,227)</f>
        <v>0.23</v>
      </c>
      <c r="R235">
        <f>1/(COUNT(SimData1!$F$9:$F$508)-1)+$R$234</f>
        <v>0.45290581162324689</v>
      </c>
      <c r="S235">
        <f>SMALL(SimData1!$G$9:$G$508,227)</f>
        <v>6</v>
      </c>
      <c r="T235">
        <f>1/(COUNT(SimData1!$G$9:$G$508)-1)+$T$234</f>
        <v>0.45290581162324689</v>
      </c>
    </row>
    <row r="236" spans="1:20">
      <c r="A236">
        <v>228</v>
      </c>
      <c r="B236">
        <v>14.646797924093669</v>
      </c>
      <c r="C236">
        <v>9.7688187668157784</v>
      </c>
      <c r="D236">
        <v>13.854918289834384</v>
      </c>
      <c r="E236">
        <v>5.1280328884254933E-2</v>
      </c>
      <c r="F236">
        <v>0.23</v>
      </c>
      <c r="G236">
        <v>2</v>
      </c>
      <c r="I236">
        <f>SMALL(SimData1!$B$9:$B$508,228)</f>
        <v>9.6620544809265496</v>
      </c>
      <c r="J236">
        <f>1/(COUNT(SimData1!$B$9:$B$508)-1)+$J$235</f>
        <v>0.45490981963927896</v>
      </c>
      <c r="K236">
        <f>SMALL(SimData1!$C$9:$C$508,228)</f>
        <v>5.6328432453798234</v>
      </c>
      <c r="L236">
        <f>1/(COUNT(SimData1!$C$9:$C$508)-1)+$L$235</f>
        <v>0.45490981963927896</v>
      </c>
      <c r="M236">
        <f>SMALL(SimData1!$D$9:$D$508,228)</f>
        <v>8.1171271149341777</v>
      </c>
      <c r="N236">
        <f>1/(COUNT(SimData1!$D$9:$D$508)-1)+$N$235</f>
        <v>0.45490981963927896</v>
      </c>
      <c r="O236">
        <f>SMALL(SimData1!$E$9:$E$508,228)</f>
        <v>8.9955710722441573E-2</v>
      </c>
      <c r="P236">
        <f>1/(COUNT(SimData1!$E$9:$E$508)-1)+$P$235</f>
        <v>0.45490981963927896</v>
      </c>
      <c r="Q236">
        <f>SMALL(SimData1!$F$9:$F$508,228)</f>
        <v>0.23</v>
      </c>
      <c r="R236">
        <f>1/(COUNT(SimData1!$F$9:$F$508)-1)+$R$235</f>
        <v>0.45490981963927896</v>
      </c>
      <c r="S236">
        <f>SMALL(SimData1!$G$9:$G$508,228)</f>
        <v>6</v>
      </c>
      <c r="T236">
        <f>1/(COUNT(SimData1!$G$9:$G$508)-1)+$T$235</f>
        <v>0.45490981963927896</v>
      </c>
    </row>
    <row r="237" spans="1:20">
      <c r="A237">
        <v>229</v>
      </c>
      <c r="B237">
        <v>8.4109281143985104</v>
      </c>
      <c r="C237">
        <v>7.3818403919874314</v>
      </c>
      <c r="D237">
        <v>7.2987259808226312</v>
      </c>
      <c r="E237">
        <v>-1.3964590451850623</v>
      </c>
      <c r="F237">
        <v>0.23</v>
      </c>
      <c r="G237">
        <v>4</v>
      </c>
      <c r="I237">
        <f>SMALL(SimData1!$B$9:$B$508,229)</f>
        <v>9.6734558415524656</v>
      </c>
      <c r="J237">
        <f>1/(COUNT(SimData1!$B$9:$B$508)-1)+$J$236</f>
        <v>0.45691382765531102</v>
      </c>
      <c r="K237">
        <f>SMALL(SimData1!$C$9:$C$508,229)</f>
        <v>5.6509686880751904</v>
      </c>
      <c r="L237">
        <f>1/(COUNT(SimData1!$C$9:$C$508)-1)+$L$236</f>
        <v>0.45691382765531102</v>
      </c>
      <c r="M237">
        <f>SMALL(SimData1!$D$9:$D$508,229)</f>
        <v>8.121883114781669</v>
      </c>
      <c r="N237">
        <f>1/(COUNT(SimData1!$D$9:$D$508)-1)+$N$236</f>
        <v>0.45691382765531102</v>
      </c>
      <c r="O237">
        <f>SMALL(SimData1!$E$9:$E$508,229)</f>
        <v>0.10130424216704226</v>
      </c>
      <c r="P237">
        <f>1/(COUNT(SimData1!$E$9:$E$508)-1)+$P$236</f>
        <v>0.45691382765531102</v>
      </c>
      <c r="Q237">
        <f>SMALL(SimData1!$F$9:$F$508,229)</f>
        <v>0.23</v>
      </c>
      <c r="R237">
        <f>1/(COUNT(SimData1!$F$9:$F$508)-1)+$R$236</f>
        <v>0.45691382765531102</v>
      </c>
      <c r="S237">
        <f>SMALL(SimData1!$G$9:$G$508,229)</f>
        <v>6</v>
      </c>
      <c r="T237">
        <f>1/(COUNT(SimData1!$G$9:$G$508)-1)+$T$236</f>
        <v>0.45691382765531102</v>
      </c>
    </row>
    <row r="238" spans="1:20">
      <c r="A238">
        <v>230</v>
      </c>
      <c r="B238">
        <v>7.3264937160251158</v>
      </c>
      <c r="C238">
        <v>6.6826246741699578</v>
      </c>
      <c r="D238">
        <v>5.1776483227279151</v>
      </c>
      <c r="E238">
        <v>22.951118521053036</v>
      </c>
      <c r="F238">
        <v>0.23</v>
      </c>
      <c r="G238">
        <v>2</v>
      </c>
      <c r="I238">
        <f>SMALL(SimData1!$B$9:$B$508,230)</f>
        <v>9.6942931684435596</v>
      </c>
      <c r="J238">
        <f>1/(COUNT(SimData1!$B$9:$B$508)-1)+$J$237</f>
        <v>0.45891783567134309</v>
      </c>
      <c r="K238">
        <f>SMALL(SimData1!$C$9:$C$508,230)</f>
        <v>5.6640310365893018</v>
      </c>
      <c r="L238">
        <f>1/(COUNT(SimData1!$C$9:$C$508)-1)+$L$237</f>
        <v>0.45891783567134309</v>
      </c>
      <c r="M238">
        <f>SMALL(SimData1!$D$9:$D$508,230)</f>
        <v>8.1924239943717652</v>
      </c>
      <c r="N238">
        <f>1/(COUNT(SimData1!$D$9:$D$508)-1)+$N$237</f>
        <v>0.45891783567134309</v>
      </c>
      <c r="O238">
        <f>SMALL(SimData1!$E$9:$E$508,230)</f>
        <v>0.1053686781770673</v>
      </c>
      <c r="P238">
        <f>1/(COUNT(SimData1!$E$9:$E$508)-1)+$P$237</f>
        <v>0.45891783567134309</v>
      </c>
      <c r="Q238">
        <f>SMALL(SimData1!$F$9:$F$508,230)</f>
        <v>0.23</v>
      </c>
      <c r="R238">
        <f>1/(COUNT(SimData1!$F$9:$F$508)-1)+$R$237</f>
        <v>0.45891783567134309</v>
      </c>
      <c r="S238">
        <f>SMALL(SimData1!$G$9:$G$508,230)</f>
        <v>6</v>
      </c>
      <c r="T238">
        <f>1/(COUNT(SimData1!$G$9:$G$508)-1)+$T$237</f>
        <v>0.45891783567134309</v>
      </c>
    </row>
    <row r="239" spans="1:20">
      <c r="A239">
        <v>231</v>
      </c>
      <c r="B239">
        <v>8.1362543293276541</v>
      </c>
      <c r="C239">
        <v>9.8886740852074411</v>
      </c>
      <c r="D239">
        <v>9.2336019275844095</v>
      </c>
      <c r="E239">
        <v>22.015599918456232</v>
      </c>
      <c r="F239">
        <v>0.23</v>
      </c>
      <c r="G239">
        <v>12</v>
      </c>
      <c r="I239">
        <f>SMALL(SimData1!$B$9:$B$508,231)</f>
        <v>9.7009674417520593</v>
      </c>
      <c r="J239">
        <f>1/(COUNT(SimData1!$B$9:$B$508)-1)+$J$238</f>
        <v>0.46092184368737515</v>
      </c>
      <c r="K239">
        <f>SMALL(SimData1!$C$9:$C$508,231)</f>
        <v>5.6931914260045602</v>
      </c>
      <c r="L239">
        <f>1/(COUNT(SimData1!$C$9:$C$508)-1)+$L$238</f>
        <v>0.46092184368737515</v>
      </c>
      <c r="M239">
        <f>SMALL(SimData1!$D$9:$D$508,231)</f>
        <v>8.2319250530544501</v>
      </c>
      <c r="N239">
        <f>1/(COUNT(SimData1!$D$9:$D$508)-1)+$N$238</f>
        <v>0.46092184368737515</v>
      </c>
      <c r="O239">
        <f>SMALL(SimData1!$E$9:$E$508,231)</f>
        <v>0.11216934842509119</v>
      </c>
      <c r="P239">
        <f>1/(COUNT(SimData1!$E$9:$E$508)-1)+$P$238</f>
        <v>0.46092184368737515</v>
      </c>
      <c r="Q239">
        <f>SMALL(SimData1!$F$9:$F$508,231)</f>
        <v>0.23</v>
      </c>
      <c r="R239">
        <f>1/(COUNT(SimData1!$F$9:$F$508)-1)+$R$238</f>
        <v>0.46092184368737515</v>
      </c>
      <c r="S239">
        <f>SMALL(SimData1!$G$9:$G$508,231)</f>
        <v>6</v>
      </c>
      <c r="T239">
        <f>1/(COUNT(SimData1!$G$9:$G$508)-1)+$T$238</f>
        <v>0.46092184368737515</v>
      </c>
    </row>
    <row r="240" spans="1:20">
      <c r="A240">
        <v>232</v>
      </c>
      <c r="B240">
        <v>9.5663451251043377</v>
      </c>
      <c r="C240">
        <v>3.8579539451082132</v>
      </c>
      <c r="D240">
        <v>6.8041616488164669</v>
      </c>
      <c r="E240">
        <v>-0.16533769289895206</v>
      </c>
      <c r="F240">
        <v>0.23</v>
      </c>
      <c r="G240">
        <v>9</v>
      </c>
      <c r="I240">
        <f>SMALL(SimData1!$B$9:$B$508,232)</f>
        <v>9.7164576810350702</v>
      </c>
      <c r="J240">
        <f>1/(COUNT(SimData1!$B$9:$B$508)-1)+$J$239</f>
        <v>0.46292585170340722</v>
      </c>
      <c r="K240">
        <f>SMALL(SimData1!$C$9:$C$508,232)</f>
        <v>5.7045713009593477</v>
      </c>
      <c r="L240">
        <f>1/(COUNT(SimData1!$C$9:$C$508)-1)+$L$239</f>
        <v>0.46292585170340722</v>
      </c>
      <c r="M240">
        <f>SMALL(SimData1!$D$9:$D$508,232)</f>
        <v>8.2467421821799931</v>
      </c>
      <c r="N240">
        <f>1/(COUNT(SimData1!$D$9:$D$508)-1)+$N$239</f>
        <v>0.46292585170340722</v>
      </c>
      <c r="O240">
        <f>SMALL(SimData1!$E$9:$E$508,232)</f>
        <v>0.12369545614928024</v>
      </c>
      <c r="P240">
        <f>1/(COUNT(SimData1!$E$9:$E$508)-1)+$P$239</f>
        <v>0.46292585170340722</v>
      </c>
      <c r="Q240">
        <f>SMALL(SimData1!$F$9:$F$508,232)</f>
        <v>0.23</v>
      </c>
      <c r="R240">
        <f>1/(COUNT(SimData1!$F$9:$F$508)-1)+$R$239</f>
        <v>0.46292585170340722</v>
      </c>
      <c r="S240">
        <f>SMALL(SimData1!$G$9:$G$508,232)</f>
        <v>6</v>
      </c>
      <c r="T240">
        <f>1/(COUNT(SimData1!$G$9:$G$508)-1)+$T$239</f>
        <v>0.46292585170340722</v>
      </c>
    </row>
    <row r="241" spans="1:20">
      <c r="A241">
        <v>233</v>
      </c>
      <c r="B241">
        <v>2.9822370721969005</v>
      </c>
      <c r="C241">
        <v>4.0821028516371971</v>
      </c>
      <c r="D241">
        <v>10.675847679502295</v>
      </c>
      <c r="E241">
        <v>23.599139336396945</v>
      </c>
      <c r="F241">
        <v>0.23</v>
      </c>
      <c r="G241">
        <v>10</v>
      </c>
      <c r="I241">
        <f>SMALL(SimData1!$B$9:$B$508,233)</f>
        <v>9.7369597156056518</v>
      </c>
      <c r="J241">
        <f>1/(COUNT(SimData1!$B$9:$B$508)-1)+$J$240</f>
        <v>0.46492985971943929</v>
      </c>
      <c r="K241">
        <f>SMALL(SimData1!$C$9:$C$508,233)</f>
        <v>5.7258322964678126</v>
      </c>
      <c r="L241">
        <f>1/(COUNT(SimData1!$C$9:$C$508)-1)+$L$240</f>
        <v>0.46492985971943929</v>
      </c>
      <c r="M241">
        <f>SMALL(SimData1!$D$9:$D$508,233)</f>
        <v>8.3117301570791113</v>
      </c>
      <c r="N241">
        <f>1/(COUNT(SimData1!$D$9:$D$508)-1)+$N$240</f>
        <v>0.46492985971943929</v>
      </c>
      <c r="O241">
        <f>SMALL(SimData1!$E$9:$E$508,233)</f>
        <v>0.1248922264135357</v>
      </c>
      <c r="P241">
        <f>1/(COUNT(SimData1!$E$9:$E$508)-1)+$P$240</f>
        <v>0.46492985971943929</v>
      </c>
      <c r="Q241">
        <f>SMALL(SimData1!$F$9:$F$508,233)</f>
        <v>0.23</v>
      </c>
      <c r="R241">
        <f>1/(COUNT(SimData1!$F$9:$F$508)-1)+$R$240</f>
        <v>0.46492985971943929</v>
      </c>
      <c r="S241">
        <f>SMALL(SimData1!$G$9:$G$508,233)</f>
        <v>6</v>
      </c>
      <c r="T241">
        <f>1/(COUNT(SimData1!$G$9:$G$508)-1)+$T$240</f>
        <v>0.46492985971943929</v>
      </c>
    </row>
    <row r="242" spans="1:20">
      <c r="A242">
        <v>234</v>
      </c>
      <c r="B242">
        <v>12.958674923460674</v>
      </c>
      <c r="C242">
        <v>9.127054355384562</v>
      </c>
      <c r="D242">
        <v>5.1108267611802614</v>
      </c>
      <c r="E242">
        <v>-1.0303461953123516</v>
      </c>
      <c r="F242">
        <v>0.23</v>
      </c>
      <c r="G242">
        <v>2</v>
      </c>
      <c r="I242">
        <f>SMALL(SimData1!$B$9:$B$508,234)</f>
        <v>9.7581240210718025</v>
      </c>
      <c r="J242">
        <f>1/(COUNT(SimData1!$B$9:$B$508)-1)+$J$241</f>
        <v>0.46693386773547135</v>
      </c>
      <c r="K242">
        <f>SMALL(SimData1!$C$9:$C$508,234)</f>
        <v>5.7319296406889171</v>
      </c>
      <c r="L242">
        <f>1/(COUNT(SimData1!$C$9:$C$508)-1)+$L$241</f>
        <v>0.46693386773547135</v>
      </c>
      <c r="M242">
        <f>SMALL(SimData1!$D$9:$D$508,234)</f>
        <v>8.3200050554424543</v>
      </c>
      <c r="N242">
        <f>1/(COUNT(SimData1!$D$9:$D$508)-1)+$N$241</f>
        <v>0.46693386773547135</v>
      </c>
      <c r="O242">
        <f>SMALL(SimData1!$E$9:$E$508,234)</f>
        <v>0.13258780637866963</v>
      </c>
      <c r="P242">
        <f>1/(COUNT(SimData1!$E$9:$E$508)-1)+$P$241</f>
        <v>0.46693386773547135</v>
      </c>
      <c r="Q242">
        <f>SMALL(SimData1!$F$9:$F$508,234)</f>
        <v>0.23</v>
      </c>
      <c r="R242">
        <f>1/(COUNT(SimData1!$F$9:$F$508)-1)+$R$241</f>
        <v>0.46693386773547135</v>
      </c>
      <c r="S242">
        <f>SMALL(SimData1!$G$9:$G$508,234)</f>
        <v>6</v>
      </c>
      <c r="T242">
        <f>1/(COUNT(SimData1!$G$9:$G$508)-1)+$T$241</f>
        <v>0.46693386773547135</v>
      </c>
    </row>
    <row r="243" spans="1:20">
      <c r="A243">
        <v>235</v>
      </c>
      <c r="B243">
        <v>9.0056226303730753</v>
      </c>
      <c r="C243">
        <v>8.5656818638159145</v>
      </c>
      <c r="D243">
        <v>6.987575633150426</v>
      </c>
      <c r="E243">
        <v>22.799226164740055</v>
      </c>
      <c r="F243">
        <v>0.23</v>
      </c>
      <c r="G243">
        <v>4</v>
      </c>
      <c r="I243">
        <f>SMALL(SimData1!$B$9:$B$508,235)</f>
        <v>9.7681833610217996</v>
      </c>
      <c r="J243">
        <f>1/(COUNT(SimData1!$B$9:$B$508)-1)+$J$242</f>
        <v>0.46893787575150342</v>
      </c>
      <c r="K243">
        <f>SMALL(SimData1!$C$9:$C$508,235)</f>
        <v>5.7454088487516639</v>
      </c>
      <c r="L243">
        <f>1/(COUNT(SimData1!$C$9:$C$508)-1)+$L$242</f>
        <v>0.46893787575150342</v>
      </c>
      <c r="M243">
        <f>SMALL(SimData1!$D$9:$D$508,235)</f>
        <v>8.3851464902854396</v>
      </c>
      <c r="N243">
        <f>1/(COUNT(SimData1!$D$9:$D$508)-1)+$N$242</f>
        <v>0.46893787575150342</v>
      </c>
      <c r="O243">
        <f>SMALL(SimData1!$E$9:$E$508,235)</f>
        <v>0.14132510873771165</v>
      </c>
      <c r="P243">
        <f>1/(COUNT(SimData1!$E$9:$E$508)-1)+$P$242</f>
        <v>0.46893787575150342</v>
      </c>
      <c r="Q243">
        <f>SMALL(SimData1!$F$9:$F$508,235)</f>
        <v>0.23</v>
      </c>
      <c r="R243">
        <f>1/(COUNT(SimData1!$F$9:$F$508)-1)+$R$242</f>
        <v>0.46893787575150342</v>
      </c>
      <c r="S243">
        <f>SMALL(SimData1!$G$9:$G$508,235)</f>
        <v>6</v>
      </c>
      <c r="T243">
        <f>1/(COUNT(SimData1!$G$9:$G$508)-1)+$T$242</f>
        <v>0.46893787575150342</v>
      </c>
    </row>
    <row r="244" spans="1:20">
      <c r="A244">
        <v>236</v>
      </c>
      <c r="B244">
        <v>10.169031357693358</v>
      </c>
      <c r="C244">
        <v>4.7787217108632252</v>
      </c>
      <c r="D244">
        <v>3.5225992232380898</v>
      </c>
      <c r="E244">
        <v>23.040825324018208</v>
      </c>
      <c r="F244">
        <v>0.23</v>
      </c>
      <c r="G244">
        <v>10</v>
      </c>
      <c r="I244">
        <f>SMALL(SimData1!$B$9:$B$508,236)</f>
        <v>9.7829199064440573</v>
      </c>
      <c r="J244">
        <f>1/(COUNT(SimData1!$B$9:$B$508)-1)+$J$243</f>
        <v>0.47094188376753549</v>
      </c>
      <c r="K244">
        <f>SMALL(SimData1!$C$9:$C$508,236)</f>
        <v>5.7707898316333974</v>
      </c>
      <c r="L244">
        <f>1/(COUNT(SimData1!$C$9:$C$508)-1)+$L$243</f>
        <v>0.47094188376753549</v>
      </c>
      <c r="M244">
        <f>SMALL(SimData1!$D$9:$D$508,236)</f>
        <v>8.4353070643253876</v>
      </c>
      <c r="N244">
        <f>1/(COUNT(SimData1!$D$9:$D$508)-1)+$N$243</f>
        <v>0.47094188376753549</v>
      </c>
      <c r="O244">
        <f>SMALL(SimData1!$E$9:$E$508,236)</f>
        <v>0.14820718500133889</v>
      </c>
      <c r="P244">
        <f>1/(COUNT(SimData1!$E$9:$E$508)-1)+$P$243</f>
        <v>0.47094188376753549</v>
      </c>
      <c r="Q244">
        <f>SMALL(SimData1!$F$9:$F$508,236)</f>
        <v>0.23</v>
      </c>
      <c r="R244">
        <f>1/(COUNT(SimData1!$F$9:$F$508)-1)+$R$243</f>
        <v>0.47094188376753549</v>
      </c>
      <c r="S244">
        <f>SMALL(SimData1!$G$9:$G$508,236)</f>
        <v>6</v>
      </c>
      <c r="T244">
        <f>1/(COUNT(SimData1!$G$9:$G$508)-1)+$T$243</f>
        <v>0.47094188376753549</v>
      </c>
    </row>
    <row r="245" spans="1:20">
      <c r="A245">
        <v>237</v>
      </c>
      <c r="B245">
        <v>11.523048057339892</v>
      </c>
      <c r="C245">
        <v>9.9550779553770745</v>
      </c>
      <c r="D245">
        <v>9.8626652428132164</v>
      </c>
      <c r="E245">
        <v>-0.20012727317843737</v>
      </c>
      <c r="F245">
        <v>0.23</v>
      </c>
      <c r="G245">
        <v>6</v>
      </c>
      <c r="I245">
        <f>SMALL(SimData1!$B$9:$B$508,237)</f>
        <v>9.7992745106716441</v>
      </c>
      <c r="J245">
        <f>1/(COUNT(SimData1!$B$9:$B$508)-1)+$J$244</f>
        <v>0.47294589178356755</v>
      </c>
      <c r="K245">
        <f>SMALL(SimData1!$C$9:$C$508,237)</f>
        <v>5.7909515434128584</v>
      </c>
      <c r="L245">
        <f>1/(COUNT(SimData1!$C$9:$C$508)-1)+$L$244</f>
        <v>0.47294589178356755</v>
      </c>
      <c r="M245">
        <f>SMALL(SimData1!$D$9:$D$508,237)</f>
        <v>8.4572421613189483</v>
      </c>
      <c r="N245">
        <f>1/(COUNT(SimData1!$D$9:$D$508)-1)+$N$244</f>
        <v>0.47294589178356755</v>
      </c>
      <c r="O245">
        <f>SMALL(SimData1!$E$9:$E$508,237)</f>
        <v>0.15780490388867974</v>
      </c>
      <c r="P245">
        <f>1/(COUNT(SimData1!$E$9:$E$508)-1)+$P$244</f>
        <v>0.47294589178356755</v>
      </c>
      <c r="Q245">
        <f>SMALL(SimData1!$F$9:$F$508,237)</f>
        <v>0.23</v>
      </c>
      <c r="R245">
        <f>1/(COUNT(SimData1!$F$9:$F$508)-1)+$R$244</f>
        <v>0.47294589178356755</v>
      </c>
      <c r="S245">
        <f>SMALL(SimData1!$G$9:$G$508,237)</f>
        <v>6</v>
      </c>
      <c r="T245">
        <f>1/(COUNT(SimData1!$G$9:$G$508)-1)+$T$244</f>
        <v>0.47294589178356755</v>
      </c>
    </row>
    <row r="246" spans="1:20">
      <c r="A246">
        <v>238</v>
      </c>
      <c r="B246">
        <v>12.793920271718633</v>
      </c>
      <c r="C246">
        <v>4.9605107072518457</v>
      </c>
      <c r="D246">
        <v>11.593347792987093</v>
      </c>
      <c r="E246">
        <v>-1.2917198317804517</v>
      </c>
      <c r="F246">
        <v>0.23</v>
      </c>
      <c r="G246">
        <v>9</v>
      </c>
      <c r="I246">
        <f>SMALL(SimData1!$B$9:$B$508,238)</f>
        <v>9.8187518188220384</v>
      </c>
      <c r="J246">
        <f>1/(COUNT(SimData1!$B$9:$B$508)-1)+$J$245</f>
        <v>0.47494989979959962</v>
      </c>
      <c r="K246">
        <f>SMALL(SimData1!$C$9:$C$508,238)</f>
        <v>5.8021815314242104</v>
      </c>
      <c r="L246">
        <f>1/(COUNT(SimData1!$C$9:$C$508)-1)+$L$245</f>
        <v>0.47494989979959962</v>
      </c>
      <c r="M246">
        <f>SMALL(SimData1!$D$9:$D$508,238)</f>
        <v>8.4856235673571057</v>
      </c>
      <c r="N246">
        <f>1/(COUNT(SimData1!$D$9:$D$508)-1)+$N$245</f>
        <v>0.47494989979959962</v>
      </c>
      <c r="O246">
        <f>SMALL(SimData1!$E$9:$E$508,238)</f>
        <v>0.16249502342633182</v>
      </c>
      <c r="P246">
        <f>1/(COUNT(SimData1!$E$9:$E$508)-1)+$P$245</f>
        <v>0.47494989979959962</v>
      </c>
      <c r="Q246">
        <f>SMALL(SimData1!$F$9:$F$508,238)</f>
        <v>0.23</v>
      </c>
      <c r="R246">
        <f>1/(COUNT(SimData1!$F$9:$F$508)-1)+$R$245</f>
        <v>0.47494989979959962</v>
      </c>
      <c r="S246">
        <f>SMALL(SimData1!$G$9:$G$508,238)</f>
        <v>6</v>
      </c>
      <c r="T246">
        <f>1/(COUNT(SimData1!$G$9:$G$508)-1)+$T$245</f>
        <v>0.47494989979959962</v>
      </c>
    </row>
    <row r="247" spans="1:20">
      <c r="A247">
        <v>239</v>
      </c>
      <c r="B247">
        <v>9.6620544809265496</v>
      </c>
      <c r="C247">
        <v>2.6481363724675346</v>
      </c>
      <c r="D247">
        <v>12.849754659546946</v>
      </c>
      <c r="E247">
        <v>-0.10981957834932299</v>
      </c>
      <c r="F247">
        <v>0.23</v>
      </c>
      <c r="G247">
        <v>9</v>
      </c>
      <c r="I247">
        <f>SMALL(SimData1!$B$9:$B$508,239)</f>
        <v>9.8205061341773092</v>
      </c>
      <c r="J247">
        <f>1/(COUNT(SimData1!$B$9:$B$508)-1)+$J$246</f>
        <v>0.47695390781563168</v>
      </c>
      <c r="K247">
        <f>SMALL(SimData1!$C$9:$C$508,239)</f>
        <v>5.8142506139106693</v>
      </c>
      <c r="L247">
        <f>1/(COUNT(SimData1!$C$9:$C$508)-1)+$L$246</f>
        <v>0.47695390781563168</v>
      </c>
      <c r="M247">
        <f>SMALL(SimData1!$D$9:$D$508,239)</f>
        <v>8.5386475474337686</v>
      </c>
      <c r="N247">
        <f>1/(COUNT(SimData1!$D$9:$D$508)-1)+$N$246</f>
        <v>0.47695390781563168</v>
      </c>
      <c r="O247">
        <f>SMALL(SimData1!$E$9:$E$508,239)</f>
        <v>0.17054973799330009</v>
      </c>
      <c r="P247">
        <f>1/(COUNT(SimData1!$E$9:$E$508)-1)+$P$246</f>
        <v>0.47695390781563168</v>
      </c>
      <c r="Q247">
        <f>SMALL(SimData1!$F$9:$F$508,239)</f>
        <v>0.23</v>
      </c>
      <c r="R247">
        <f>1/(COUNT(SimData1!$F$9:$F$508)-1)+$R$246</f>
        <v>0.47695390781563168</v>
      </c>
      <c r="S247">
        <f>SMALL(SimData1!$G$9:$G$508,239)</f>
        <v>6</v>
      </c>
      <c r="T247">
        <f>1/(COUNT(SimData1!$G$9:$G$508)-1)+$T$246</f>
        <v>0.47695390781563168</v>
      </c>
    </row>
    <row r="248" spans="1:20">
      <c r="A248">
        <v>240</v>
      </c>
      <c r="B248">
        <v>6.4583456314839172</v>
      </c>
      <c r="C248">
        <v>3.258002970064525</v>
      </c>
      <c r="D248">
        <v>11.358522008174685</v>
      </c>
      <c r="E248">
        <v>-0.61322541489053228</v>
      </c>
      <c r="F248">
        <v>0.23</v>
      </c>
      <c r="G248">
        <v>10</v>
      </c>
      <c r="I248">
        <f>SMALL(SimData1!$B$9:$B$508,240)</f>
        <v>9.8433593604322649</v>
      </c>
      <c r="J248">
        <f>1/(COUNT(SimData1!$B$9:$B$508)-1)+$J$247</f>
        <v>0.47895791583166375</v>
      </c>
      <c r="K248">
        <f>SMALL(SimData1!$C$9:$C$508,240)</f>
        <v>5.8281202691579521</v>
      </c>
      <c r="L248">
        <f>1/(COUNT(SimData1!$C$9:$C$508)-1)+$L$247</f>
        <v>0.47895791583166375</v>
      </c>
      <c r="M248">
        <f>SMALL(SimData1!$D$9:$D$508,240)</f>
        <v>8.5921913570147446</v>
      </c>
      <c r="N248">
        <f>1/(COUNT(SimData1!$D$9:$D$508)-1)+$N$247</f>
        <v>0.47895791583166375</v>
      </c>
      <c r="O248">
        <f>SMALL(SimData1!$E$9:$E$508,240)</f>
        <v>0.1771248540381265</v>
      </c>
      <c r="P248">
        <f>1/(COUNT(SimData1!$E$9:$E$508)-1)+$P$247</f>
        <v>0.47895791583166375</v>
      </c>
      <c r="Q248">
        <f>SMALL(SimData1!$F$9:$F$508,240)</f>
        <v>0.23</v>
      </c>
      <c r="R248">
        <f>1/(COUNT(SimData1!$F$9:$F$508)-1)+$R$247</f>
        <v>0.47895791583166375</v>
      </c>
      <c r="S248">
        <f>SMALL(SimData1!$G$9:$G$508,240)</f>
        <v>6</v>
      </c>
      <c r="T248">
        <f>1/(COUNT(SimData1!$G$9:$G$508)-1)+$T$247</f>
        <v>0.47895791583166375</v>
      </c>
    </row>
    <row r="249" spans="1:20">
      <c r="A249">
        <v>241</v>
      </c>
      <c r="B249">
        <v>17.738683843377068</v>
      </c>
      <c r="C249">
        <v>4.7107279203289023</v>
      </c>
      <c r="D249">
        <v>5.4167324481161154</v>
      </c>
      <c r="E249">
        <v>23.994353436219715</v>
      </c>
      <c r="F249">
        <v>0.23</v>
      </c>
      <c r="G249">
        <v>2</v>
      </c>
      <c r="I249">
        <f>SMALL(SimData1!$B$9:$B$508,241)</f>
        <v>9.8612188981226065</v>
      </c>
      <c r="J249">
        <f>1/(COUNT(SimData1!$B$9:$B$508)-1)+$J$248</f>
        <v>0.48096192384769582</v>
      </c>
      <c r="K249">
        <f>SMALL(SimData1!$C$9:$C$508,241)</f>
        <v>5.8477244967351956</v>
      </c>
      <c r="L249">
        <f>1/(COUNT(SimData1!$C$9:$C$508)-1)+$L$248</f>
        <v>0.48096192384769582</v>
      </c>
      <c r="M249">
        <f>SMALL(SimData1!$D$9:$D$508,241)</f>
        <v>8.6251286489761263</v>
      </c>
      <c r="N249">
        <f>1/(COUNT(SimData1!$D$9:$D$508)-1)+$N$248</f>
        <v>0.48096192384769582</v>
      </c>
      <c r="O249">
        <f>SMALL(SimData1!$E$9:$E$508,241)</f>
        <v>0.18673924787384455</v>
      </c>
      <c r="P249">
        <f>1/(COUNT(SimData1!$E$9:$E$508)-1)+$P$248</f>
        <v>0.48096192384769582</v>
      </c>
      <c r="Q249">
        <f>SMALL(SimData1!$F$9:$F$508,241)</f>
        <v>0.23</v>
      </c>
      <c r="R249">
        <f>1/(COUNT(SimData1!$F$9:$F$508)-1)+$R$248</f>
        <v>0.48096192384769582</v>
      </c>
      <c r="S249">
        <f>SMALL(SimData1!$G$9:$G$508,241)</f>
        <v>6</v>
      </c>
      <c r="T249">
        <f>1/(COUNT(SimData1!$G$9:$G$508)-1)+$T$248</f>
        <v>0.48096192384769582</v>
      </c>
    </row>
    <row r="250" spans="1:20">
      <c r="A250">
        <v>242</v>
      </c>
      <c r="B250">
        <v>10.773764379954786</v>
      </c>
      <c r="C250">
        <v>3.6469990619530432</v>
      </c>
      <c r="D250">
        <v>9.0182459081714619</v>
      </c>
      <c r="E250">
        <v>22.379806305569563</v>
      </c>
      <c r="F250">
        <v>0.23</v>
      </c>
      <c r="G250">
        <v>10</v>
      </c>
      <c r="I250">
        <f>SMALL(SimData1!$B$9:$B$508,242)</f>
        <v>9.87083960913289</v>
      </c>
      <c r="J250">
        <f>1/(COUNT(SimData1!$B$9:$B$508)-1)+$J$249</f>
        <v>0.48296593186372788</v>
      </c>
      <c r="K250">
        <f>SMALL(SimData1!$C$9:$C$508,242)</f>
        <v>5.8619794916599011</v>
      </c>
      <c r="L250">
        <f>1/(COUNT(SimData1!$C$9:$C$508)-1)+$L$249</f>
        <v>0.48296593186372788</v>
      </c>
      <c r="M250">
        <f>SMALL(SimData1!$D$9:$D$508,242)</f>
        <v>8.6459360048002409</v>
      </c>
      <c r="N250">
        <f>1/(COUNT(SimData1!$D$9:$D$508)-1)+$N$249</f>
        <v>0.48296593186372788</v>
      </c>
      <c r="O250">
        <f>SMALL(SimData1!$E$9:$E$508,242)</f>
        <v>0.19088122464932211</v>
      </c>
      <c r="P250">
        <f>1/(COUNT(SimData1!$E$9:$E$508)-1)+$P$249</f>
        <v>0.48296593186372788</v>
      </c>
      <c r="Q250">
        <f>SMALL(SimData1!$F$9:$F$508,242)</f>
        <v>0.23</v>
      </c>
      <c r="R250">
        <f>1/(COUNT(SimData1!$F$9:$F$508)-1)+$R$249</f>
        <v>0.48296593186372788</v>
      </c>
      <c r="S250">
        <f>SMALL(SimData1!$G$9:$G$508,242)</f>
        <v>6</v>
      </c>
      <c r="T250">
        <f>1/(COUNT(SimData1!$G$9:$G$508)-1)+$T$249</f>
        <v>0.48296593186372788</v>
      </c>
    </row>
    <row r="251" spans="1:20">
      <c r="A251">
        <v>243</v>
      </c>
      <c r="B251">
        <v>16.278864172825955</v>
      </c>
      <c r="C251">
        <v>9.4216509972991531</v>
      </c>
      <c r="D251">
        <v>6.2020707457368429</v>
      </c>
      <c r="E251">
        <v>-0.83134516670291514</v>
      </c>
      <c r="F251">
        <v>0.23</v>
      </c>
      <c r="G251">
        <v>10</v>
      </c>
      <c r="I251">
        <f>SMALL(SimData1!$B$9:$B$508,243)</f>
        <v>9.8859931691725542</v>
      </c>
      <c r="J251">
        <f>1/(COUNT(SimData1!$B$9:$B$508)-1)+$J$250</f>
        <v>0.48496993987975995</v>
      </c>
      <c r="K251">
        <f>SMALL(SimData1!$C$9:$C$508,243)</f>
        <v>5.8750012287020219</v>
      </c>
      <c r="L251">
        <f>1/(COUNT(SimData1!$C$9:$C$508)-1)+$L$250</f>
        <v>0.48496993987975995</v>
      </c>
      <c r="M251">
        <f>SMALL(SimData1!$D$9:$D$508,243)</f>
        <v>8.7010838425022285</v>
      </c>
      <c r="N251">
        <f>1/(COUNT(SimData1!$D$9:$D$508)-1)+$N$250</f>
        <v>0.48496993987975995</v>
      </c>
      <c r="O251">
        <f>SMALL(SimData1!$E$9:$E$508,243)</f>
        <v>0.19488278730684683</v>
      </c>
      <c r="P251">
        <f>1/(COUNT(SimData1!$E$9:$E$508)-1)+$P$250</f>
        <v>0.48496993987975995</v>
      </c>
      <c r="Q251">
        <f>SMALL(SimData1!$F$9:$F$508,243)</f>
        <v>0.23</v>
      </c>
      <c r="R251">
        <f>1/(COUNT(SimData1!$F$9:$F$508)-1)+$R$250</f>
        <v>0.48496993987975995</v>
      </c>
      <c r="S251">
        <f>SMALL(SimData1!$G$9:$G$508,243)</f>
        <v>6</v>
      </c>
      <c r="T251">
        <f>1/(COUNT(SimData1!$G$9:$G$508)-1)+$T$250</f>
        <v>0.48496993987975995</v>
      </c>
    </row>
    <row r="252" spans="1:20">
      <c r="A252">
        <v>244</v>
      </c>
      <c r="B252">
        <v>9.2054918936546954</v>
      </c>
      <c r="C252">
        <v>9.285539457404413</v>
      </c>
      <c r="D252">
        <v>15.427779279011251</v>
      </c>
      <c r="E252">
        <v>0.14820718500133889</v>
      </c>
      <c r="F252">
        <v>0.23</v>
      </c>
      <c r="G252">
        <v>10</v>
      </c>
      <c r="I252">
        <f>SMALL(SimData1!$B$9:$B$508,244)</f>
        <v>9.9015311131440509</v>
      </c>
      <c r="J252">
        <f>1/(COUNT(SimData1!$B$9:$B$508)-1)+$J$251</f>
        <v>0.48697394789579201</v>
      </c>
      <c r="K252">
        <f>SMALL(SimData1!$C$9:$C$508,244)</f>
        <v>5.8937258159494323</v>
      </c>
      <c r="L252">
        <f>1/(COUNT(SimData1!$C$9:$C$508)-1)+$L$251</f>
        <v>0.48697394789579201</v>
      </c>
      <c r="M252">
        <f>SMALL(SimData1!$D$9:$D$508,244)</f>
        <v>8.7534716460372941</v>
      </c>
      <c r="N252">
        <f>1/(COUNT(SimData1!$D$9:$D$508)-1)+$N$251</f>
        <v>0.48697394789579201</v>
      </c>
      <c r="O252">
        <f>SMALL(SimData1!$E$9:$E$508,244)</f>
        <v>0.20731728691272644</v>
      </c>
      <c r="P252">
        <f>1/(COUNT(SimData1!$E$9:$E$508)-1)+$P$251</f>
        <v>0.48697394789579201</v>
      </c>
      <c r="Q252">
        <f>SMALL(SimData1!$F$9:$F$508,244)</f>
        <v>0.23</v>
      </c>
      <c r="R252">
        <f>1/(COUNT(SimData1!$F$9:$F$508)-1)+$R$251</f>
        <v>0.48697394789579201</v>
      </c>
      <c r="S252">
        <f>SMALL(SimData1!$G$9:$G$508,244)</f>
        <v>6</v>
      </c>
      <c r="T252">
        <f>1/(COUNT(SimData1!$G$9:$G$508)-1)+$T$251</f>
        <v>0.48697394789579201</v>
      </c>
    </row>
    <row r="253" spans="1:20">
      <c r="A253">
        <v>245</v>
      </c>
      <c r="B253">
        <v>12.286711862296038</v>
      </c>
      <c r="C253">
        <v>5.0292964025599183</v>
      </c>
      <c r="D253">
        <v>15.081788387712507</v>
      </c>
      <c r="E253">
        <v>0.17054973799330009</v>
      </c>
      <c r="F253">
        <v>0.23</v>
      </c>
      <c r="G253">
        <v>6</v>
      </c>
      <c r="I253">
        <f>SMALL(SimData1!$B$9:$B$508,245)</f>
        <v>9.9109474283268817</v>
      </c>
      <c r="J253">
        <f>1/(COUNT(SimData1!$B$9:$B$508)-1)+$J$252</f>
        <v>0.48897795591182408</v>
      </c>
      <c r="K253">
        <f>SMALL(SimData1!$C$9:$C$508,245)</f>
        <v>5.9142580613406039</v>
      </c>
      <c r="L253">
        <f>1/(COUNT(SimData1!$C$9:$C$508)-1)+$L$252</f>
        <v>0.48897795591182408</v>
      </c>
      <c r="M253">
        <f>SMALL(SimData1!$D$9:$D$508,245)</f>
        <v>8.7978763476381729</v>
      </c>
      <c r="N253">
        <f>1/(COUNT(SimData1!$D$9:$D$508)-1)+$N$252</f>
        <v>0.48897795591182408</v>
      </c>
      <c r="O253">
        <f>SMALL(SimData1!$E$9:$E$508,245)</f>
        <v>0.21093026314953711</v>
      </c>
      <c r="P253">
        <f>1/(COUNT(SimData1!$E$9:$E$508)-1)+$P$252</f>
        <v>0.48897795591182408</v>
      </c>
      <c r="Q253">
        <f>SMALL(SimData1!$F$9:$F$508,245)</f>
        <v>0.23</v>
      </c>
      <c r="R253">
        <f>1/(COUNT(SimData1!$F$9:$F$508)-1)+$R$252</f>
        <v>0.48897795591182408</v>
      </c>
      <c r="S253">
        <f>SMALL(SimData1!$G$9:$G$508,245)</f>
        <v>6</v>
      </c>
      <c r="T253">
        <f>1/(COUNT(SimData1!$G$9:$G$508)-1)+$T$252</f>
        <v>0.48897795591182408</v>
      </c>
    </row>
    <row r="254" spans="1:20">
      <c r="A254">
        <v>246</v>
      </c>
      <c r="B254">
        <v>4.6295485492624495</v>
      </c>
      <c r="C254">
        <v>3.9703017523480351</v>
      </c>
      <c r="D254">
        <v>9.0914739135083451</v>
      </c>
      <c r="E254">
        <v>0.11216934842509119</v>
      </c>
      <c r="F254">
        <v>0.23</v>
      </c>
      <c r="G254">
        <v>10</v>
      </c>
      <c r="I254">
        <f>SMALL(SimData1!$B$9:$B$508,246)</f>
        <v>9.9349829757641253</v>
      </c>
      <c r="J254">
        <f>1/(COUNT(SimData1!$B$9:$B$508)-1)+$J$253</f>
        <v>0.49098196392785615</v>
      </c>
      <c r="K254">
        <f>SMALL(SimData1!$C$9:$C$508,246)</f>
        <v>5.9312996530968931</v>
      </c>
      <c r="L254">
        <f>1/(COUNT(SimData1!$C$9:$C$508)-1)+$L$253</f>
        <v>0.49098196392785615</v>
      </c>
      <c r="M254">
        <f>SMALL(SimData1!$D$9:$D$508,246)</f>
        <v>8.8383670682083739</v>
      </c>
      <c r="N254">
        <f>1/(COUNT(SimData1!$D$9:$D$508)-1)+$N$253</f>
        <v>0.49098196392785615</v>
      </c>
      <c r="O254">
        <f>SMALL(SimData1!$E$9:$E$508,246)</f>
        <v>0.21829387355039431</v>
      </c>
      <c r="P254">
        <f>1/(COUNT(SimData1!$E$9:$E$508)-1)+$P$253</f>
        <v>0.49098196392785615</v>
      </c>
      <c r="Q254">
        <f>SMALL(SimData1!$F$9:$F$508,246)</f>
        <v>0.23</v>
      </c>
      <c r="R254">
        <f>1/(COUNT(SimData1!$F$9:$F$508)-1)+$R$253</f>
        <v>0.49098196392785615</v>
      </c>
      <c r="S254">
        <f>SMALL(SimData1!$G$9:$G$508,246)</f>
        <v>6</v>
      </c>
      <c r="T254">
        <f>1/(COUNT(SimData1!$G$9:$G$508)-1)+$T$253</f>
        <v>0.49098196392785615</v>
      </c>
    </row>
    <row r="255" spans="1:20">
      <c r="A255">
        <v>247</v>
      </c>
      <c r="B255">
        <v>11.575300065708475</v>
      </c>
      <c r="C255">
        <v>5.237789871742434</v>
      </c>
      <c r="D255">
        <v>7.2065917780079385</v>
      </c>
      <c r="E255">
        <v>22.03115568307123</v>
      </c>
      <c r="F255">
        <v>0.23</v>
      </c>
      <c r="G255">
        <v>4</v>
      </c>
      <c r="I255">
        <f>SMALL(SimData1!$B$9:$B$508,247)</f>
        <v>9.9486820379535885</v>
      </c>
      <c r="J255">
        <f>1/(COUNT(SimData1!$B$9:$B$508)-1)+$J$254</f>
        <v>0.49298597194388821</v>
      </c>
      <c r="K255">
        <f>SMALL(SimData1!$C$9:$C$508,247)</f>
        <v>5.9370625329318134</v>
      </c>
      <c r="L255">
        <f>1/(COUNT(SimData1!$C$9:$C$508)-1)+$L$254</f>
        <v>0.49298597194388821</v>
      </c>
      <c r="M255">
        <f>SMALL(SimData1!$D$9:$D$508,247)</f>
        <v>8.854820777786621</v>
      </c>
      <c r="N255">
        <f>1/(COUNT(SimData1!$D$9:$D$508)-1)+$N$254</f>
        <v>0.49298597194388821</v>
      </c>
      <c r="O255">
        <f>SMALL(SimData1!$E$9:$E$508,247)</f>
        <v>0.22352506230043989</v>
      </c>
      <c r="P255">
        <f>1/(COUNT(SimData1!$E$9:$E$508)-1)+$P$254</f>
        <v>0.49298597194388821</v>
      </c>
      <c r="Q255">
        <f>SMALL(SimData1!$F$9:$F$508,247)</f>
        <v>0.23</v>
      </c>
      <c r="R255">
        <f>1/(COUNT(SimData1!$F$9:$F$508)-1)+$R$254</f>
        <v>0.49298597194388821</v>
      </c>
      <c r="S255">
        <f>SMALL(SimData1!$G$9:$G$508,247)</f>
        <v>6</v>
      </c>
      <c r="T255">
        <f>1/(COUNT(SimData1!$G$9:$G$508)-1)+$T$254</f>
        <v>0.49298597194388821</v>
      </c>
    </row>
    <row r="256" spans="1:20">
      <c r="A256">
        <v>248</v>
      </c>
      <c r="B256">
        <v>5.5983166222292509</v>
      </c>
      <c r="C256">
        <v>8.3476736984838897</v>
      </c>
      <c r="D256">
        <v>13.628724208415655</v>
      </c>
      <c r="E256">
        <v>-0.46957551642549267</v>
      </c>
      <c r="F256">
        <v>0.23</v>
      </c>
      <c r="G256">
        <v>9</v>
      </c>
      <c r="I256">
        <f>SMALL(SimData1!$B$9:$B$508,248)</f>
        <v>9.9659770111339476</v>
      </c>
      <c r="J256">
        <f>1/(COUNT(SimData1!$B$9:$B$508)-1)+$J$255</f>
        <v>0.49498997995992028</v>
      </c>
      <c r="K256">
        <f>SMALL(SimData1!$C$9:$C$508,248)</f>
        <v>5.9628132627482557</v>
      </c>
      <c r="L256">
        <f>1/(COUNT(SimData1!$C$9:$C$508)-1)+$L$255</f>
        <v>0.49498997995992028</v>
      </c>
      <c r="M256">
        <f>SMALL(SimData1!$D$9:$D$508,248)</f>
        <v>8.9163420006251748</v>
      </c>
      <c r="N256">
        <f>1/(COUNT(SimData1!$D$9:$D$508)-1)+$N$255</f>
        <v>0.49498997995992028</v>
      </c>
      <c r="O256">
        <f>SMALL(SimData1!$E$9:$E$508,248)</f>
        <v>0.23405215095305376</v>
      </c>
      <c r="P256">
        <f>1/(COUNT(SimData1!$E$9:$E$508)-1)+$P$255</f>
        <v>0.49498997995992028</v>
      </c>
      <c r="Q256">
        <f>SMALL(SimData1!$F$9:$F$508,248)</f>
        <v>0.23</v>
      </c>
      <c r="R256">
        <f>1/(COUNT(SimData1!$F$9:$F$508)-1)+$R$255</f>
        <v>0.49498997995992028</v>
      </c>
      <c r="S256">
        <f>SMALL(SimData1!$G$9:$G$508,248)</f>
        <v>6</v>
      </c>
      <c r="T256">
        <f>1/(COUNT(SimData1!$G$9:$G$508)-1)+$T$255</f>
        <v>0.49498997995992028</v>
      </c>
    </row>
    <row r="257" spans="1:20">
      <c r="A257">
        <v>249</v>
      </c>
      <c r="B257">
        <v>9.8187518188220384</v>
      </c>
      <c r="C257">
        <v>8.8232984498346454</v>
      </c>
      <c r="D257">
        <v>6.4821395324287332</v>
      </c>
      <c r="E257">
        <v>-1.2573748585039624</v>
      </c>
      <c r="F257">
        <v>0.23</v>
      </c>
      <c r="G257">
        <v>10</v>
      </c>
      <c r="I257">
        <f>SMALL(SimData1!$B$9:$B$508,249)</f>
        <v>9.9740377570264531</v>
      </c>
      <c r="J257">
        <f>1/(COUNT(SimData1!$B$9:$B$508)-1)+$J$256</f>
        <v>0.49699398797595234</v>
      </c>
      <c r="K257">
        <f>SMALL(SimData1!$C$9:$C$508,249)</f>
        <v>5.9691433642024974</v>
      </c>
      <c r="L257">
        <f>1/(COUNT(SimData1!$C$9:$C$508)-1)+$L$256</f>
        <v>0.49699398797595234</v>
      </c>
      <c r="M257">
        <f>SMALL(SimData1!$D$9:$D$508,249)</f>
        <v>8.9344434826389065</v>
      </c>
      <c r="N257">
        <f>1/(COUNT(SimData1!$D$9:$D$508)-1)+$N$256</f>
        <v>0.49699398797595234</v>
      </c>
      <c r="O257">
        <f>SMALL(SimData1!$E$9:$E$508,249)</f>
        <v>0.24144574664041496</v>
      </c>
      <c r="P257">
        <f>1/(COUNT(SimData1!$E$9:$E$508)-1)+$P$256</f>
        <v>0.49699398797595234</v>
      </c>
      <c r="Q257">
        <f>SMALL(SimData1!$F$9:$F$508,249)</f>
        <v>0.23</v>
      </c>
      <c r="R257">
        <f>1/(COUNT(SimData1!$F$9:$F$508)-1)+$R$256</f>
        <v>0.49699398797595234</v>
      </c>
      <c r="S257">
        <f>SMALL(SimData1!$G$9:$G$508,249)</f>
        <v>6</v>
      </c>
      <c r="T257">
        <f>1/(COUNT(SimData1!$G$9:$G$508)-1)+$T$256</f>
        <v>0.49699398797595234</v>
      </c>
    </row>
    <row r="258" spans="1:20">
      <c r="A258">
        <v>250</v>
      </c>
      <c r="B258">
        <v>7.521415029907069</v>
      </c>
      <c r="C258">
        <v>3.4491863732471097</v>
      </c>
      <c r="D258">
        <v>16.964268299612279</v>
      </c>
      <c r="E258">
        <v>-0.63374020130278097</v>
      </c>
      <c r="F258">
        <v>0.23</v>
      </c>
      <c r="G258">
        <v>10</v>
      </c>
      <c r="I258">
        <f>SMALL(SimData1!$B$9:$B$508,250)</f>
        <v>9.9937184461101509</v>
      </c>
      <c r="J258">
        <f>1/(COUNT(SimData1!$B$9:$B$508)-1)+$J$257</f>
        <v>0.49899799599198441</v>
      </c>
      <c r="K258">
        <f>SMALL(SimData1!$C$9:$C$508,250)</f>
        <v>5.9932096460110529</v>
      </c>
      <c r="L258">
        <f>1/(COUNT(SimData1!$C$9:$C$508)-1)+$L$257</f>
        <v>0.49899799599198441</v>
      </c>
      <c r="M258">
        <f>SMALL(SimData1!$D$9:$D$508,250)</f>
        <v>8.9939657731619569</v>
      </c>
      <c r="N258">
        <f>1/(COUNT(SimData1!$D$9:$D$508)-1)+$N$257</f>
        <v>0.49899799599198441</v>
      </c>
      <c r="O258">
        <f>SMALL(SimData1!$E$9:$E$508,250)</f>
        <v>0.24345739668138044</v>
      </c>
      <c r="P258">
        <f>1/(COUNT(SimData1!$E$9:$E$508)-1)+$P$257</f>
        <v>0.49899799599198441</v>
      </c>
      <c r="Q258">
        <f>SMALL(SimData1!$F$9:$F$508,250)</f>
        <v>0.23</v>
      </c>
      <c r="R258">
        <f>1/(COUNT(SimData1!$F$9:$F$508)-1)+$R$257</f>
        <v>0.49899799599198441</v>
      </c>
      <c r="S258">
        <f>SMALL(SimData1!$G$9:$G$508,250)</f>
        <v>6</v>
      </c>
      <c r="T258">
        <f>1/(COUNT(SimData1!$G$9:$G$508)-1)+$T$257</f>
        <v>0.49899799599198441</v>
      </c>
    </row>
    <row r="259" spans="1:20">
      <c r="A259">
        <v>251</v>
      </c>
      <c r="B259">
        <v>5.5184660782527875</v>
      </c>
      <c r="C259">
        <v>6.0829409783973691</v>
      </c>
      <c r="D259">
        <v>12.135822229098487</v>
      </c>
      <c r="E259">
        <v>-0.93986299018585129</v>
      </c>
      <c r="F259">
        <v>0.23</v>
      </c>
      <c r="G259">
        <v>12</v>
      </c>
      <c r="I259">
        <f>SMALL(SimData1!$B$9:$B$508,251)</f>
        <v>10.006030195586909</v>
      </c>
      <c r="J259">
        <f>1/(COUNT(SimData1!$B$9:$B$508)-1)+$J$258</f>
        <v>0.50100200400801642</v>
      </c>
      <c r="K259">
        <f>SMALL(SimData1!$C$9:$C$508,251)</f>
        <v>6.0021155928117489</v>
      </c>
      <c r="L259">
        <f>1/(COUNT(SimData1!$C$9:$C$508)-1)+$L$258</f>
        <v>0.50100200400801642</v>
      </c>
      <c r="M259">
        <f>SMALL(SimData1!$D$9:$D$508,251)</f>
        <v>9.0083947278094456</v>
      </c>
      <c r="N259">
        <f>1/(COUNT(SimData1!$D$9:$D$508)-1)+$N$258</f>
        <v>0.50100200400801642</v>
      </c>
      <c r="O259">
        <f>SMALL(SimData1!$E$9:$E$508,251)</f>
        <v>21.503752467464771</v>
      </c>
      <c r="P259">
        <f>1/(COUNT(SimData1!$E$9:$E$508)-1)+$P$258</f>
        <v>0.50100200400801642</v>
      </c>
      <c r="Q259">
        <f>SMALL(SimData1!$F$9:$F$508,251)</f>
        <v>0.23</v>
      </c>
      <c r="R259">
        <f>1/(COUNT(SimData1!$F$9:$F$508)-1)+$R$258</f>
        <v>0.50100200400801642</v>
      </c>
      <c r="S259">
        <f>SMALL(SimData1!$G$9:$G$508,251)</f>
        <v>9</v>
      </c>
      <c r="T259">
        <f>1/(COUNT(SimData1!$G$9:$G$508)-1)+$T$258</f>
        <v>0.50100200400801642</v>
      </c>
    </row>
    <row r="260" spans="1:20">
      <c r="A260">
        <v>252</v>
      </c>
      <c r="B260">
        <v>8.5044673760768497</v>
      </c>
      <c r="C260">
        <v>9.8356686030876972</v>
      </c>
      <c r="D260">
        <v>18.817695188032857</v>
      </c>
      <c r="E260">
        <v>-0.60620755879033528</v>
      </c>
      <c r="F260">
        <v>0.23</v>
      </c>
      <c r="G260">
        <v>12</v>
      </c>
      <c r="I260">
        <f>SMALL(SimData1!$B$9:$B$508,252)</f>
        <v>10.021684131607891</v>
      </c>
      <c r="J260">
        <f>1/(COUNT(SimData1!$B$9:$B$508)-1)+$J$259</f>
        <v>0.50300601202404849</v>
      </c>
      <c r="K260">
        <f>SMALL(SimData1!$C$9:$C$508,252)</f>
        <v>6.0174589436318398</v>
      </c>
      <c r="L260">
        <f>1/(COUNT(SimData1!$C$9:$C$508)-1)+$L$259</f>
        <v>0.50300601202404849</v>
      </c>
      <c r="M260">
        <f>SMALL(SimData1!$D$9:$D$508,252)</f>
        <v>9.0182459081714619</v>
      </c>
      <c r="N260">
        <f>1/(COUNT(SimData1!$D$9:$D$508)-1)+$N$259</f>
        <v>0.50300601202404849</v>
      </c>
      <c r="O260">
        <f>SMALL(SimData1!$E$9:$E$508,252)</f>
        <v>21.514702344194706</v>
      </c>
      <c r="P260">
        <f>1/(COUNT(SimData1!$E$9:$E$508)-1)+$P$259</f>
        <v>0.50300601202404849</v>
      </c>
      <c r="Q260">
        <f>SMALL(SimData1!$F$9:$F$508,252)</f>
        <v>0.23</v>
      </c>
      <c r="R260">
        <f>1/(COUNT(SimData1!$F$9:$F$508)-1)+$R$259</f>
        <v>0.50300601202404849</v>
      </c>
      <c r="S260">
        <f>SMALL(SimData1!$G$9:$G$508,252)</f>
        <v>9</v>
      </c>
      <c r="T260">
        <f>1/(COUNT(SimData1!$G$9:$G$508)-1)+$T$259</f>
        <v>0.50300601202404849</v>
      </c>
    </row>
    <row r="261" spans="1:20">
      <c r="A261">
        <v>253</v>
      </c>
      <c r="B261">
        <v>9.6734558415524656</v>
      </c>
      <c r="C261">
        <v>8.3980163986193972</v>
      </c>
      <c r="D261">
        <v>12.662110235020076</v>
      </c>
      <c r="E261">
        <v>-0.36714063626531313</v>
      </c>
      <c r="F261">
        <v>0.23</v>
      </c>
      <c r="G261">
        <v>12</v>
      </c>
      <c r="I261">
        <f>SMALL(SimData1!$B$9:$B$508,253)</f>
        <v>10.034479674690253</v>
      </c>
      <c r="J261">
        <f>1/(COUNT(SimData1!$B$9:$B$508)-1)+$J$260</f>
        <v>0.50501002004008055</v>
      </c>
      <c r="K261">
        <f>SMALL(SimData1!$C$9:$C$508,253)</f>
        <v>6.0455608428785483</v>
      </c>
      <c r="L261">
        <f>1/(COUNT(SimData1!$C$9:$C$508)-1)+$L$260</f>
        <v>0.50501002004008055</v>
      </c>
      <c r="M261">
        <f>SMALL(SimData1!$D$9:$D$508,253)</f>
        <v>9.0377287061600313</v>
      </c>
      <c r="N261">
        <f>1/(COUNT(SimData1!$D$9:$D$508)-1)+$N$260</f>
        <v>0.50501002004008055</v>
      </c>
      <c r="O261">
        <f>SMALL(SimData1!$E$9:$E$508,253)</f>
        <v>21.522283449136317</v>
      </c>
      <c r="P261">
        <f>1/(COUNT(SimData1!$E$9:$E$508)-1)+$P$260</f>
        <v>0.50501002004008055</v>
      </c>
      <c r="Q261">
        <f>SMALL(SimData1!$F$9:$F$508,253)</f>
        <v>0.23</v>
      </c>
      <c r="R261">
        <f>1/(COUNT(SimData1!$F$9:$F$508)-1)+$R$260</f>
        <v>0.50501002004008055</v>
      </c>
      <c r="S261">
        <f>SMALL(SimData1!$G$9:$G$508,253)</f>
        <v>9</v>
      </c>
      <c r="T261">
        <f>1/(COUNT(SimData1!$G$9:$G$508)-1)+$T$260</f>
        <v>0.50501002004008055</v>
      </c>
    </row>
    <row r="262" spans="1:20">
      <c r="A262">
        <v>254</v>
      </c>
      <c r="B262">
        <v>15.383482971179019</v>
      </c>
      <c r="C262">
        <v>5.497580076257135</v>
      </c>
      <c r="D262">
        <v>16.797927303114424</v>
      </c>
      <c r="E262">
        <v>-8.1719071470068405E-2</v>
      </c>
      <c r="F262">
        <v>0.23</v>
      </c>
      <c r="G262">
        <v>10</v>
      </c>
      <c r="I262">
        <f>SMALL(SimData1!$B$9:$B$508,254)</f>
        <v>10.051146183302803</v>
      </c>
      <c r="J262">
        <f>1/(COUNT(SimData1!$B$9:$B$508)-1)+$J$261</f>
        <v>0.50701402805611262</v>
      </c>
      <c r="K262">
        <f>SMALL(SimData1!$C$9:$C$508,254)</f>
        <v>6.0495224845673707</v>
      </c>
      <c r="L262">
        <f>1/(COUNT(SimData1!$C$9:$C$508)-1)+$L$261</f>
        <v>0.50701402805611262</v>
      </c>
      <c r="M262">
        <f>SMALL(SimData1!$D$9:$D$508,254)</f>
        <v>9.0554449956024641</v>
      </c>
      <c r="N262">
        <f>1/(COUNT(SimData1!$D$9:$D$508)-1)+$N$261</f>
        <v>0.50701402805611262</v>
      </c>
      <c r="O262">
        <f>SMALL(SimData1!$E$9:$E$508,254)</f>
        <v>21.539168584792773</v>
      </c>
      <c r="P262">
        <f>1/(COUNT(SimData1!$E$9:$E$508)-1)+$P$261</f>
        <v>0.50701402805611262</v>
      </c>
      <c r="Q262">
        <f>SMALL(SimData1!$F$9:$F$508,254)</f>
        <v>0.23</v>
      </c>
      <c r="R262">
        <f>1/(COUNT(SimData1!$F$9:$F$508)-1)+$R$261</f>
        <v>0.50701402805611262</v>
      </c>
      <c r="S262">
        <f>SMALL(SimData1!$G$9:$G$508,254)</f>
        <v>9</v>
      </c>
      <c r="T262">
        <f>1/(COUNT(SimData1!$G$9:$G$508)-1)+$T$261</f>
        <v>0.50701402805611262</v>
      </c>
    </row>
    <row r="263" spans="1:20">
      <c r="A263">
        <v>255</v>
      </c>
      <c r="B263">
        <v>2.100617683344506</v>
      </c>
      <c r="C263">
        <v>9.0290208534125753</v>
      </c>
      <c r="D263">
        <v>14.539910909448729</v>
      </c>
      <c r="E263">
        <v>-0.92137356535435255</v>
      </c>
      <c r="F263">
        <v>0.23</v>
      </c>
      <c r="G263">
        <v>10</v>
      </c>
      <c r="I263">
        <f>SMALL(SimData1!$B$9:$B$508,255)</f>
        <v>10.060631682582644</v>
      </c>
      <c r="J263">
        <f>1/(COUNT(SimData1!$B$9:$B$508)-1)+$J$262</f>
        <v>0.50901803607214469</v>
      </c>
      <c r="K263">
        <f>SMALL(SimData1!$C$9:$C$508,255)</f>
        <v>6.0732353075019168</v>
      </c>
      <c r="L263">
        <f>1/(COUNT(SimData1!$C$9:$C$508)-1)+$L$262</f>
        <v>0.50901803607214469</v>
      </c>
      <c r="M263">
        <f>SMALL(SimData1!$D$9:$D$508,255)</f>
        <v>9.0733439646943808</v>
      </c>
      <c r="N263">
        <f>1/(COUNT(SimData1!$D$9:$D$508)-1)+$N$262</f>
        <v>0.50901803607214469</v>
      </c>
      <c r="O263">
        <f>SMALL(SimData1!$E$9:$E$508,255)</f>
        <v>21.548907284394186</v>
      </c>
      <c r="P263">
        <f>1/(COUNT(SimData1!$E$9:$E$508)-1)+$P$262</f>
        <v>0.50901803607214469</v>
      </c>
      <c r="Q263">
        <f>SMALL(SimData1!$F$9:$F$508,255)</f>
        <v>0.23</v>
      </c>
      <c r="R263">
        <f>1/(COUNT(SimData1!$F$9:$F$508)-1)+$R$262</f>
        <v>0.50901803607214469</v>
      </c>
      <c r="S263">
        <f>SMALL(SimData1!$G$9:$G$508,255)</f>
        <v>9</v>
      </c>
      <c r="T263">
        <f>1/(COUNT(SimData1!$G$9:$G$508)-1)+$T$262</f>
        <v>0.50901803607214469</v>
      </c>
    </row>
    <row r="264" spans="1:20">
      <c r="A264">
        <v>256</v>
      </c>
      <c r="B264">
        <v>7.1432092570508505</v>
      </c>
      <c r="C264">
        <v>5.9691433642024974</v>
      </c>
      <c r="D264">
        <v>2.452184235659471</v>
      </c>
      <c r="E264">
        <v>22.712415779157983</v>
      </c>
      <c r="F264">
        <v>0.23</v>
      </c>
      <c r="G264">
        <v>4</v>
      </c>
      <c r="I264">
        <f>SMALL(SimData1!$B$9:$B$508,256)</f>
        <v>10.084847079812512</v>
      </c>
      <c r="J264">
        <f>1/(COUNT(SimData1!$B$9:$B$508)-1)+$J$263</f>
        <v>0.51102204408817675</v>
      </c>
      <c r="K264">
        <f>SMALL(SimData1!$C$9:$C$508,256)</f>
        <v>6.0829409783973691</v>
      </c>
      <c r="L264">
        <f>1/(COUNT(SimData1!$C$9:$C$508)-1)+$L$263</f>
        <v>0.51102204408817675</v>
      </c>
      <c r="M264">
        <f>SMALL(SimData1!$D$9:$D$508,256)</f>
        <v>9.0914739135083451</v>
      </c>
      <c r="N264">
        <f>1/(COUNT(SimData1!$D$9:$D$508)-1)+$N$263</f>
        <v>0.51102204408817675</v>
      </c>
      <c r="O264">
        <f>SMALL(SimData1!$E$9:$E$508,256)</f>
        <v>21.557991411674127</v>
      </c>
      <c r="P264">
        <f>1/(COUNT(SimData1!$E$9:$E$508)-1)+$P$263</f>
        <v>0.51102204408817675</v>
      </c>
      <c r="Q264">
        <f>SMALL(SimData1!$F$9:$F$508,256)</f>
        <v>0.23</v>
      </c>
      <c r="R264">
        <f>1/(COUNT(SimData1!$F$9:$F$508)-1)+$R$263</f>
        <v>0.51102204408817675</v>
      </c>
      <c r="S264">
        <f>SMALL(SimData1!$G$9:$G$508,256)</f>
        <v>9</v>
      </c>
      <c r="T264">
        <f>1/(COUNT(SimData1!$G$9:$G$508)-1)+$T$263</f>
        <v>0.51102204408817675</v>
      </c>
    </row>
    <row r="265" spans="1:20">
      <c r="A265">
        <v>257</v>
      </c>
      <c r="B265">
        <v>4.7826437121984009</v>
      </c>
      <c r="C265">
        <v>7.8563295138181024</v>
      </c>
      <c r="D265">
        <v>8.7010838425022285</v>
      </c>
      <c r="E265">
        <v>22.938906827872952</v>
      </c>
      <c r="F265">
        <v>0.23</v>
      </c>
      <c r="G265">
        <v>2</v>
      </c>
      <c r="I265">
        <f>SMALL(SimData1!$B$9:$B$508,257)</f>
        <v>10.0930338380505</v>
      </c>
      <c r="J265">
        <f>1/(COUNT(SimData1!$B$9:$B$508)-1)+$J$264</f>
        <v>0.51302605210420882</v>
      </c>
      <c r="K265">
        <f>SMALL(SimData1!$C$9:$C$508,257)</f>
        <v>6.1063349748352396</v>
      </c>
      <c r="L265">
        <f>1/(COUNT(SimData1!$C$9:$C$508)-1)+$L$264</f>
        <v>0.51302605210420882</v>
      </c>
      <c r="M265">
        <f>SMALL(SimData1!$D$9:$D$508,257)</f>
        <v>9.0999451793404162</v>
      </c>
      <c r="N265">
        <f>1/(COUNT(SimData1!$D$9:$D$508)-1)+$N$264</f>
        <v>0.51302605210420882</v>
      </c>
      <c r="O265">
        <f>SMALL(SimData1!$E$9:$E$508,257)</f>
        <v>21.563015940631022</v>
      </c>
      <c r="P265">
        <f>1/(COUNT(SimData1!$E$9:$E$508)-1)+$P$264</f>
        <v>0.51302605210420882</v>
      </c>
      <c r="Q265">
        <f>SMALL(SimData1!$F$9:$F$508,257)</f>
        <v>0.23</v>
      </c>
      <c r="R265">
        <f>1/(COUNT(SimData1!$F$9:$F$508)-1)+$R$264</f>
        <v>0.51302605210420882</v>
      </c>
      <c r="S265">
        <f>SMALL(SimData1!$G$9:$G$508,257)</f>
        <v>9</v>
      </c>
      <c r="T265">
        <f>1/(COUNT(SimData1!$G$9:$G$508)-1)+$T$264</f>
        <v>0.51302605210420882</v>
      </c>
    </row>
    <row r="266" spans="1:20">
      <c r="A266">
        <v>258</v>
      </c>
      <c r="B266">
        <v>5.4727918421219552</v>
      </c>
      <c r="C266">
        <v>4.8704614687688785</v>
      </c>
      <c r="D266">
        <v>10.745128393832857</v>
      </c>
      <c r="E266">
        <v>23.020006682957089</v>
      </c>
      <c r="F266">
        <v>0.23</v>
      </c>
      <c r="G266">
        <v>9</v>
      </c>
      <c r="I266">
        <f>SMALL(SimData1!$B$9:$B$508,258)</f>
        <v>10.109688875541456</v>
      </c>
      <c r="J266">
        <f>1/(COUNT(SimData1!$B$9:$B$508)-1)+$J$265</f>
        <v>0.51503006012024088</v>
      </c>
      <c r="K266">
        <f>SMALL(SimData1!$C$9:$C$508,258)</f>
        <v>6.126929926737894</v>
      </c>
      <c r="L266">
        <f>1/(COUNT(SimData1!$C$9:$C$508)-1)+$L$265</f>
        <v>0.51503006012024088</v>
      </c>
      <c r="M266">
        <f>SMALL(SimData1!$D$9:$D$508,258)</f>
        <v>9.1137180711780026</v>
      </c>
      <c r="N266">
        <f>1/(COUNT(SimData1!$D$9:$D$508)-1)+$N$265</f>
        <v>0.51503006012024088</v>
      </c>
      <c r="O266">
        <f>SMALL(SimData1!$E$9:$E$508,258)</f>
        <v>21.573926914643266</v>
      </c>
      <c r="P266">
        <f>1/(COUNT(SimData1!$E$9:$E$508)-1)+$P$265</f>
        <v>0.51503006012024088</v>
      </c>
      <c r="Q266">
        <f>SMALL(SimData1!$F$9:$F$508,258)</f>
        <v>0.23</v>
      </c>
      <c r="R266">
        <f>1/(COUNT(SimData1!$F$9:$F$508)-1)+$R$265</f>
        <v>0.51503006012024088</v>
      </c>
      <c r="S266">
        <f>SMALL(SimData1!$G$9:$G$508,258)</f>
        <v>9</v>
      </c>
      <c r="T266">
        <f>1/(COUNT(SimData1!$G$9:$G$508)-1)+$T$265</f>
        <v>0.51503006012024088</v>
      </c>
    </row>
    <row r="267" spans="1:20">
      <c r="A267">
        <v>259</v>
      </c>
      <c r="B267">
        <v>11.571651078509175</v>
      </c>
      <c r="C267">
        <v>7.3116463735326294</v>
      </c>
      <c r="D267">
        <v>5.3163203824712717</v>
      </c>
      <c r="E267">
        <v>-1.2799549691052954</v>
      </c>
      <c r="F267">
        <v>0.23</v>
      </c>
      <c r="G267">
        <v>4</v>
      </c>
      <c r="I267">
        <f>SMALL(SimData1!$B$9:$B$508,259)</f>
        <v>10.130741694777869</v>
      </c>
      <c r="J267">
        <f>1/(COUNT(SimData1!$B$9:$B$508)-1)+$J$266</f>
        <v>0.51703406813627295</v>
      </c>
      <c r="K267">
        <f>SMALL(SimData1!$C$9:$C$508,259)</f>
        <v>6.1369233094735351</v>
      </c>
      <c r="L267">
        <f>1/(COUNT(SimData1!$C$9:$C$508)-1)+$L$266</f>
        <v>0.51703406813627295</v>
      </c>
      <c r="M267">
        <f>SMALL(SimData1!$D$9:$D$508,259)</f>
        <v>9.1317664841608526</v>
      </c>
      <c r="N267">
        <f>1/(COUNT(SimData1!$D$9:$D$508)-1)+$N$266</f>
        <v>0.51703406813627295</v>
      </c>
      <c r="O267">
        <f>SMALL(SimData1!$E$9:$E$508,259)</f>
        <v>21.58455736329676</v>
      </c>
      <c r="P267">
        <f>1/(COUNT(SimData1!$E$9:$E$508)-1)+$P$266</f>
        <v>0.51703406813627295</v>
      </c>
      <c r="Q267">
        <f>SMALL(SimData1!$F$9:$F$508,259)</f>
        <v>0.23</v>
      </c>
      <c r="R267">
        <f>1/(COUNT(SimData1!$F$9:$F$508)-1)+$R$266</f>
        <v>0.51703406813627295</v>
      </c>
      <c r="S267">
        <f>SMALL(SimData1!$G$9:$G$508,259)</f>
        <v>9</v>
      </c>
      <c r="T267">
        <f>1/(COUNT(SimData1!$G$9:$G$508)-1)+$T$266</f>
        <v>0.51703406813627295</v>
      </c>
    </row>
    <row r="268" spans="1:20">
      <c r="A268">
        <v>260</v>
      </c>
      <c r="B268">
        <v>14.760923636964213</v>
      </c>
      <c r="C268">
        <v>3.1479905959470176</v>
      </c>
      <c r="D268">
        <v>3.483241153928275</v>
      </c>
      <c r="E268">
        <v>-1.150211452763547</v>
      </c>
      <c r="F268">
        <v>0.23</v>
      </c>
      <c r="G268">
        <v>2</v>
      </c>
      <c r="I268">
        <f>SMALL(SimData1!$B$9:$B$508,260)</f>
        <v>10.139832695580704</v>
      </c>
      <c r="J268">
        <f>1/(COUNT(SimData1!$B$9:$B$508)-1)+$J$267</f>
        <v>0.51903807615230502</v>
      </c>
      <c r="K268">
        <f>SMALL(SimData1!$C$9:$C$508,260)</f>
        <v>6.1456849283877952</v>
      </c>
      <c r="L268">
        <f>1/(COUNT(SimData1!$C$9:$C$508)-1)+$L$267</f>
        <v>0.51903807615230502</v>
      </c>
      <c r="M268">
        <f>SMALL(SimData1!$D$9:$D$508,260)</f>
        <v>9.1519219568241201</v>
      </c>
      <c r="N268">
        <f>1/(COUNT(SimData1!$D$9:$D$508)-1)+$N$267</f>
        <v>0.51903807615230502</v>
      </c>
      <c r="O268">
        <f>SMALL(SimData1!$E$9:$E$508,260)</f>
        <v>21.598335407052996</v>
      </c>
      <c r="P268">
        <f>1/(COUNT(SimData1!$E$9:$E$508)-1)+$P$267</f>
        <v>0.51903807615230502</v>
      </c>
      <c r="Q268">
        <f>SMALL(SimData1!$F$9:$F$508,260)</f>
        <v>0.23</v>
      </c>
      <c r="R268">
        <f>1/(COUNT(SimData1!$F$9:$F$508)-1)+$R$267</f>
        <v>0.51903807615230502</v>
      </c>
      <c r="S268">
        <f>SMALL(SimData1!$G$9:$G$508,260)</f>
        <v>9</v>
      </c>
      <c r="T268">
        <f>1/(COUNT(SimData1!$G$9:$G$508)-1)+$T$267</f>
        <v>0.51903807615230502</v>
      </c>
    </row>
    <row r="269" spans="1:20">
      <c r="A269">
        <v>261</v>
      </c>
      <c r="B269">
        <v>10.034479674690253</v>
      </c>
      <c r="C269">
        <v>7.0504245203124416</v>
      </c>
      <c r="D269">
        <v>14.634958452579323</v>
      </c>
      <c r="E269">
        <v>-1.4344969079179666</v>
      </c>
      <c r="F269">
        <v>0.23</v>
      </c>
      <c r="G269">
        <v>12</v>
      </c>
      <c r="I269">
        <f>SMALL(SimData1!$B$9:$B$508,261)</f>
        <v>10.16019722716011</v>
      </c>
      <c r="J269">
        <f>1/(COUNT(SimData1!$B$9:$B$508)-1)+$J$268</f>
        <v>0.52104208416833708</v>
      </c>
      <c r="K269">
        <f>SMALL(SimData1!$C$9:$C$508,261)</f>
        <v>6.1752954914232943</v>
      </c>
      <c r="L269">
        <f>1/(COUNT(SimData1!$C$9:$C$508)-1)+$L$268</f>
        <v>0.52104208416833708</v>
      </c>
      <c r="M269">
        <f>SMALL(SimData1!$D$9:$D$508,261)</f>
        <v>9.1657748245684836</v>
      </c>
      <c r="N269">
        <f>1/(COUNT(SimData1!$D$9:$D$508)-1)+$N$268</f>
        <v>0.52104208416833708</v>
      </c>
      <c r="O269">
        <f>SMALL(SimData1!$E$9:$E$508,261)</f>
        <v>21.600461128091712</v>
      </c>
      <c r="P269">
        <f>1/(COUNT(SimData1!$E$9:$E$508)-1)+$P$268</f>
        <v>0.52104208416833708</v>
      </c>
      <c r="Q269">
        <f>SMALL(SimData1!$F$9:$F$508,261)</f>
        <v>0.23</v>
      </c>
      <c r="R269">
        <f>1/(COUNT(SimData1!$F$9:$F$508)-1)+$R$268</f>
        <v>0.52104208416833708</v>
      </c>
      <c r="S269">
        <f>SMALL(SimData1!$G$9:$G$508,261)</f>
        <v>9</v>
      </c>
      <c r="T269">
        <f>1/(COUNT(SimData1!$G$9:$G$508)-1)+$T$268</f>
        <v>0.52104208416833708</v>
      </c>
    </row>
    <row r="270" spans="1:20">
      <c r="A270">
        <v>262</v>
      </c>
      <c r="B270">
        <v>13.27276782072472</v>
      </c>
      <c r="C270">
        <v>2.0668621981076107</v>
      </c>
      <c r="D270">
        <v>2.192572913717612</v>
      </c>
      <c r="E270">
        <v>21.851039485603891</v>
      </c>
      <c r="F270">
        <v>0.23</v>
      </c>
      <c r="G270">
        <v>6</v>
      </c>
      <c r="I270">
        <f>SMALL(SimData1!$B$9:$B$508,262)</f>
        <v>10.169031357693358</v>
      </c>
      <c r="J270">
        <f>1/(COUNT(SimData1!$B$9:$B$508)-1)+$J$269</f>
        <v>0.52304609218436915</v>
      </c>
      <c r="K270">
        <f>SMALL(SimData1!$C$9:$C$508,262)</f>
        <v>6.1842356707361139</v>
      </c>
      <c r="L270">
        <f>1/(COUNT(SimData1!$C$9:$C$508)-1)+$L$269</f>
        <v>0.52304609218436915</v>
      </c>
      <c r="M270">
        <f>SMALL(SimData1!$D$9:$D$508,262)</f>
        <v>9.189057543876828</v>
      </c>
      <c r="N270">
        <f>1/(COUNT(SimData1!$D$9:$D$508)-1)+$N$269</f>
        <v>0.52304609218436915</v>
      </c>
      <c r="O270">
        <f>SMALL(SimData1!$E$9:$E$508,262)</f>
        <v>21.613582405882291</v>
      </c>
      <c r="P270">
        <f>1/(COUNT(SimData1!$E$9:$E$508)-1)+$P$269</f>
        <v>0.52304609218436915</v>
      </c>
      <c r="Q270">
        <f>SMALL(SimData1!$F$9:$F$508,262)</f>
        <v>0.23</v>
      </c>
      <c r="R270">
        <f>1/(COUNT(SimData1!$F$9:$F$508)-1)+$R$269</f>
        <v>0.52304609218436915</v>
      </c>
      <c r="S270">
        <f>SMALL(SimData1!$G$9:$G$508,262)</f>
        <v>9</v>
      </c>
      <c r="T270">
        <f>1/(COUNT(SimData1!$G$9:$G$508)-1)+$T$269</f>
        <v>0.52304609218436915</v>
      </c>
    </row>
    <row r="271" spans="1:20">
      <c r="A271">
        <v>263</v>
      </c>
      <c r="B271">
        <v>10.021684131607891</v>
      </c>
      <c r="C271">
        <v>9.4883422201872669</v>
      </c>
      <c r="D271">
        <v>9.2789856330023568</v>
      </c>
      <c r="E271">
        <v>0.22352506230043989</v>
      </c>
      <c r="F271">
        <v>0.23</v>
      </c>
      <c r="G271">
        <v>12</v>
      </c>
      <c r="I271">
        <f>SMALL(SimData1!$B$9:$B$508,263)</f>
        <v>10.183800660695264</v>
      </c>
      <c r="J271">
        <f>1/(COUNT(SimData1!$B$9:$B$508)-1)+$J$270</f>
        <v>0.52505010020040122</v>
      </c>
      <c r="K271">
        <f>SMALL(SimData1!$C$9:$C$508,263)</f>
        <v>6.1967273439254438</v>
      </c>
      <c r="L271">
        <f>1/(COUNT(SimData1!$C$9:$C$508)-1)+$L$270</f>
        <v>0.52505010020040122</v>
      </c>
      <c r="M271">
        <f>SMALL(SimData1!$D$9:$D$508,263)</f>
        <v>9.207181779358347</v>
      </c>
      <c r="N271">
        <f>1/(COUNT(SimData1!$D$9:$D$508)-1)+$N$270</f>
        <v>0.52505010020040122</v>
      </c>
      <c r="O271">
        <f>SMALL(SimData1!$E$9:$E$508,263)</f>
        <v>21.627143339552017</v>
      </c>
      <c r="P271">
        <f>1/(COUNT(SimData1!$E$9:$E$508)-1)+$P$270</f>
        <v>0.52505010020040122</v>
      </c>
      <c r="Q271">
        <f>SMALL(SimData1!$F$9:$F$508,263)</f>
        <v>0.23</v>
      </c>
      <c r="R271">
        <f>1/(COUNT(SimData1!$F$9:$F$508)-1)+$R$270</f>
        <v>0.52505010020040122</v>
      </c>
      <c r="S271">
        <f>SMALL(SimData1!$G$9:$G$508,263)</f>
        <v>9</v>
      </c>
      <c r="T271">
        <f>1/(COUNT(SimData1!$G$9:$G$508)-1)+$T$270</f>
        <v>0.52505010020040122</v>
      </c>
    </row>
    <row r="272" spans="1:20">
      <c r="A272">
        <v>264</v>
      </c>
      <c r="B272">
        <v>10.778646847047639</v>
      </c>
      <c r="C272">
        <v>4.4051993123007005</v>
      </c>
      <c r="D272">
        <v>6.654455914677694</v>
      </c>
      <c r="E272">
        <v>23.738967272206725</v>
      </c>
      <c r="F272">
        <v>0.23</v>
      </c>
      <c r="G272">
        <v>12</v>
      </c>
      <c r="I272">
        <f>SMALL(SimData1!$B$9:$B$508,264)</f>
        <v>10.210118840404865</v>
      </c>
      <c r="J272">
        <f>1/(COUNT(SimData1!$B$9:$B$508)-1)+$J$271</f>
        <v>0.52705410821643328</v>
      </c>
      <c r="K272">
        <f>SMALL(SimData1!$C$9:$C$508,264)</f>
        <v>6.2223020383935195</v>
      </c>
      <c r="L272">
        <f>1/(COUNT(SimData1!$C$9:$C$508)-1)+$L$271</f>
        <v>0.52705410821643328</v>
      </c>
      <c r="M272">
        <f>SMALL(SimData1!$D$9:$D$508,264)</f>
        <v>9.2176346702262837</v>
      </c>
      <c r="N272">
        <f>1/(COUNT(SimData1!$D$9:$D$508)-1)+$N$271</f>
        <v>0.52705410821643328</v>
      </c>
      <c r="O272">
        <f>SMALL(SimData1!$E$9:$E$508,264)</f>
        <v>21.636271244501792</v>
      </c>
      <c r="P272">
        <f>1/(COUNT(SimData1!$E$9:$E$508)-1)+$P$271</f>
        <v>0.52705410821643328</v>
      </c>
      <c r="Q272">
        <f>SMALL(SimData1!$F$9:$F$508,264)</f>
        <v>0.23</v>
      </c>
      <c r="R272">
        <f>1/(COUNT(SimData1!$F$9:$F$508)-1)+$R$271</f>
        <v>0.52705410821643328</v>
      </c>
      <c r="S272">
        <f>SMALL(SimData1!$G$9:$G$508,264)</f>
        <v>9</v>
      </c>
      <c r="T272">
        <f>1/(COUNT(SimData1!$G$9:$G$508)-1)+$T$271</f>
        <v>0.52705410821643328</v>
      </c>
    </row>
    <row r="273" spans="1:20">
      <c r="A273">
        <v>265</v>
      </c>
      <c r="B273">
        <v>11.696641847294902</v>
      </c>
      <c r="C273">
        <v>6.9859338473775265</v>
      </c>
      <c r="D273">
        <v>5.0466771842964633</v>
      </c>
      <c r="E273">
        <v>22.685521390314623</v>
      </c>
      <c r="F273">
        <v>0.23</v>
      </c>
      <c r="G273">
        <v>9</v>
      </c>
      <c r="I273">
        <f>SMALL(SimData1!$B$9:$B$508,265)</f>
        <v>10.224477052427989</v>
      </c>
      <c r="J273">
        <f>1/(COUNT(SimData1!$B$9:$B$508)-1)+$J$272</f>
        <v>0.52905811623246535</v>
      </c>
      <c r="K273">
        <f>SMALL(SimData1!$C$9:$C$508,265)</f>
        <v>6.2318271938580621</v>
      </c>
      <c r="L273">
        <f>1/(COUNT(SimData1!$C$9:$C$508)-1)+$L$272</f>
        <v>0.52905811623246535</v>
      </c>
      <c r="M273">
        <f>SMALL(SimData1!$D$9:$D$508,265)</f>
        <v>9.2336019275844095</v>
      </c>
      <c r="N273">
        <f>1/(COUNT(SimData1!$D$9:$D$508)-1)+$N$272</f>
        <v>0.52905811623246535</v>
      </c>
      <c r="O273">
        <f>SMALL(SimData1!$E$9:$E$508,265)</f>
        <v>21.640334175048114</v>
      </c>
      <c r="P273">
        <f>1/(COUNT(SimData1!$E$9:$E$508)-1)+$P$272</f>
        <v>0.52905811623246535</v>
      </c>
      <c r="Q273">
        <f>SMALL(SimData1!$F$9:$F$508,265)</f>
        <v>0.23</v>
      </c>
      <c r="R273">
        <f>1/(COUNT(SimData1!$F$9:$F$508)-1)+$R$272</f>
        <v>0.52905811623246535</v>
      </c>
      <c r="S273">
        <f>SMALL(SimData1!$G$9:$G$508,265)</f>
        <v>9</v>
      </c>
      <c r="T273">
        <f>1/(COUNT(SimData1!$G$9:$G$508)-1)+$T$272</f>
        <v>0.52905811623246535</v>
      </c>
    </row>
    <row r="274" spans="1:20">
      <c r="A274">
        <v>266</v>
      </c>
      <c r="B274">
        <v>13.764537991885106</v>
      </c>
      <c r="C274">
        <v>4.3211158543045434</v>
      </c>
      <c r="D274">
        <v>9.9356149307320862</v>
      </c>
      <c r="E274">
        <v>22.53142812476284</v>
      </c>
      <c r="F274">
        <v>0.23</v>
      </c>
      <c r="G274">
        <v>10</v>
      </c>
      <c r="I274">
        <f>SMALL(SimData1!$B$9:$B$508,266)</f>
        <v>10.239818347980675</v>
      </c>
      <c r="J274">
        <f>1/(COUNT(SimData1!$B$9:$B$508)-1)+$J$273</f>
        <v>0.53106212424849741</v>
      </c>
      <c r="K274">
        <f>SMALL(SimData1!$C$9:$C$508,266)</f>
        <v>6.2496704986229705</v>
      </c>
      <c r="L274">
        <f>1/(COUNT(SimData1!$C$9:$C$508)-1)+$L$273</f>
        <v>0.53106212424849741</v>
      </c>
      <c r="M274">
        <f>SMALL(SimData1!$D$9:$D$508,266)</f>
        <v>9.2529603588126967</v>
      </c>
      <c r="N274">
        <f>1/(COUNT(SimData1!$D$9:$D$508)-1)+$N$273</f>
        <v>0.53106212424849741</v>
      </c>
      <c r="O274">
        <f>SMALL(SimData1!$E$9:$E$508,266)</f>
        <v>21.65955331646806</v>
      </c>
      <c r="P274">
        <f>1/(COUNT(SimData1!$E$9:$E$508)-1)+$P$273</f>
        <v>0.53106212424849741</v>
      </c>
      <c r="Q274">
        <f>SMALL(SimData1!$F$9:$F$508,266)</f>
        <v>0.23</v>
      </c>
      <c r="R274">
        <f>1/(COUNT(SimData1!$F$9:$F$508)-1)+$R$273</f>
        <v>0.53106212424849741</v>
      </c>
      <c r="S274">
        <f>SMALL(SimData1!$G$9:$G$508,266)</f>
        <v>9</v>
      </c>
      <c r="T274">
        <f>1/(COUNT(SimData1!$G$9:$G$508)-1)+$T$273</f>
        <v>0.53106212424849741</v>
      </c>
    </row>
    <row r="275" spans="1:20">
      <c r="A275">
        <v>267</v>
      </c>
      <c r="B275">
        <v>10.487910518435669</v>
      </c>
      <c r="C275">
        <v>3.1871615539312272</v>
      </c>
      <c r="D275">
        <v>18.064315800195633</v>
      </c>
      <c r="E275">
        <v>-0.59023828833678471</v>
      </c>
      <c r="F275">
        <v>0.23</v>
      </c>
      <c r="G275">
        <v>10</v>
      </c>
      <c r="I275">
        <f>SMALL(SimData1!$B$9:$B$508,267)</f>
        <v>10.255881461162376</v>
      </c>
      <c r="J275">
        <f>1/(COUNT(SimData1!$B$9:$B$508)-1)+$J$274</f>
        <v>0.53306613226452948</v>
      </c>
      <c r="K275">
        <f>SMALL(SimData1!$C$9:$C$508,267)</f>
        <v>6.260265684706221</v>
      </c>
      <c r="L275">
        <f>1/(COUNT(SimData1!$C$9:$C$508)-1)+$L$274</f>
        <v>0.53306613226452948</v>
      </c>
      <c r="M275">
        <f>SMALL(SimData1!$D$9:$D$508,267)</f>
        <v>9.2597048714691077</v>
      </c>
      <c r="N275">
        <f>1/(COUNT(SimData1!$D$9:$D$508)-1)+$N$274</f>
        <v>0.53306613226452948</v>
      </c>
      <c r="O275">
        <f>SMALL(SimData1!$E$9:$E$508,267)</f>
        <v>21.665735694436055</v>
      </c>
      <c r="P275">
        <f>1/(COUNT(SimData1!$E$9:$E$508)-1)+$P$274</f>
        <v>0.53306613226452948</v>
      </c>
      <c r="Q275">
        <f>SMALL(SimData1!$F$9:$F$508,267)</f>
        <v>0.23</v>
      </c>
      <c r="R275">
        <f>1/(COUNT(SimData1!$F$9:$F$508)-1)+$R$274</f>
        <v>0.53306613226452948</v>
      </c>
      <c r="S275">
        <f>SMALL(SimData1!$G$9:$G$508,267)</f>
        <v>9</v>
      </c>
      <c r="T275">
        <f>1/(COUNT(SimData1!$G$9:$G$508)-1)+$T$274</f>
        <v>0.53306613226452948</v>
      </c>
    </row>
    <row r="276" spans="1:20">
      <c r="A276">
        <v>268</v>
      </c>
      <c r="B276">
        <v>11.003468692475719</v>
      </c>
      <c r="C276">
        <v>5.7045713009593477</v>
      </c>
      <c r="D276">
        <v>17.977407813042731</v>
      </c>
      <c r="E276">
        <v>-0.47120985445218855</v>
      </c>
      <c r="F276">
        <v>0.23</v>
      </c>
      <c r="G276">
        <v>6</v>
      </c>
      <c r="I276">
        <f>SMALL(SimData1!$B$9:$B$508,268)</f>
        <v>10.268897057095622</v>
      </c>
      <c r="J276">
        <f>1/(COUNT(SimData1!$B$9:$B$508)-1)+$J$275</f>
        <v>0.53507014028056155</v>
      </c>
      <c r="K276">
        <f>SMALL(SimData1!$C$9:$C$508,268)</f>
        <v>6.2785394267678587</v>
      </c>
      <c r="L276">
        <f>1/(COUNT(SimData1!$C$9:$C$508)-1)+$L$275</f>
        <v>0.53507014028056155</v>
      </c>
      <c r="M276">
        <f>SMALL(SimData1!$D$9:$D$508,268)</f>
        <v>9.2789856330023568</v>
      </c>
      <c r="N276">
        <f>1/(COUNT(SimData1!$D$9:$D$508)-1)+$N$275</f>
        <v>0.53507014028056155</v>
      </c>
      <c r="O276">
        <f>SMALL(SimData1!$E$9:$E$508,268)</f>
        <v>21.673177226026006</v>
      </c>
      <c r="P276">
        <f>1/(COUNT(SimData1!$E$9:$E$508)-1)+$P$275</f>
        <v>0.53507014028056155</v>
      </c>
      <c r="Q276">
        <f>SMALL(SimData1!$F$9:$F$508,268)</f>
        <v>0.23</v>
      </c>
      <c r="R276">
        <f>1/(COUNT(SimData1!$F$9:$F$508)-1)+$R$275</f>
        <v>0.53507014028056155</v>
      </c>
      <c r="S276">
        <f>SMALL(SimData1!$G$9:$G$508,268)</f>
        <v>9</v>
      </c>
      <c r="T276">
        <f>1/(COUNT(SimData1!$G$9:$G$508)-1)+$T$275</f>
        <v>0.53507014028056155</v>
      </c>
    </row>
    <row r="277" spans="1:20">
      <c r="A277">
        <v>269</v>
      </c>
      <c r="B277">
        <v>9.9740377570264531</v>
      </c>
      <c r="C277">
        <v>2.1952567568466201</v>
      </c>
      <c r="D277">
        <v>8.1924239943717652</v>
      </c>
      <c r="E277">
        <v>-1.3135600715368159</v>
      </c>
      <c r="F277">
        <v>0.23</v>
      </c>
      <c r="G277">
        <v>4</v>
      </c>
      <c r="I277">
        <f>SMALL(SimData1!$B$9:$B$508,269)</f>
        <v>10.274780131081615</v>
      </c>
      <c r="J277">
        <f>1/(COUNT(SimData1!$B$9:$B$508)-1)+$J$276</f>
        <v>0.53707414829659361</v>
      </c>
      <c r="K277">
        <f>SMALL(SimData1!$C$9:$C$508,269)</f>
        <v>6.2960292020645054</v>
      </c>
      <c r="L277">
        <f>1/(COUNT(SimData1!$C$9:$C$508)-1)+$L$276</f>
        <v>0.53707414829659361</v>
      </c>
      <c r="M277">
        <f>SMALL(SimData1!$D$9:$D$508,269)</f>
        <v>9.2964327245486054</v>
      </c>
      <c r="N277">
        <f>1/(COUNT(SimData1!$D$9:$D$508)-1)+$N$276</f>
        <v>0.53707414829659361</v>
      </c>
      <c r="O277">
        <f>SMALL(SimData1!$E$9:$E$508,269)</f>
        <v>21.686739057295117</v>
      </c>
      <c r="P277">
        <f>1/(COUNT(SimData1!$E$9:$E$508)-1)+$P$276</f>
        <v>0.53707414829659361</v>
      </c>
      <c r="Q277">
        <f>SMALL(SimData1!$F$9:$F$508,269)</f>
        <v>0.23</v>
      </c>
      <c r="R277">
        <f>1/(COUNT(SimData1!$F$9:$F$508)-1)+$R$276</f>
        <v>0.53707414829659361</v>
      </c>
      <c r="S277">
        <f>SMALL(SimData1!$G$9:$G$508,269)</f>
        <v>9</v>
      </c>
      <c r="T277">
        <f>1/(COUNT(SimData1!$G$9:$G$508)-1)+$T$276</f>
        <v>0.53707414829659361</v>
      </c>
    </row>
    <row r="278" spans="1:20">
      <c r="A278">
        <v>270</v>
      </c>
      <c r="B278">
        <v>7.6639980275155439</v>
      </c>
      <c r="C278">
        <v>7.7273952715656238</v>
      </c>
      <c r="D278">
        <v>3.6321979108993423</v>
      </c>
      <c r="E278">
        <v>21.522283449136317</v>
      </c>
      <c r="F278">
        <v>0.23</v>
      </c>
      <c r="G278">
        <v>9</v>
      </c>
      <c r="I278">
        <f>SMALL(SimData1!$B$9:$B$508,270)</f>
        <v>10.290503308488876</v>
      </c>
      <c r="J278">
        <f>1/(COUNT(SimData1!$B$9:$B$508)-1)+$J$277</f>
        <v>0.53907815631262568</v>
      </c>
      <c r="K278">
        <f>SMALL(SimData1!$C$9:$C$508,270)</f>
        <v>6.3132865897066157</v>
      </c>
      <c r="L278">
        <f>1/(COUNT(SimData1!$C$9:$C$508)-1)+$L$277</f>
        <v>0.53907815631262568</v>
      </c>
      <c r="M278">
        <f>SMALL(SimData1!$D$9:$D$508,270)</f>
        <v>9.3196285307369262</v>
      </c>
      <c r="N278">
        <f>1/(COUNT(SimData1!$D$9:$D$508)-1)+$N$277</f>
        <v>0.53907815631262568</v>
      </c>
      <c r="O278">
        <f>SMALL(SimData1!$E$9:$E$508,270)</f>
        <v>21.693262327402905</v>
      </c>
      <c r="P278">
        <f>1/(COUNT(SimData1!$E$9:$E$508)-1)+$P$277</f>
        <v>0.53907815631262568</v>
      </c>
      <c r="Q278">
        <f>SMALL(SimData1!$F$9:$F$508,270)</f>
        <v>0.23</v>
      </c>
      <c r="R278">
        <f>1/(COUNT(SimData1!$F$9:$F$508)-1)+$R$277</f>
        <v>0.53907815631262568</v>
      </c>
      <c r="S278">
        <f>SMALL(SimData1!$G$9:$G$508,270)</f>
        <v>9</v>
      </c>
      <c r="T278">
        <f>1/(COUNT(SimData1!$G$9:$G$508)-1)+$T$277</f>
        <v>0.53907815631262568</v>
      </c>
    </row>
    <row r="279" spans="1:20">
      <c r="A279">
        <v>271</v>
      </c>
      <c r="B279">
        <v>9.0907040217990414</v>
      </c>
      <c r="C279">
        <v>9.7182512673601167</v>
      </c>
      <c r="D279">
        <v>9.207181779358347</v>
      </c>
      <c r="E279">
        <v>-0.1743588093564481</v>
      </c>
      <c r="F279">
        <v>0.23</v>
      </c>
      <c r="G279">
        <v>6</v>
      </c>
      <c r="I279">
        <f>SMALL(SimData1!$B$9:$B$508,271)</f>
        <v>10.30327305375442</v>
      </c>
      <c r="J279">
        <f>1/(COUNT(SimData1!$B$9:$B$508)-1)+$J$278</f>
        <v>0.54108216432865774</v>
      </c>
      <c r="K279">
        <f>SMALL(SimData1!$C$9:$C$508,271)</f>
        <v>6.3255769326513578</v>
      </c>
      <c r="L279">
        <f>1/(COUNT(SimData1!$C$9:$C$508)-1)+$L$278</f>
        <v>0.54108216432865774</v>
      </c>
      <c r="M279">
        <f>SMALL(SimData1!$D$9:$D$508,271)</f>
        <v>9.3263253674484616</v>
      </c>
      <c r="N279">
        <f>1/(COUNT(SimData1!$D$9:$D$508)-1)+$N$278</f>
        <v>0.54108216432865774</v>
      </c>
      <c r="O279">
        <f>SMALL(SimData1!$E$9:$E$508,271)</f>
        <v>21.70337681769627</v>
      </c>
      <c r="P279">
        <f>1/(COUNT(SimData1!$E$9:$E$508)-1)+$P$278</f>
        <v>0.54108216432865774</v>
      </c>
      <c r="Q279">
        <f>SMALL(SimData1!$F$9:$F$508,271)</f>
        <v>0.23</v>
      </c>
      <c r="R279">
        <f>1/(COUNT(SimData1!$F$9:$F$508)-1)+$R$278</f>
        <v>0.54108216432865774</v>
      </c>
      <c r="S279">
        <f>SMALL(SimData1!$G$9:$G$508,271)</f>
        <v>9</v>
      </c>
      <c r="T279">
        <f>1/(COUNT(SimData1!$G$9:$G$508)-1)+$T$278</f>
        <v>0.54108216432865774</v>
      </c>
    </row>
    <row r="280" spans="1:20">
      <c r="A280">
        <v>272</v>
      </c>
      <c r="B280">
        <v>12.40638547116788</v>
      </c>
      <c r="C280">
        <v>8.1771393387469331</v>
      </c>
      <c r="D280">
        <v>6.3271289043200962</v>
      </c>
      <c r="E280">
        <v>22.26585427971515</v>
      </c>
      <c r="F280">
        <v>0.23</v>
      </c>
      <c r="G280">
        <v>10</v>
      </c>
      <c r="I280">
        <f>SMALL(SimData1!$B$9:$B$508,272)</f>
        <v>10.328078412883572</v>
      </c>
      <c r="J280">
        <f>1/(COUNT(SimData1!$B$9:$B$508)-1)+$J$279</f>
        <v>0.54308617234468981</v>
      </c>
      <c r="K280">
        <f>SMALL(SimData1!$C$9:$C$508,272)</f>
        <v>6.3373194575871619</v>
      </c>
      <c r="L280">
        <f>1/(COUNT(SimData1!$C$9:$C$508)-1)+$L$279</f>
        <v>0.54308617234468981</v>
      </c>
      <c r="M280">
        <f>SMALL(SimData1!$D$9:$D$508,272)</f>
        <v>9.3439434717316061</v>
      </c>
      <c r="N280">
        <f>1/(COUNT(SimData1!$D$9:$D$508)-1)+$N$279</f>
        <v>0.54308617234468981</v>
      </c>
      <c r="O280">
        <f>SMALL(SimData1!$E$9:$E$508,272)</f>
        <v>21.712502771013021</v>
      </c>
      <c r="P280">
        <f>1/(COUNT(SimData1!$E$9:$E$508)-1)+$P$279</f>
        <v>0.54308617234468981</v>
      </c>
      <c r="Q280">
        <f>SMALL(SimData1!$F$9:$F$508,272)</f>
        <v>0.23</v>
      </c>
      <c r="R280">
        <f>1/(COUNT(SimData1!$F$9:$F$508)-1)+$R$279</f>
        <v>0.54308617234468981</v>
      </c>
      <c r="S280">
        <f>SMALL(SimData1!$G$9:$G$508,272)</f>
        <v>9</v>
      </c>
      <c r="T280">
        <f>1/(COUNT(SimData1!$G$9:$G$508)-1)+$T$279</f>
        <v>0.54308617234468981</v>
      </c>
    </row>
    <row r="281" spans="1:20">
      <c r="A281">
        <v>273</v>
      </c>
      <c r="B281">
        <v>8.5206295601159834</v>
      </c>
      <c r="C281">
        <v>8.4831020990803605</v>
      </c>
      <c r="D281">
        <v>10.922881853867993</v>
      </c>
      <c r="E281">
        <v>-1.0575062450802186</v>
      </c>
      <c r="F281">
        <v>0.23</v>
      </c>
      <c r="G281">
        <v>12</v>
      </c>
      <c r="I281">
        <f>SMALL(SimData1!$B$9:$B$508,273)</f>
        <v>10.345987858642424</v>
      </c>
      <c r="J281">
        <f>1/(COUNT(SimData1!$B$9:$B$508)-1)+$J$280</f>
        <v>0.54509018036072188</v>
      </c>
      <c r="K281">
        <f>SMALL(SimData1!$C$9:$C$508,273)</f>
        <v>6.3657653722087311</v>
      </c>
      <c r="L281">
        <f>1/(COUNT(SimData1!$C$9:$C$508)-1)+$L$280</f>
        <v>0.54509018036072188</v>
      </c>
      <c r="M281">
        <f>SMALL(SimData1!$D$9:$D$508,273)</f>
        <v>9.3567374402146655</v>
      </c>
      <c r="N281">
        <f>1/(COUNT(SimData1!$D$9:$D$508)-1)+$N$280</f>
        <v>0.54509018036072188</v>
      </c>
      <c r="O281">
        <f>SMALL(SimData1!$E$9:$E$508,273)</f>
        <v>21.726355284989488</v>
      </c>
      <c r="P281">
        <f>1/(COUNT(SimData1!$E$9:$E$508)-1)+$P$280</f>
        <v>0.54509018036072188</v>
      </c>
      <c r="Q281">
        <f>SMALL(SimData1!$F$9:$F$508,273)</f>
        <v>0.23</v>
      </c>
      <c r="R281">
        <f>1/(COUNT(SimData1!$F$9:$F$508)-1)+$R$280</f>
        <v>0.54509018036072188</v>
      </c>
      <c r="S281">
        <f>SMALL(SimData1!$G$9:$G$508,273)</f>
        <v>9</v>
      </c>
      <c r="T281">
        <f>1/(COUNT(SimData1!$G$9:$G$508)-1)+$T$280</f>
        <v>0.54509018036072188</v>
      </c>
    </row>
    <row r="282" spans="1:20">
      <c r="A282">
        <v>274</v>
      </c>
      <c r="B282">
        <v>12.099624941028484</v>
      </c>
      <c r="C282">
        <v>6.1063349748352396</v>
      </c>
      <c r="D282">
        <v>15.10799928891938</v>
      </c>
      <c r="E282">
        <v>-1.215305522819685</v>
      </c>
      <c r="F282">
        <v>0.23</v>
      </c>
      <c r="G282">
        <v>6</v>
      </c>
      <c r="I282">
        <f>SMALL(SimData1!$B$9:$B$508,274)</f>
        <v>10.358996613318391</v>
      </c>
      <c r="J282">
        <f>1/(COUNT(SimData1!$B$9:$B$508)-1)+$J$281</f>
        <v>0.54709418837675394</v>
      </c>
      <c r="K282">
        <f>SMALL(SimData1!$C$9:$C$508,274)</f>
        <v>6.3691753728094458</v>
      </c>
      <c r="L282">
        <f>1/(COUNT(SimData1!$C$9:$C$508)-1)+$L$281</f>
        <v>0.54709418837675394</v>
      </c>
      <c r="M282">
        <f>SMALL(SimData1!$D$9:$D$508,274)</f>
        <v>9.3832011717928587</v>
      </c>
      <c r="N282">
        <f>1/(COUNT(SimData1!$D$9:$D$508)-1)+$N$281</f>
        <v>0.54709418837675394</v>
      </c>
      <c r="O282">
        <f>SMALL(SimData1!$E$9:$E$508,274)</f>
        <v>21.736215642786334</v>
      </c>
      <c r="P282">
        <f>1/(COUNT(SimData1!$E$9:$E$508)-1)+$P$281</f>
        <v>0.54709418837675394</v>
      </c>
      <c r="Q282">
        <f>SMALL(SimData1!$F$9:$F$508,274)</f>
        <v>0.23</v>
      </c>
      <c r="R282">
        <f>1/(COUNT(SimData1!$F$9:$F$508)-1)+$R$281</f>
        <v>0.54709418837675394</v>
      </c>
      <c r="S282">
        <f>SMALL(SimData1!$G$9:$G$508,274)</f>
        <v>9</v>
      </c>
      <c r="T282">
        <f>1/(COUNT(SimData1!$G$9:$G$508)-1)+$T$281</f>
        <v>0.54709418837675394</v>
      </c>
    </row>
    <row r="283" spans="1:20">
      <c r="A283">
        <v>275</v>
      </c>
      <c r="B283">
        <v>7.8537690405376548</v>
      </c>
      <c r="C283">
        <v>6.5665636335179585</v>
      </c>
      <c r="D283">
        <v>2.16342117075888</v>
      </c>
      <c r="E283">
        <v>22.505100683212742</v>
      </c>
      <c r="F283">
        <v>0.23</v>
      </c>
      <c r="G283">
        <v>6</v>
      </c>
      <c r="I283">
        <f>SMALL(SimData1!$B$9:$B$508,275)</f>
        <v>10.364409498183242</v>
      </c>
      <c r="J283">
        <f>1/(COUNT(SimData1!$B$9:$B$508)-1)+$J$282</f>
        <v>0.54909819639278601</v>
      </c>
      <c r="K283">
        <f>SMALL(SimData1!$C$9:$C$508,275)</f>
        <v>6.3939519445211515</v>
      </c>
      <c r="L283">
        <f>1/(COUNT(SimData1!$C$9:$C$508)-1)+$L$282</f>
        <v>0.54909819639278601</v>
      </c>
      <c r="M283">
        <f>SMALL(SimData1!$D$9:$D$508,275)</f>
        <v>9.3869604083641818</v>
      </c>
      <c r="N283">
        <f>1/(COUNT(SimData1!$D$9:$D$508)-1)+$N$282</f>
        <v>0.54909819639278601</v>
      </c>
      <c r="O283">
        <f>SMALL(SimData1!$E$9:$E$508,275)</f>
        <v>21.742972034452979</v>
      </c>
      <c r="P283">
        <f>1/(COUNT(SimData1!$E$9:$E$508)-1)+$P$282</f>
        <v>0.54909819639278601</v>
      </c>
      <c r="Q283">
        <f>SMALL(SimData1!$F$9:$F$508,275)</f>
        <v>0.23</v>
      </c>
      <c r="R283">
        <f>1/(COUNT(SimData1!$F$9:$F$508)-1)+$R$282</f>
        <v>0.54909819639278601</v>
      </c>
      <c r="S283">
        <f>SMALL(SimData1!$G$9:$G$508,275)</f>
        <v>9</v>
      </c>
      <c r="T283">
        <f>1/(COUNT(SimData1!$G$9:$G$508)-1)+$T$282</f>
        <v>0.54909819639278601</v>
      </c>
    </row>
    <row r="284" spans="1:20">
      <c r="A284">
        <v>276</v>
      </c>
      <c r="B284">
        <v>9.6273060072164114</v>
      </c>
      <c r="C284">
        <v>5.1049762217889025</v>
      </c>
      <c r="D284">
        <v>5.8549491241981624</v>
      </c>
      <c r="E284">
        <v>-0.73482053644822543</v>
      </c>
      <c r="F284">
        <v>0.23</v>
      </c>
      <c r="G284">
        <v>2</v>
      </c>
      <c r="I284">
        <f>SMALL(SimData1!$B$9:$B$508,276)</f>
        <v>10.386842229338248</v>
      </c>
      <c r="J284">
        <f>1/(COUNT(SimData1!$B$9:$B$508)-1)+$J$283</f>
        <v>0.55110220440881807</v>
      </c>
      <c r="K284">
        <f>SMALL(SimData1!$C$9:$C$508,276)</f>
        <v>6.4117298488495242</v>
      </c>
      <c r="L284">
        <f>1/(COUNT(SimData1!$C$9:$C$508)-1)+$L$283</f>
        <v>0.55110220440881807</v>
      </c>
      <c r="M284">
        <f>SMALL(SimData1!$D$9:$D$508,276)</f>
        <v>9.4035240134754048</v>
      </c>
      <c r="N284">
        <f>1/(COUNT(SimData1!$D$9:$D$508)-1)+$N$283</f>
        <v>0.55110220440881807</v>
      </c>
      <c r="O284">
        <f>SMALL(SimData1!$E$9:$E$508,276)</f>
        <v>21.754021187769013</v>
      </c>
      <c r="P284">
        <f>1/(COUNT(SimData1!$E$9:$E$508)-1)+$P$283</f>
        <v>0.55110220440881807</v>
      </c>
      <c r="Q284">
        <f>SMALL(SimData1!$F$9:$F$508,276)</f>
        <v>0.23</v>
      </c>
      <c r="R284">
        <f>1/(COUNT(SimData1!$F$9:$F$508)-1)+$R$283</f>
        <v>0.55110220440881807</v>
      </c>
      <c r="S284">
        <f>SMALL(SimData1!$G$9:$G$508,276)</f>
        <v>9</v>
      </c>
      <c r="T284">
        <f>1/(COUNT(SimData1!$G$9:$G$508)-1)+$T$283</f>
        <v>0.55110220440881807</v>
      </c>
    </row>
    <row r="285" spans="1:20">
      <c r="A285">
        <v>277</v>
      </c>
      <c r="B285">
        <v>9.6089417976783462</v>
      </c>
      <c r="C285">
        <v>4.5197201790790356</v>
      </c>
      <c r="D285">
        <v>9.3263253674484616</v>
      </c>
      <c r="E285">
        <v>22.406636241835923</v>
      </c>
      <c r="F285">
        <v>0.23</v>
      </c>
      <c r="G285">
        <v>9</v>
      </c>
      <c r="I285">
        <f>SMALL(SimData1!$B$9:$B$508,277)</f>
        <v>10.395705387336132</v>
      </c>
      <c r="J285">
        <f>1/(COUNT(SimData1!$B$9:$B$508)-1)+$J$284</f>
        <v>0.55310621242485014</v>
      </c>
      <c r="K285">
        <f>SMALL(SimData1!$C$9:$C$508,277)</f>
        <v>6.4257025902927163</v>
      </c>
      <c r="L285">
        <f>1/(COUNT(SimData1!$C$9:$C$508)-1)+$L$284</f>
        <v>0.55310621242485014</v>
      </c>
      <c r="M285">
        <f>SMALL(SimData1!$D$9:$D$508,277)</f>
        <v>9.4187431683434966</v>
      </c>
      <c r="N285">
        <f>1/(COUNT(SimData1!$D$9:$D$508)-1)+$N$284</f>
        <v>0.55310621242485014</v>
      </c>
      <c r="O285">
        <f>SMALL(SimData1!$E$9:$E$508,277)</f>
        <v>21.765316230620073</v>
      </c>
      <c r="P285">
        <f>1/(COUNT(SimData1!$E$9:$E$508)-1)+$P$284</f>
        <v>0.55310621242485014</v>
      </c>
      <c r="Q285">
        <f>SMALL(SimData1!$F$9:$F$508,277)</f>
        <v>0.23</v>
      </c>
      <c r="R285">
        <f>1/(COUNT(SimData1!$F$9:$F$508)-1)+$R$284</f>
        <v>0.55310621242485014</v>
      </c>
      <c r="S285">
        <f>SMALL(SimData1!$G$9:$G$508,277)</f>
        <v>9</v>
      </c>
      <c r="T285">
        <f>1/(COUNT(SimData1!$G$9:$G$508)-1)+$T$284</f>
        <v>0.55310621242485014</v>
      </c>
    </row>
    <row r="286" spans="1:20">
      <c r="A286">
        <v>278</v>
      </c>
      <c r="B286">
        <v>10.364409498183242</v>
      </c>
      <c r="C286">
        <v>5.5111406101042268</v>
      </c>
      <c r="D286">
        <v>14.960817460654493</v>
      </c>
      <c r="E286">
        <v>-0.26483123529890107</v>
      </c>
      <c r="F286">
        <v>0.23</v>
      </c>
      <c r="G286">
        <v>4</v>
      </c>
      <c r="I286">
        <f>SMALL(SimData1!$B$9:$B$508,278)</f>
        <v>10.407943785561592</v>
      </c>
      <c r="J286">
        <f>1/(COUNT(SimData1!$B$9:$B$508)-1)+$J$285</f>
        <v>0.55511022044088221</v>
      </c>
      <c r="K286">
        <f>SMALL(SimData1!$C$9:$C$508,278)</f>
        <v>6.4328753075825222</v>
      </c>
      <c r="L286">
        <f>1/(COUNT(SimData1!$C$9:$C$508)-1)+$L$285</f>
        <v>0.55511022044088221</v>
      </c>
      <c r="M286">
        <f>SMALL(SimData1!$D$9:$D$508,278)</f>
        <v>9.4454472408922037</v>
      </c>
      <c r="N286">
        <f>1/(COUNT(SimData1!$D$9:$D$508)-1)+$N$285</f>
        <v>0.55511022044088221</v>
      </c>
      <c r="O286">
        <f>SMALL(SimData1!$E$9:$E$508,278)</f>
        <v>21.774076406273398</v>
      </c>
      <c r="P286">
        <f>1/(COUNT(SimData1!$E$9:$E$508)-1)+$P$285</f>
        <v>0.55511022044088221</v>
      </c>
      <c r="Q286">
        <f>SMALL(SimData1!$F$9:$F$508,278)</f>
        <v>0.23</v>
      </c>
      <c r="R286">
        <f>1/(COUNT(SimData1!$F$9:$F$508)-1)+$R$285</f>
        <v>0.55511022044088221</v>
      </c>
      <c r="S286">
        <f>SMALL(SimData1!$G$9:$G$508,278)</f>
        <v>9</v>
      </c>
      <c r="T286">
        <f>1/(COUNT(SimData1!$G$9:$G$508)-1)+$T$285</f>
        <v>0.55511022044088221</v>
      </c>
    </row>
    <row r="287" spans="1:20">
      <c r="A287">
        <v>279</v>
      </c>
      <c r="B287">
        <v>8.3454337334859243</v>
      </c>
      <c r="C287">
        <v>3.6836374894165522</v>
      </c>
      <c r="D287">
        <v>3.1444891266488679</v>
      </c>
      <c r="E287">
        <v>23.675872178532806</v>
      </c>
      <c r="F287">
        <v>0.23</v>
      </c>
      <c r="G287">
        <v>2</v>
      </c>
      <c r="I287">
        <f>SMALL(SimData1!$B$9:$B$508,279)</f>
        <v>10.426054677580257</v>
      </c>
      <c r="J287">
        <f>1/(COUNT(SimData1!$B$9:$B$508)-1)+$J$286</f>
        <v>0.55711422845691427</v>
      </c>
      <c r="K287">
        <f>SMALL(SimData1!$C$9:$C$508,279)</f>
        <v>6.4480950777754407</v>
      </c>
      <c r="L287">
        <f>1/(COUNT(SimData1!$C$9:$C$508)-1)+$L$286</f>
        <v>0.55711422845691427</v>
      </c>
      <c r="M287">
        <f>SMALL(SimData1!$D$9:$D$508,279)</f>
        <v>9.4588516696530505</v>
      </c>
      <c r="N287">
        <f>1/(COUNT(SimData1!$D$9:$D$508)-1)+$N$286</f>
        <v>0.55711422845691427</v>
      </c>
      <c r="O287">
        <f>SMALL(SimData1!$E$9:$E$508,279)</f>
        <v>21.785709214863257</v>
      </c>
      <c r="P287">
        <f>1/(COUNT(SimData1!$E$9:$E$508)-1)+$P$286</f>
        <v>0.55711422845691427</v>
      </c>
      <c r="Q287">
        <f>SMALL(SimData1!$F$9:$F$508,279)</f>
        <v>0.23</v>
      </c>
      <c r="R287">
        <f>1/(COUNT(SimData1!$F$9:$F$508)-1)+$R$286</f>
        <v>0.55711422845691427</v>
      </c>
      <c r="S287">
        <f>SMALL(SimData1!$G$9:$G$508,279)</f>
        <v>9</v>
      </c>
      <c r="T287">
        <f>1/(COUNT(SimData1!$G$9:$G$508)-1)+$T$286</f>
        <v>0.55711422845691427</v>
      </c>
    </row>
    <row r="288" spans="1:20">
      <c r="A288">
        <v>280</v>
      </c>
      <c r="B288">
        <v>5.7009437986306057</v>
      </c>
      <c r="C288">
        <v>6.7736689358031539</v>
      </c>
      <c r="D288">
        <v>12.329754485708136</v>
      </c>
      <c r="E288">
        <v>21.785709214863257</v>
      </c>
      <c r="F288">
        <v>0.23</v>
      </c>
      <c r="G288">
        <v>4</v>
      </c>
      <c r="I288">
        <f>SMALL(SimData1!$B$9:$B$508,280)</f>
        <v>10.441636430680168</v>
      </c>
      <c r="J288">
        <f>1/(COUNT(SimData1!$B$9:$B$508)-1)+$J$287</f>
        <v>0.55911823647294634</v>
      </c>
      <c r="K288">
        <f>SMALL(SimData1!$C$9:$C$508,280)</f>
        <v>6.4697300151562622</v>
      </c>
      <c r="L288">
        <f>1/(COUNT(SimData1!$C$9:$C$508)-1)+$L$287</f>
        <v>0.55911823647294634</v>
      </c>
      <c r="M288">
        <f>SMALL(SimData1!$D$9:$D$508,280)</f>
        <v>9.470818588969955</v>
      </c>
      <c r="N288">
        <f>1/(COUNT(SimData1!$D$9:$D$508)-1)+$N$287</f>
        <v>0.55911823647294634</v>
      </c>
      <c r="O288">
        <f>SMALL(SimData1!$E$9:$E$508,280)</f>
        <v>21.799807959874435</v>
      </c>
      <c r="P288">
        <f>1/(COUNT(SimData1!$E$9:$E$508)-1)+$P$287</f>
        <v>0.55911823647294634</v>
      </c>
      <c r="Q288">
        <f>SMALL(SimData1!$F$9:$F$508,280)</f>
        <v>0.23</v>
      </c>
      <c r="R288">
        <f>1/(COUNT(SimData1!$F$9:$F$508)-1)+$R$287</f>
        <v>0.55911823647294634</v>
      </c>
      <c r="S288">
        <f>SMALL(SimData1!$G$9:$G$508,280)</f>
        <v>9</v>
      </c>
      <c r="T288">
        <f>1/(COUNT(SimData1!$G$9:$G$508)-1)+$T$287</f>
        <v>0.55911823647294634</v>
      </c>
    </row>
    <row r="289" spans="1:20">
      <c r="A289">
        <v>281</v>
      </c>
      <c r="B289">
        <v>8.4457654500636075</v>
      </c>
      <c r="C289">
        <v>6.7856038508754235</v>
      </c>
      <c r="D289">
        <v>17.749584986872406</v>
      </c>
      <c r="E289">
        <v>-0.89943597232173689</v>
      </c>
      <c r="F289">
        <v>0.23</v>
      </c>
      <c r="G289">
        <v>12</v>
      </c>
      <c r="I289">
        <f>SMALL(SimData1!$B$9:$B$508,281)</f>
        <v>10.466058089897381</v>
      </c>
      <c r="J289">
        <f>1/(COUNT(SimData1!$B$9:$B$508)-1)+$J$288</f>
        <v>0.56112224448897841</v>
      </c>
      <c r="K289">
        <f>SMALL(SimData1!$C$9:$C$508,281)</f>
        <v>6.4886052119342157</v>
      </c>
      <c r="L289">
        <f>1/(COUNT(SimData1!$C$9:$C$508)-1)+$L$288</f>
        <v>0.56112224448897841</v>
      </c>
      <c r="M289">
        <f>SMALL(SimData1!$D$9:$D$508,281)</f>
        <v>9.4906124607312066</v>
      </c>
      <c r="N289">
        <f>1/(COUNT(SimData1!$D$9:$D$508)-1)+$N$288</f>
        <v>0.56112224448897841</v>
      </c>
      <c r="O289">
        <f>SMALL(SimData1!$E$9:$E$508,281)</f>
        <v>21.804511793341277</v>
      </c>
      <c r="P289">
        <f>1/(COUNT(SimData1!$E$9:$E$508)-1)+$P$288</f>
        <v>0.56112224448897841</v>
      </c>
      <c r="Q289">
        <f>SMALL(SimData1!$F$9:$F$508,281)</f>
        <v>0.23</v>
      </c>
      <c r="R289">
        <f>1/(COUNT(SimData1!$F$9:$F$508)-1)+$R$288</f>
        <v>0.56112224448897841</v>
      </c>
      <c r="S289">
        <f>SMALL(SimData1!$G$9:$G$508,281)</f>
        <v>9</v>
      </c>
      <c r="T289">
        <f>1/(COUNT(SimData1!$G$9:$G$508)-1)+$T$288</f>
        <v>0.56112224448897841</v>
      </c>
    </row>
    <row r="290" spans="1:20">
      <c r="A290">
        <v>282</v>
      </c>
      <c r="B290">
        <v>11.405452341728365</v>
      </c>
      <c r="C290">
        <v>2.7575683299763054</v>
      </c>
      <c r="D290">
        <v>2.1426385222782005</v>
      </c>
      <c r="E290">
        <v>21.65955331646806</v>
      </c>
      <c r="F290">
        <v>0.23</v>
      </c>
      <c r="G290">
        <v>4</v>
      </c>
      <c r="I290">
        <f>SMALL(SimData1!$B$9:$B$508,282)</f>
        <v>10.481226858119992</v>
      </c>
      <c r="J290">
        <f>1/(COUNT(SimData1!$B$9:$B$508)-1)+$J$289</f>
        <v>0.56312625250501047</v>
      </c>
      <c r="K290">
        <f>SMALL(SimData1!$C$9:$C$508,282)</f>
        <v>6.5100660471837193</v>
      </c>
      <c r="L290">
        <f>1/(COUNT(SimData1!$C$9:$C$508)-1)+$L$289</f>
        <v>0.56312625250501047</v>
      </c>
      <c r="M290">
        <f>SMALL(SimData1!$D$9:$D$508,282)</f>
        <v>9.5030788103023269</v>
      </c>
      <c r="N290">
        <f>1/(COUNT(SimData1!$D$9:$D$508)-1)+$N$289</f>
        <v>0.56312625250501047</v>
      </c>
      <c r="O290">
        <f>SMALL(SimData1!$E$9:$E$508,282)</f>
        <v>21.818296633319235</v>
      </c>
      <c r="P290">
        <f>1/(COUNT(SimData1!$E$9:$E$508)-1)+$P$289</f>
        <v>0.56312625250501047</v>
      </c>
      <c r="Q290">
        <f>SMALL(SimData1!$F$9:$F$508,282)</f>
        <v>0.23</v>
      </c>
      <c r="R290">
        <f>1/(COUNT(SimData1!$F$9:$F$508)-1)+$R$289</f>
        <v>0.56312625250501047</v>
      </c>
      <c r="S290">
        <f>SMALL(SimData1!$G$9:$G$508,282)</f>
        <v>9</v>
      </c>
      <c r="T290">
        <f>1/(COUNT(SimData1!$G$9:$G$508)-1)+$T$289</f>
        <v>0.56312625250501047</v>
      </c>
    </row>
    <row r="291" spans="1:20">
      <c r="A291">
        <v>283</v>
      </c>
      <c r="B291">
        <v>7.4331346304681709</v>
      </c>
      <c r="C291">
        <v>4.0278091917512491</v>
      </c>
      <c r="D291">
        <v>2.3504710867922918</v>
      </c>
      <c r="E291">
        <v>-1.3845851893070813</v>
      </c>
      <c r="F291">
        <v>0.23</v>
      </c>
      <c r="G291">
        <v>12</v>
      </c>
      <c r="I291">
        <f>SMALL(SimData1!$B$9:$B$508,283)</f>
        <v>10.487910518435669</v>
      </c>
      <c r="J291">
        <f>1/(COUNT(SimData1!$B$9:$B$508)-1)+$J$290</f>
        <v>0.56513026052104254</v>
      </c>
      <c r="K291">
        <f>SMALL(SimData1!$C$9:$C$508,283)</f>
        <v>6.5165354435081912</v>
      </c>
      <c r="L291">
        <f>1/(COUNT(SimData1!$C$9:$C$508)-1)+$L$290</f>
        <v>0.56513026052104254</v>
      </c>
      <c r="M291">
        <f>SMALL(SimData1!$D$9:$D$508,283)</f>
        <v>9.5164748308184741</v>
      </c>
      <c r="N291">
        <f>1/(COUNT(SimData1!$D$9:$D$508)-1)+$N$290</f>
        <v>0.56513026052104254</v>
      </c>
      <c r="O291">
        <f>SMALL(SimData1!$E$9:$E$508,283)</f>
        <v>21.821736567114009</v>
      </c>
      <c r="P291">
        <f>1/(COUNT(SimData1!$E$9:$E$508)-1)+$P$290</f>
        <v>0.56513026052104254</v>
      </c>
      <c r="Q291">
        <f>SMALL(SimData1!$F$9:$F$508,283)</f>
        <v>0.23</v>
      </c>
      <c r="R291">
        <f>1/(COUNT(SimData1!$F$9:$F$508)-1)+$R$290</f>
        <v>0.56513026052104254</v>
      </c>
      <c r="S291">
        <f>SMALL(SimData1!$G$9:$G$508,283)</f>
        <v>9</v>
      </c>
      <c r="T291">
        <f>1/(COUNT(SimData1!$G$9:$G$508)-1)+$T$290</f>
        <v>0.56513026052104254</v>
      </c>
    </row>
    <row r="292" spans="1:20">
      <c r="A292">
        <v>284</v>
      </c>
      <c r="B292">
        <v>15.756112904456746</v>
      </c>
      <c r="C292">
        <v>9.6940952899749604</v>
      </c>
      <c r="D292">
        <v>9.189057543876828</v>
      </c>
      <c r="E292">
        <v>23.866960095196777</v>
      </c>
      <c r="F292">
        <v>0.23</v>
      </c>
      <c r="G292">
        <v>9</v>
      </c>
      <c r="I292">
        <f>SMALL(SimData1!$B$9:$B$508,284)</f>
        <v>10.509498368553048</v>
      </c>
      <c r="J292">
        <f>1/(COUNT(SimData1!$B$9:$B$508)-1)+$J$291</f>
        <v>0.5671342685370746</v>
      </c>
      <c r="K292">
        <f>SMALL(SimData1!$C$9:$C$508,284)</f>
        <v>6.5426147406023496</v>
      </c>
      <c r="L292">
        <f>1/(COUNT(SimData1!$C$9:$C$508)-1)+$L$291</f>
        <v>0.5671342685370746</v>
      </c>
      <c r="M292">
        <f>SMALL(SimData1!$D$9:$D$508,284)</f>
        <v>9.5387233038830388</v>
      </c>
      <c r="N292">
        <f>1/(COUNT(SimData1!$D$9:$D$508)-1)+$N$291</f>
        <v>0.5671342685370746</v>
      </c>
      <c r="O292">
        <f>SMALL(SimData1!$E$9:$E$508,284)</f>
        <v>21.831048033019353</v>
      </c>
      <c r="P292">
        <f>1/(COUNT(SimData1!$E$9:$E$508)-1)+$P$291</f>
        <v>0.5671342685370746</v>
      </c>
      <c r="Q292">
        <f>SMALL(SimData1!$F$9:$F$508,284)</f>
        <v>0.23</v>
      </c>
      <c r="R292">
        <f>1/(COUNT(SimData1!$F$9:$F$508)-1)+$R$291</f>
        <v>0.5671342685370746</v>
      </c>
      <c r="S292">
        <f>SMALL(SimData1!$G$9:$G$508,284)</f>
        <v>9</v>
      </c>
      <c r="T292">
        <f>1/(COUNT(SimData1!$G$9:$G$508)-1)+$T$291</f>
        <v>0.5671342685370746</v>
      </c>
    </row>
    <row r="293" spans="1:20">
      <c r="A293">
        <v>285</v>
      </c>
      <c r="B293">
        <v>13.503811169175366</v>
      </c>
      <c r="C293">
        <v>3.7174561755148359</v>
      </c>
      <c r="D293">
        <v>10.5291664550214</v>
      </c>
      <c r="E293">
        <v>-0.29058374451792734</v>
      </c>
      <c r="F293">
        <v>0.23</v>
      </c>
      <c r="G293">
        <v>6</v>
      </c>
      <c r="I293">
        <f>SMALL(SimData1!$B$9:$B$508,285)</f>
        <v>10.514237545846568</v>
      </c>
      <c r="J293">
        <f>1/(COUNT(SimData1!$B$9:$B$508)-1)+$J$292</f>
        <v>0.56913827655310667</v>
      </c>
      <c r="K293">
        <f>SMALL(SimData1!$C$9:$C$508,285)</f>
        <v>6.557953822139174</v>
      </c>
      <c r="L293">
        <f>1/(COUNT(SimData1!$C$9:$C$508)-1)+$L$292</f>
        <v>0.56913827655310667</v>
      </c>
      <c r="M293">
        <f>SMALL(SimData1!$D$9:$D$508,285)</f>
        <v>9.5476086831287503</v>
      </c>
      <c r="N293">
        <f>1/(COUNT(SimData1!$D$9:$D$508)-1)+$N$292</f>
        <v>0.56913827655310667</v>
      </c>
      <c r="O293">
        <f>SMALL(SimData1!$E$9:$E$508,285)</f>
        <v>21.849941883358948</v>
      </c>
      <c r="P293">
        <f>1/(COUNT(SimData1!$E$9:$E$508)-1)+$P$292</f>
        <v>0.56913827655310667</v>
      </c>
      <c r="Q293">
        <f>SMALL(SimData1!$F$9:$F$508,285)</f>
        <v>0.23</v>
      </c>
      <c r="R293">
        <f>1/(COUNT(SimData1!$F$9:$F$508)-1)+$R$292</f>
        <v>0.56913827655310667</v>
      </c>
      <c r="S293">
        <f>SMALL(SimData1!$G$9:$G$508,285)</f>
        <v>9</v>
      </c>
      <c r="T293">
        <f>1/(COUNT(SimData1!$G$9:$G$508)-1)+$T$292</f>
        <v>0.56913827655310667</v>
      </c>
    </row>
    <row r="294" spans="1:20">
      <c r="A294">
        <v>286</v>
      </c>
      <c r="B294">
        <v>4.1038954508716827</v>
      </c>
      <c r="C294">
        <v>9.2356585435093521</v>
      </c>
      <c r="D294">
        <v>9.697292153841186</v>
      </c>
      <c r="E294">
        <v>-1.1985905389719096</v>
      </c>
      <c r="F294">
        <v>0.23</v>
      </c>
      <c r="G294">
        <v>12</v>
      </c>
      <c r="I294">
        <f>SMALL(SimData1!$B$9:$B$508,286)</f>
        <v>10.537958033253975</v>
      </c>
      <c r="J294">
        <f>1/(COUNT(SimData1!$B$9:$B$508)-1)+$J$293</f>
        <v>0.57114228456913874</v>
      </c>
      <c r="K294">
        <f>SMALL(SimData1!$C$9:$C$508,286)</f>
        <v>6.5665636335179585</v>
      </c>
      <c r="L294">
        <f>1/(COUNT(SimData1!$C$9:$C$508)-1)+$L$293</f>
        <v>0.57114228456913874</v>
      </c>
      <c r="M294">
        <f>SMALL(SimData1!$D$9:$D$508,286)</f>
        <v>9.5600670627653752</v>
      </c>
      <c r="N294">
        <f>1/(COUNT(SimData1!$D$9:$D$508)-1)+$N$293</f>
        <v>0.57114228456913874</v>
      </c>
      <c r="O294">
        <f>SMALL(SimData1!$E$9:$E$508,286)</f>
        <v>21.851039485603891</v>
      </c>
      <c r="P294">
        <f>1/(COUNT(SimData1!$E$9:$E$508)-1)+$P$293</f>
        <v>0.57114228456913874</v>
      </c>
      <c r="Q294">
        <f>SMALL(SimData1!$F$9:$F$508,286)</f>
        <v>0.23</v>
      </c>
      <c r="R294">
        <f>1/(COUNT(SimData1!$F$9:$F$508)-1)+$R$293</f>
        <v>0.57114228456913874</v>
      </c>
      <c r="S294">
        <f>SMALL(SimData1!$G$9:$G$508,286)</f>
        <v>9</v>
      </c>
      <c r="T294">
        <f>1/(COUNT(SimData1!$G$9:$G$508)-1)+$T$293</f>
        <v>0.57114228456913874</v>
      </c>
    </row>
    <row r="295" spans="1:20">
      <c r="A295">
        <v>287</v>
      </c>
      <c r="B295">
        <v>11.253136161587838</v>
      </c>
      <c r="C295">
        <v>8.1477324336403356</v>
      </c>
      <c r="D295">
        <v>5.7302152462830334</v>
      </c>
      <c r="E295">
        <v>21.563015940631022</v>
      </c>
      <c r="F295">
        <v>0.23</v>
      </c>
      <c r="G295">
        <v>12</v>
      </c>
      <c r="I295">
        <f>SMALL(SimData1!$B$9:$B$508,287)</f>
        <v>10.552243818114956</v>
      </c>
      <c r="J295">
        <f>1/(COUNT(SimData1!$B$9:$B$508)-1)+$J$294</f>
        <v>0.5731462925851708</v>
      </c>
      <c r="K295">
        <f>SMALL(SimData1!$C$9:$C$508,287)</f>
        <v>6.5882589658713568</v>
      </c>
      <c r="L295">
        <f>1/(COUNT(SimData1!$C$9:$C$508)-1)+$L$294</f>
        <v>0.5731462925851708</v>
      </c>
      <c r="M295">
        <f>SMALL(SimData1!$D$9:$D$508,287)</f>
        <v>9.5868625146362145</v>
      </c>
      <c r="N295">
        <f>1/(COUNT(SimData1!$D$9:$D$508)-1)+$N$294</f>
        <v>0.5731462925851708</v>
      </c>
      <c r="O295">
        <f>SMALL(SimData1!$E$9:$E$508,287)</f>
        <v>21.869846127232762</v>
      </c>
      <c r="P295">
        <f>1/(COUNT(SimData1!$E$9:$E$508)-1)+$P$294</f>
        <v>0.5731462925851708</v>
      </c>
      <c r="Q295">
        <f>SMALL(SimData1!$F$9:$F$508,287)</f>
        <v>0.23</v>
      </c>
      <c r="R295">
        <f>1/(COUNT(SimData1!$F$9:$F$508)-1)+$R$294</f>
        <v>0.5731462925851708</v>
      </c>
      <c r="S295">
        <f>SMALL(SimData1!$G$9:$G$508,287)</f>
        <v>9</v>
      </c>
      <c r="T295">
        <f>1/(COUNT(SimData1!$G$9:$G$508)-1)+$T$294</f>
        <v>0.5731462925851708</v>
      </c>
    </row>
    <row r="296" spans="1:20">
      <c r="A296">
        <v>288</v>
      </c>
      <c r="B296">
        <v>8.8573966678777953</v>
      </c>
      <c r="C296">
        <v>6.1752954914232943</v>
      </c>
      <c r="D296">
        <v>7.5796350762107485</v>
      </c>
      <c r="E296">
        <v>23.086135649994567</v>
      </c>
      <c r="F296">
        <v>0.23</v>
      </c>
      <c r="G296">
        <v>2</v>
      </c>
      <c r="I296">
        <f>SMALL(SimData1!$B$9:$B$508,288)</f>
        <v>10.561370365712065</v>
      </c>
      <c r="J296">
        <f>1/(COUNT(SimData1!$B$9:$B$508)-1)+$J$295</f>
        <v>0.57515030060120287</v>
      </c>
      <c r="K296">
        <f>SMALL(SimData1!$C$9:$C$508,288)</f>
        <v>6.6064544068757565</v>
      </c>
      <c r="L296">
        <f>1/(COUNT(SimData1!$C$9:$C$508)-1)+$L$295</f>
        <v>0.57515030060120287</v>
      </c>
      <c r="M296">
        <f>SMALL(SimData1!$D$9:$D$508,288)</f>
        <v>9.5935231272581785</v>
      </c>
      <c r="N296">
        <f>1/(COUNT(SimData1!$D$9:$D$508)-1)+$N$295</f>
        <v>0.57515030060120287</v>
      </c>
      <c r="O296">
        <f>SMALL(SimData1!$E$9:$E$508,288)</f>
        <v>21.874581826863121</v>
      </c>
      <c r="P296">
        <f>1/(COUNT(SimData1!$E$9:$E$508)-1)+$P$295</f>
        <v>0.57515030060120287</v>
      </c>
      <c r="Q296">
        <f>SMALL(SimData1!$F$9:$F$508,288)</f>
        <v>0.23</v>
      </c>
      <c r="R296">
        <f>1/(COUNT(SimData1!$F$9:$F$508)-1)+$R$295</f>
        <v>0.57515030060120287</v>
      </c>
      <c r="S296">
        <f>SMALL(SimData1!$G$9:$G$508,288)</f>
        <v>9</v>
      </c>
      <c r="T296">
        <f>1/(COUNT(SimData1!$G$9:$G$508)-1)+$T$295</f>
        <v>0.57515030060120287</v>
      </c>
    </row>
    <row r="297" spans="1:20">
      <c r="A297">
        <v>289</v>
      </c>
      <c r="B297">
        <v>10.993273034151866</v>
      </c>
      <c r="C297">
        <v>9.8121943313600948</v>
      </c>
      <c r="D297">
        <v>8.121883114781669</v>
      </c>
      <c r="E297">
        <v>-4.3643507480155996E-2</v>
      </c>
      <c r="F297">
        <v>0.23</v>
      </c>
      <c r="G297">
        <v>2</v>
      </c>
      <c r="I297">
        <f>SMALL(SimData1!$B$9:$B$508,289)</f>
        <v>10.581519236556066</v>
      </c>
      <c r="J297">
        <f>1/(COUNT(SimData1!$B$9:$B$508)-1)+$J$296</f>
        <v>0.57715430861723493</v>
      </c>
      <c r="K297">
        <f>SMALL(SimData1!$C$9:$C$508,289)</f>
        <v>6.6147962462098331</v>
      </c>
      <c r="L297">
        <f>1/(COUNT(SimData1!$C$9:$C$508)-1)+$L$296</f>
        <v>0.57715430861723493</v>
      </c>
      <c r="M297">
        <f>SMALL(SimData1!$D$9:$D$508,289)</f>
        <v>9.6129457244437528</v>
      </c>
      <c r="N297">
        <f>1/(COUNT(SimData1!$D$9:$D$508)-1)+$N$296</f>
        <v>0.57715430861723493</v>
      </c>
      <c r="O297">
        <f>SMALL(SimData1!$E$9:$E$508,289)</f>
        <v>21.888676832888901</v>
      </c>
      <c r="P297">
        <f>1/(COUNT(SimData1!$E$9:$E$508)-1)+$P$296</f>
        <v>0.57715430861723493</v>
      </c>
      <c r="Q297">
        <f>SMALL(SimData1!$F$9:$F$508,289)</f>
        <v>0.23</v>
      </c>
      <c r="R297">
        <f>1/(COUNT(SimData1!$F$9:$F$508)-1)+$R$296</f>
        <v>0.57715430861723493</v>
      </c>
      <c r="S297">
        <f>SMALL(SimData1!$G$9:$G$508,289)</f>
        <v>9</v>
      </c>
      <c r="T297">
        <f>1/(COUNT(SimData1!$G$9:$G$508)-1)+$T$296</f>
        <v>0.57715430861723493</v>
      </c>
    </row>
    <row r="298" spans="1:20">
      <c r="A298">
        <v>290</v>
      </c>
      <c r="B298">
        <v>14.031963760483118</v>
      </c>
      <c r="C298">
        <v>7.8459268127991644</v>
      </c>
      <c r="D298">
        <v>8.9344434826389065</v>
      </c>
      <c r="E298">
        <v>-0.71523433093843369</v>
      </c>
      <c r="F298">
        <v>0.23</v>
      </c>
      <c r="G298">
        <v>9</v>
      </c>
      <c r="I298">
        <f>SMALL(SimData1!$B$9:$B$508,290)</f>
        <v>10.604853123795378</v>
      </c>
      <c r="J298">
        <f>1/(COUNT(SimData1!$B$9:$B$508)-1)+$J$297</f>
        <v>0.579158316633267</v>
      </c>
      <c r="K298">
        <f>SMALL(SimData1!$C$9:$C$508,290)</f>
        <v>6.6380830367612846</v>
      </c>
      <c r="L298">
        <f>1/(COUNT(SimData1!$C$9:$C$508)-1)+$L$297</f>
        <v>0.579158316633267</v>
      </c>
      <c r="M298">
        <f>SMALL(SimData1!$D$9:$D$508,290)</f>
        <v>9.6340736756571737</v>
      </c>
      <c r="N298">
        <f>1/(COUNT(SimData1!$D$9:$D$508)-1)+$N$297</f>
        <v>0.579158316633267</v>
      </c>
      <c r="O298">
        <f>SMALL(SimData1!$E$9:$E$508,290)</f>
        <v>21.892390183282814</v>
      </c>
      <c r="P298">
        <f>1/(COUNT(SimData1!$E$9:$E$508)-1)+$P$297</f>
        <v>0.579158316633267</v>
      </c>
      <c r="Q298">
        <f>SMALL(SimData1!$F$9:$F$508,290)</f>
        <v>0.23</v>
      </c>
      <c r="R298">
        <f>1/(COUNT(SimData1!$F$9:$F$508)-1)+$R$297</f>
        <v>0.579158316633267</v>
      </c>
      <c r="S298">
        <f>SMALL(SimData1!$G$9:$G$508,290)</f>
        <v>9</v>
      </c>
      <c r="T298">
        <f>1/(COUNT(SimData1!$G$9:$G$508)-1)+$T$297</f>
        <v>0.579158316633267</v>
      </c>
    </row>
    <row r="299" spans="1:20">
      <c r="A299">
        <v>291</v>
      </c>
      <c r="B299">
        <v>10.481226858119992</v>
      </c>
      <c r="C299">
        <v>7.6774331398376807</v>
      </c>
      <c r="D299">
        <v>10.814933733770376</v>
      </c>
      <c r="E299">
        <v>-0.44374920783178018</v>
      </c>
      <c r="F299">
        <v>0.23</v>
      </c>
      <c r="G299">
        <v>2</v>
      </c>
      <c r="I299">
        <f>SMALL(SimData1!$B$9:$B$508,291)</f>
        <v>10.610802103648144</v>
      </c>
      <c r="J299">
        <f>1/(COUNT(SimData1!$B$9:$B$508)-1)+$J$298</f>
        <v>0.58116232464929907</v>
      </c>
      <c r="K299">
        <f>SMALL(SimData1!$C$9:$C$508,291)</f>
        <v>6.6529765139848402</v>
      </c>
      <c r="L299">
        <f>1/(COUNT(SimData1!$C$9:$C$508)-1)+$L$298</f>
        <v>0.58116232464929907</v>
      </c>
      <c r="M299">
        <f>SMALL(SimData1!$D$9:$D$508,291)</f>
        <v>9.6423300433723078</v>
      </c>
      <c r="N299">
        <f>1/(COUNT(SimData1!$D$9:$D$508)-1)+$N$298</f>
        <v>0.58116232464929907</v>
      </c>
      <c r="O299">
        <f>SMALL(SimData1!$E$9:$E$508,291)</f>
        <v>21.904543738082999</v>
      </c>
      <c r="P299">
        <f>1/(COUNT(SimData1!$E$9:$E$508)-1)+$P$298</f>
        <v>0.58116232464929907</v>
      </c>
      <c r="Q299">
        <f>SMALL(SimData1!$F$9:$F$508,291)</f>
        <v>0.23</v>
      </c>
      <c r="R299">
        <f>1/(COUNT(SimData1!$F$9:$F$508)-1)+$R$298</f>
        <v>0.58116232464929907</v>
      </c>
      <c r="S299">
        <f>SMALL(SimData1!$G$9:$G$508,291)</f>
        <v>9</v>
      </c>
      <c r="T299">
        <f>1/(COUNT(SimData1!$G$9:$G$508)-1)+$T$298</f>
        <v>0.58116232464929907</v>
      </c>
    </row>
    <row r="300" spans="1:20">
      <c r="A300">
        <v>292</v>
      </c>
      <c r="B300">
        <v>12.649460490406272</v>
      </c>
      <c r="C300">
        <v>6.2223020383935195</v>
      </c>
      <c r="D300">
        <v>7.4984526743130884</v>
      </c>
      <c r="E300">
        <v>-1.4851259350399904</v>
      </c>
      <c r="F300">
        <v>0.23</v>
      </c>
      <c r="G300">
        <v>4</v>
      </c>
      <c r="I300">
        <f>SMALL(SimData1!$B$9:$B$508,292)</f>
        <v>10.630455958818626</v>
      </c>
      <c r="J300">
        <f>1/(COUNT(SimData1!$B$9:$B$508)-1)+$J$299</f>
        <v>0.58316633266533113</v>
      </c>
      <c r="K300">
        <f>SMALL(SimData1!$C$9:$C$508,292)</f>
        <v>6.6679557049637559</v>
      </c>
      <c r="L300">
        <f>1/(COUNT(SimData1!$C$9:$C$508)-1)+$L$299</f>
        <v>0.58316633266533113</v>
      </c>
      <c r="M300">
        <f>SMALL(SimData1!$D$9:$D$508,292)</f>
        <v>9.6716745591423638</v>
      </c>
      <c r="N300">
        <f>1/(COUNT(SimData1!$D$9:$D$508)-1)+$N$299</f>
        <v>0.58316633266533113</v>
      </c>
      <c r="O300">
        <f>SMALL(SimData1!$E$9:$E$508,292)</f>
        <v>21.914236196286851</v>
      </c>
      <c r="P300">
        <f>1/(COUNT(SimData1!$E$9:$E$508)-1)+$P$299</f>
        <v>0.58316633266533113</v>
      </c>
      <c r="Q300">
        <f>SMALL(SimData1!$F$9:$F$508,292)</f>
        <v>0.23</v>
      </c>
      <c r="R300">
        <f>1/(COUNT(SimData1!$F$9:$F$508)-1)+$R$299</f>
        <v>0.58316633266533113</v>
      </c>
      <c r="S300">
        <f>SMALL(SimData1!$G$9:$G$508,292)</f>
        <v>9</v>
      </c>
      <c r="T300">
        <f>1/(COUNT(SimData1!$G$9:$G$508)-1)+$T$299</f>
        <v>0.58316633266533113</v>
      </c>
    </row>
    <row r="301" spans="1:20">
      <c r="A301">
        <v>293</v>
      </c>
      <c r="B301">
        <v>12.274926108892572</v>
      </c>
      <c r="C301">
        <v>6.5882589658713568</v>
      </c>
      <c r="D301">
        <v>7.5462232089941912</v>
      </c>
      <c r="E301">
        <v>-0.98798488918812599</v>
      </c>
      <c r="F301">
        <v>0.23</v>
      </c>
      <c r="G301">
        <v>10</v>
      </c>
      <c r="I301">
        <f>SMALL(SimData1!$B$9:$B$508,293)</f>
        <v>10.645872465048111</v>
      </c>
      <c r="J301">
        <f>1/(COUNT(SimData1!$B$9:$B$508)-1)+$J$300</f>
        <v>0.5851703406813632</v>
      </c>
      <c r="K301">
        <f>SMALL(SimData1!$C$9:$C$508,293)</f>
        <v>6.6826246741699578</v>
      </c>
      <c r="L301">
        <f>1/(COUNT(SimData1!$C$9:$C$508)-1)+$L$300</f>
        <v>0.5851703406813632</v>
      </c>
      <c r="M301">
        <f>SMALL(SimData1!$D$9:$D$508,293)</f>
        <v>9.6756914937840044</v>
      </c>
      <c r="N301">
        <f>1/(COUNT(SimData1!$D$9:$D$508)-1)+$N$300</f>
        <v>0.5851703406813632</v>
      </c>
      <c r="O301">
        <f>SMALL(SimData1!$E$9:$E$508,293)</f>
        <v>21.924054906306683</v>
      </c>
      <c r="P301">
        <f>1/(COUNT(SimData1!$E$9:$E$508)-1)+$P$300</f>
        <v>0.5851703406813632</v>
      </c>
      <c r="Q301">
        <f>SMALL(SimData1!$F$9:$F$508,293)</f>
        <v>0.23</v>
      </c>
      <c r="R301">
        <f>1/(COUNT(SimData1!$F$9:$F$508)-1)+$R$300</f>
        <v>0.5851703406813632</v>
      </c>
      <c r="S301">
        <f>SMALL(SimData1!$G$9:$G$508,293)</f>
        <v>9</v>
      </c>
      <c r="T301">
        <f>1/(COUNT(SimData1!$G$9:$G$508)-1)+$T$300</f>
        <v>0.5851703406813632</v>
      </c>
    </row>
    <row r="302" spans="1:20">
      <c r="A302">
        <v>294</v>
      </c>
      <c r="B302">
        <v>11.551620413310681</v>
      </c>
      <c r="C302">
        <v>8.9319014838458735</v>
      </c>
      <c r="D302">
        <v>2.3088928761568135</v>
      </c>
      <c r="E302">
        <v>5.9858143045410372E-4</v>
      </c>
      <c r="F302">
        <v>0.23</v>
      </c>
      <c r="G302">
        <v>6</v>
      </c>
      <c r="I302">
        <f>SMALL(SimData1!$B$9:$B$508,294)</f>
        <v>10.666918502239728</v>
      </c>
      <c r="J302">
        <f>1/(COUNT(SimData1!$B$9:$B$508)-1)+$J$301</f>
        <v>0.58717434869739527</v>
      </c>
      <c r="K302">
        <f>SMALL(SimData1!$C$9:$C$508,294)</f>
        <v>6.6933839739126579</v>
      </c>
      <c r="L302">
        <f>1/(COUNT(SimData1!$C$9:$C$508)-1)+$L$301</f>
        <v>0.58717434869739527</v>
      </c>
      <c r="M302">
        <f>SMALL(SimData1!$D$9:$D$508,294)</f>
        <v>9.697292153841186</v>
      </c>
      <c r="N302">
        <f>1/(COUNT(SimData1!$D$9:$D$508)-1)+$N$301</f>
        <v>0.58717434869739527</v>
      </c>
      <c r="O302">
        <f>SMALL(SimData1!$E$9:$E$508,294)</f>
        <v>21.931461833376982</v>
      </c>
      <c r="P302">
        <f>1/(COUNT(SimData1!$E$9:$E$508)-1)+$P$301</f>
        <v>0.58717434869739527</v>
      </c>
      <c r="Q302">
        <f>SMALL(SimData1!$F$9:$F$508,294)</f>
        <v>0.23</v>
      </c>
      <c r="R302">
        <f>1/(COUNT(SimData1!$F$9:$F$508)-1)+$R$301</f>
        <v>0.58717434869739527</v>
      </c>
      <c r="S302">
        <f>SMALL(SimData1!$G$9:$G$508,294)</f>
        <v>9</v>
      </c>
      <c r="T302">
        <f>1/(COUNT(SimData1!$G$9:$G$508)-1)+$T$301</f>
        <v>0.58717434869739527</v>
      </c>
    </row>
    <row r="303" spans="1:20">
      <c r="A303">
        <v>295</v>
      </c>
      <c r="B303">
        <v>9.3801698239802427</v>
      </c>
      <c r="C303">
        <v>7.4514128146458916</v>
      </c>
      <c r="D303">
        <v>2.4885291938969236</v>
      </c>
      <c r="E303">
        <v>21.904543738082999</v>
      </c>
      <c r="F303">
        <v>0.23</v>
      </c>
      <c r="G303">
        <v>4</v>
      </c>
      <c r="I303">
        <f>SMALL(SimData1!$B$9:$B$508,295)</f>
        <v>10.682306754413762</v>
      </c>
      <c r="J303">
        <f>1/(COUNT(SimData1!$B$9:$B$508)-1)+$J$302</f>
        <v>0.58917835671342733</v>
      </c>
      <c r="K303">
        <f>SMALL(SimData1!$C$9:$C$508,295)</f>
        <v>6.7132789312063901</v>
      </c>
      <c r="L303">
        <f>1/(COUNT(SimData1!$C$9:$C$508)-1)+$L$302</f>
        <v>0.58917835671342733</v>
      </c>
      <c r="M303">
        <f>SMALL(SimData1!$D$9:$D$508,295)</f>
        <v>9.7114368869567844</v>
      </c>
      <c r="N303">
        <f>1/(COUNT(SimData1!$D$9:$D$508)-1)+$N$302</f>
        <v>0.58917835671342733</v>
      </c>
      <c r="O303">
        <f>SMALL(SimData1!$E$9:$E$508,295)</f>
        <v>21.946897865294332</v>
      </c>
      <c r="P303">
        <f>1/(COUNT(SimData1!$E$9:$E$508)-1)+$P$302</f>
        <v>0.58917835671342733</v>
      </c>
      <c r="Q303">
        <f>SMALL(SimData1!$F$9:$F$508,295)</f>
        <v>0.23</v>
      </c>
      <c r="R303">
        <f>1/(COUNT(SimData1!$F$9:$F$508)-1)+$R$302</f>
        <v>0.58917835671342733</v>
      </c>
      <c r="S303">
        <f>SMALL(SimData1!$G$9:$G$508,295)</f>
        <v>9</v>
      </c>
      <c r="T303">
        <f>1/(COUNT(SimData1!$G$9:$G$508)-1)+$T$302</f>
        <v>0.58917835671342733</v>
      </c>
    </row>
    <row r="304" spans="1:20">
      <c r="A304">
        <v>296</v>
      </c>
      <c r="B304">
        <v>8.2291697384021809</v>
      </c>
      <c r="C304">
        <v>5.2827104151441509</v>
      </c>
      <c r="D304">
        <v>12.247275811694394</v>
      </c>
      <c r="E304">
        <v>21.973517425718715</v>
      </c>
      <c r="F304">
        <v>0.23</v>
      </c>
      <c r="G304">
        <v>10</v>
      </c>
      <c r="I304">
        <f>SMALL(SimData1!$B$9:$B$508,296)</f>
        <v>10.69316460550861</v>
      </c>
      <c r="J304">
        <f>1/(COUNT(SimData1!$B$9:$B$508)-1)+$J$303</f>
        <v>0.5911823647294594</v>
      </c>
      <c r="K304">
        <f>SMALL(SimData1!$C$9:$C$508,296)</f>
        <v>6.7236862251655403</v>
      </c>
      <c r="L304">
        <f>1/(COUNT(SimData1!$C$9:$C$508)-1)+$L$303</f>
        <v>0.5911823647294594</v>
      </c>
      <c r="M304">
        <f>SMALL(SimData1!$D$9:$D$508,296)</f>
        <v>9.7233545969732464</v>
      </c>
      <c r="N304">
        <f>1/(COUNT(SimData1!$D$9:$D$508)-1)+$N$303</f>
        <v>0.5911823647294594</v>
      </c>
      <c r="O304">
        <f>SMALL(SimData1!$E$9:$E$508,296)</f>
        <v>21.953615695617248</v>
      </c>
      <c r="P304">
        <f>1/(COUNT(SimData1!$E$9:$E$508)-1)+$P$303</f>
        <v>0.5911823647294594</v>
      </c>
      <c r="Q304">
        <f>SMALL(SimData1!$F$9:$F$508,296)</f>
        <v>0.23</v>
      </c>
      <c r="R304">
        <f>1/(COUNT(SimData1!$F$9:$F$508)-1)+$R$303</f>
        <v>0.5911823647294594</v>
      </c>
      <c r="S304">
        <f>SMALL(SimData1!$G$9:$G$508,296)</f>
        <v>9</v>
      </c>
      <c r="T304">
        <f>1/(COUNT(SimData1!$G$9:$G$508)-1)+$T$303</f>
        <v>0.5911823647294594</v>
      </c>
    </row>
    <row r="305" spans="1:20">
      <c r="A305">
        <v>297</v>
      </c>
      <c r="B305">
        <v>1.7250030091699209</v>
      </c>
      <c r="C305">
        <v>4.3755287551413122</v>
      </c>
      <c r="D305">
        <v>2.8420480806571549</v>
      </c>
      <c r="E305">
        <v>-0.21805203947521856</v>
      </c>
      <c r="F305">
        <v>0.23</v>
      </c>
      <c r="G305">
        <v>10</v>
      </c>
      <c r="I305">
        <f>SMALL(SimData1!$B$9:$B$508,297)</f>
        <v>10.700126221894864</v>
      </c>
      <c r="J305">
        <f>1/(COUNT(SimData1!$B$9:$B$508)-1)+$J$304</f>
        <v>0.59318637274549146</v>
      </c>
      <c r="K305">
        <f>SMALL(SimData1!$C$9:$C$508,297)</f>
        <v>6.7394817346417071</v>
      </c>
      <c r="L305">
        <f>1/(COUNT(SimData1!$C$9:$C$508)-1)+$L$304</f>
        <v>0.59318637274549146</v>
      </c>
      <c r="M305">
        <f>SMALL(SimData1!$D$9:$D$508,297)</f>
        <v>9.7476950247389489</v>
      </c>
      <c r="N305">
        <f>1/(COUNT(SimData1!$D$9:$D$508)-1)+$N$304</f>
        <v>0.59318637274549146</v>
      </c>
      <c r="O305">
        <f>SMALL(SimData1!$E$9:$E$508,297)</f>
        <v>21.968256809634394</v>
      </c>
      <c r="P305">
        <f>1/(COUNT(SimData1!$E$9:$E$508)-1)+$P$304</f>
        <v>0.59318637274549146</v>
      </c>
      <c r="Q305">
        <f>SMALL(SimData1!$F$9:$F$508,297)</f>
        <v>0.23</v>
      </c>
      <c r="R305">
        <f>1/(COUNT(SimData1!$F$9:$F$508)-1)+$R$304</f>
        <v>0.59318637274549146</v>
      </c>
      <c r="S305">
        <f>SMALL(SimData1!$G$9:$G$508,297)</f>
        <v>9</v>
      </c>
      <c r="T305">
        <f>1/(COUNT(SimData1!$G$9:$G$508)-1)+$T$304</f>
        <v>0.59318637274549146</v>
      </c>
    </row>
    <row r="306" spans="1:20">
      <c r="A306">
        <v>298</v>
      </c>
      <c r="B306">
        <v>12.207668497946862</v>
      </c>
      <c r="C306">
        <v>4.8903604686768638</v>
      </c>
      <c r="D306">
        <v>2.3815607034204436</v>
      </c>
      <c r="E306">
        <v>23.897629375997031</v>
      </c>
      <c r="F306">
        <v>0.23</v>
      </c>
      <c r="G306">
        <v>10</v>
      </c>
      <c r="I306">
        <f>SMALL(SimData1!$B$9:$B$508,298)</f>
        <v>10.7275973942095</v>
      </c>
      <c r="J306">
        <f>1/(COUNT(SimData1!$B$9:$B$508)-1)+$J$305</f>
        <v>0.59519038076152353</v>
      </c>
      <c r="K306">
        <f>SMALL(SimData1!$C$9:$C$508,298)</f>
        <v>6.7550444606288904</v>
      </c>
      <c r="L306">
        <f>1/(COUNT(SimData1!$C$9:$C$508)-1)+$L$305</f>
        <v>0.59519038076152353</v>
      </c>
      <c r="M306">
        <f>SMALL(SimData1!$D$9:$D$508,298)</f>
        <v>9.7664546336081006</v>
      </c>
      <c r="N306">
        <f>1/(COUNT(SimData1!$D$9:$D$508)-1)+$N$305</f>
        <v>0.59519038076152353</v>
      </c>
      <c r="O306">
        <f>SMALL(SimData1!$E$9:$E$508,298)</f>
        <v>21.973517425718715</v>
      </c>
      <c r="P306">
        <f>1/(COUNT(SimData1!$E$9:$E$508)-1)+$P$305</f>
        <v>0.59519038076152353</v>
      </c>
      <c r="Q306">
        <f>SMALL(SimData1!$F$9:$F$508,298)</f>
        <v>0.23</v>
      </c>
      <c r="R306">
        <f>1/(COUNT(SimData1!$F$9:$F$508)-1)+$R$305</f>
        <v>0.59519038076152353</v>
      </c>
      <c r="S306">
        <f>SMALL(SimData1!$G$9:$G$508,298)</f>
        <v>9</v>
      </c>
      <c r="T306">
        <f>1/(COUNT(SimData1!$G$9:$G$508)-1)+$T$305</f>
        <v>0.59519038076152353</v>
      </c>
    </row>
    <row r="307" spans="1:20">
      <c r="A307">
        <v>299</v>
      </c>
      <c r="B307">
        <v>10.239818347980675</v>
      </c>
      <c r="C307">
        <v>5.2757311338697868</v>
      </c>
      <c r="D307">
        <v>11.849741993461208</v>
      </c>
      <c r="E307">
        <v>21.946897865294332</v>
      </c>
      <c r="F307">
        <v>0.23</v>
      </c>
      <c r="G307">
        <v>9</v>
      </c>
      <c r="I307">
        <f>SMALL(SimData1!$B$9:$B$508,299)</f>
        <v>10.744179232880018</v>
      </c>
      <c r="J307">
        <f>1/(COUNT(SimData1!$B$9:$B$508)-1)+$J$306</f>
        <v>0.5971943887775556</v>
      </c>
      <c r="K307">
        <f>SMALL(SimData1!$C$9:$C$508,299)</f>
        <v>6.7736689358031539</v>
      </c>
      <c r="L307">
        <f>1/(COUNT(SimData1!$C$9:$C$508)-1)+$L$306</f>
        <v>0.5971943887775556</v>
      </c>
      <c r="M307">
        <f>SMALL(SimData1!$D$9:$D$508,299)</f>
        <v>9.7817588626476368</v>
      </c>
      <c r="N307">
        <f>1/(COUNT(SimData1!$D$9:$D$508)-1)+$N$306</f>
        <v>0.5971943887775556</v>
      </c>
      <c r="O307">
        <f>SMALL(SimData1!$E$9:$E$508,299)</f>
        <v>21.98437891766611</v>
      </c>
      <c r="P307">
        <f>1/(COUNT(SimData1!$E$9:$E$508)-1)+$P$306</f>
        <v>0.5971943887775556</v>
      </c>
      <c r="Q307">
        <f>SMALL(SimData1!$F$9:$F$508,299)</f>
        <v>0.23</v>
      </c>
      <c r="R307">
        <f>1/(COUNT(SimData1!$F$9:$F$508)-1)+$R$306</f>
        <v>0.5971943887775556</v>
      </c>
      <c r="S307">
        <f>SMALL(SimData1!$G$9:$G$508,299)</f>
        <v>9</v>
      </c>
      <c r="T307">
        <f>1/(COUNT(SimData1!$G$9:$G$508)-1)+$T$306</f>
        <v>0.5971943887775556</v>
      </c>
    </row>
    <row r="308" spans="1:20">
      <c r="A308">
        <v>300</v>
      </c>
      <c r="B308">
        <v>14.261836786250317</v>
      </c>
      <c r="C308">
        <v>2.5914749427101285</v>
      </c>
      <c r="D308">
        <v>10.886959985930231</v>
      </c>
      <c r="E308">
        <v>-1.1996144818693337</v>
      </c>
      <c r="F308">
        <v>0.23</v>
      </c>
      <c r="G308">
        <v>4</v>
      </c>
      <c r="I308">
        <f>SMALL(SimData1!$B$9:$B$508,300)</f>
        <v>10.757966398581351</v>
      </c>
      <c r="J308">
        <f>1/(COUNT(SimData1!$B$9:$B$508)-1)+$J$307</f>
        <v>0.59919839679358766</v>
      </c>
      <c r="K308">
        <f>SMALL(SimData1!$C$9:$C$508,300)</f>
        <v>6.7856038508754235</v>
      </c>
      <c r="L308">
        <f>1/(COUNT(SimData1!$C$9:$C$508)-1)+$L$307</f>
        <v>0.59919839679358766</v>
      </c>
      <c r="M308">
        <f>SMALL(SimData1!$D$9:$D$508,300)</f>
        <v>9.7943608289273349</v>
      </c>
      <c r="N308">
        <f>1/(COUNT(SimData1!$D$9:$D$508)-1)+$N$307</f>
        <v>0.59919839679358766</v>
      </c>
      <c r="O308">
        <f>SMALL(SimData1!$E$9:$E$508,300)</f>
        <v>21.997945049594282</v>
      </c>
      <c r="P308">
        <f>1/(COUNT(SimData1!$E$9:$E$508)-1)+$P$307</f>
        <v>0.59919839679358766</v>
      </c>
      <c r="Q308">
        <f>SMALL(SimData1!$F$9:$F$508,300)</f>
        <v>0.23</v>
      </c>
      <c r="R308">
        <f>1/(COUNT(SimData1!$F$9:$F$508)-1)+$R$307</f>
        <v>0.59919839679358766</v>
      </c>
      <c r="S308">
        <f>SMALL(SimData1!$G$9:$G$508,300)</f>
        <v>9</v>
      </c>
      <c r="T308">
        <f>1/(COUNT(SimData1!$G$9:$G$508)-1)+$T$307</f>
        <v>0.59919839679358766</v>
      </c>
    </row>
    <row r="309" spans="1:20">
      <c r="A309">
        <v>301</v>
      </c>
      <c r="B309">
        <v>14.102835411028632</v>
      </c>
      <c r="C309">
        <v>6.8914210628334951</v>
      </c>
      <c r="D309">
        <v>13.773683753659409</v>
      </c>
      <c r="E309">
        <v>0.13258780637866963</v>
      </c>
      <c r="F309">
        <v>0.23</v>
      </c>
      <c r="G309">
        <v>4</v>
      </c>
      <c r="I309">
        <f>SMALL(SimData1!$B$9:$B$508,301)</f>
        <v>10.773764379954786</v>
      </c>
      <c r="J309">
        <f>1/(COUNT(SimData1!$B$9:$B$508)-1)+$J$308</f>
        <v>0.60120240480961973</v>
      </c>
      <c r="K309">
        <f>SMALL(SimData1!$C$9:$C$508,301)</f>
        <v>6.8126537873066617</v>
      </c>
      <c r="L309">
        <f>1/(COUNT(SimData1!$C$9:$C$508)-1)+$L$308</f>
        <v>0.60120240480961973</v>
      </c>
      <c r="M309">
        <f>SMALL(SimData1!$D$9:$D$508,301)</f>
        <v>9.8088907887025023</v>
      </c>
      <c r="N309">
        <f>1/(COUNT(SimData1!$D$9:$D$508)-1)+$N$308</f>
        <v>0.60120240480961973</v>
      </c>
      <c r="O309">
        <f>SMALL(SimData1!$E$9:$E$508,301)</f>
        <v>22.00533516923274</v>
      </c>
      <c r="P309">
        <f>1/(COUNT(SimData1!$E$9:$E$508)-1)+$P$308</f>
        <v>0.60120240480961973</v>
      </c>
      <c r="Q309">
        <f>SMALL(SimData1!$F$9:$F$508,301)</f>
        <v>0.23</v>
      </c>
      <c r="R309">
        <f>1/(COUNT(SimData1!$F$9:$F$508)-1)+$R$308</f>
        <v>0.60120240480961973</v>
      </c>
      <c r="S309">
        <f>SMALL(SimData1!$G$9:$G$508,301)</f>
        <v>9</v>
      </c>
      <c r="T309">
        <f>1/(COUNT(SimData1!$G$9:$G$508)-1)+$T$308</f>
        <v>0.60120240480961973</v>
      </c>
    </row>
    <row r="310" spans="1:20">
      <c r="A310">
        <v>302</v>
      </c>
      <c r="B310">
        <v>10.938555398550561</v>
      </c>
      <c r="C310">
        <v>8.6352947444457779</v>
      </c>
      <c r="D310">
        <v>10.242176194360987</v>
      </c>
      <c r="E310">
        <v>-0.43584365121697455</v>
      </c>
      <c r="F310">
        <v>0.23</v>
      </c>
      <c r="G310">
        <v>9</v>
      </c>
      <c r="I310">
        <f>SMALL(SimData1!$B$9:$B$508,302)</f>
        <v>10.778646847047639</v>
      </c>
      <c r="J310">
        <f>1/(COUNT(SimData1!$B$9:$B$508)-1)+$J$309</f>
        <v>0.60320641282565179</v>
      </c>
      <c r="K310">
        <f>SMALL(SimData1!$C$9:$C$508,302)</f>
        <v>6.8311827347313949</v>
      </c>
      <c r="L310">
        <f>1/(COUNT(SimData1!$C$9:$C$508)-1)+$L$309</f>
        <v>0.60320641282565179</v>
      </c>
      <c r="M310">
        <f>SMALL(SimData1!$D$9:$D$508,302)</f>
        <v>9.8284888148113367</v>
      </c>
      <c r="N310">
        <f>1/(COUNT(SimData1!$D$9:$D$508)-1)+$N$309</f>
        <v>0.60320641282565179</v>
      </c>
      <c r="O310">
        <f>SMALL(SimData1!$E$9:$E$508,302)</f>
        <v>22.015599918456232</v>
      </c>
      <c r="P310">
        <f>1/(COUNT(SimData1!$E$9:$E$508)-1)+$P$309</f>
        <v>0.60320641282565179</v>
      </c>
      <c r="Q310">
        <f>SMALL(SimData1!$F$9:$F$508,302)</f>
        <v>0.23</v>
      </c>
      <c r="R310">
        <f>1/(COUNT(SimData1!$F$9:$F$508)-1)+$R$309</f>
        <v>0.60320641282565179</v>
      </c>
      <c r="S310">
        <f>SMALL(SimData1!$G$9:$G$508,302)</f>
        <v>9</v>
      </c>
      <c r="T310">
        <f>1/(COUNT(SimData1!$G$9:$G$508)-1)+$T$309</f>
        <v>0.60320641282565179</v>
      </c>
    </row>
    <row r="311" spans="1:20">
      <c r="A311">
        <v>303</v>
      </c>
      <c r="B311">
        <v>12.023860547437678</v>
      </c>
      <c r="C311">
        <v>3.0859950297917229</v>
      </c>
      <c r="D311">
        <v>10.898755174497783</v>
      </c>
      <c r="E311">
        <v>22.838229608994649</v>
      </c>
      <c r="F311">
        <v>0.23</v>
      </c>
      <c r="G311">
        <v>2</v>
      </c>
      <c r="I311">
        <f>SMALL(SimData1!$B$9:$B$508,303)</f>
        <v>10.79158376776434</v>
      </c>
      <c r="J311">
        <f>1/(COUNT(SimData1!$B$9:$B$508)-1)+$J$310</f>
        <v>0.60521042084168386</v>
      </c>
      <c r="K311">
        <f>SMALL(SimData1!$C$9:$C$508,303)</f>
        <v>6.8370440599147795</v>
      </c>
      <c r="L311">
        <f>1/(COUNT(SimData1!$C$9:$C$508)-1)+$L$310</f>
        <v>0.60521042084168386</v>
      </c>
      <c r="M311">
        <f>SMALL(SimData1!$D$9:$D$508,303)</f>
        <v>9.833378900155747</v>
      </c>
      <c r="N311">
        <f>1/(COUNT(SimData1!$D$9:$D$508)-1)+$N$310</f>
        <v>0.60521042084168386</v>
      </c>
      <c r="O311">
        <f>SMALL(SimData1!$E$9:$E$508,303)</f>
        <v>22.029130441079452</v>
      </c>
      <c r="P311">
        <f>1/(COUNT(SimData1!$E$9:$E$508)-1)+$P$310</f>
        <v>0.60521042084168386</v>
      </c>
      <c r="Q311">
        <f>SMALL(SimData1!$F$9:$F$508,303)</f>
        <v>0.23</v>
      </c>
      <c r="R311">
        <f>1/(COUNT(SimData1!$F$9:$F$508)-1)+$R$310</f>
        <v>0.60521042084168386</v>
      </c>
      <c r="S311">
        <f>SMALL(SimData1!$G$9:$G$508,303)</f>
        <v>9</v>
      </c>
      <c r="T311">
        <f>1/(COUNT(SimData1!$G$9:$G$508)-1)+$T$310</f>
        <v>0.60521042084168386</v>
      </c>
    </row>
    <row r="312" spans="1:20">
      <c r="A312">
        <v>304</v>
      </c>
      <c r="B312">
        <v>5.013373504103253</v>
      </c>
      <c r="C312">
        <v>3.5865364304190819</v>
      </c>
      <c r="D312">
        <v>15.803616325260048</v>
      </c>
      <c r="E312">
        <v>-3.0862772018843687E-2</v>
      </c>
      <c r="F312">
        <v>0.23</v>
      </c>
      <c r="G312">
        <v>9</v>
      </c>
      <c r="I312">
        <f>SMALL(SimData1!$B$9:$B$508,304)</f>
        <v>10.808221358862134</v>
      </c>
      <c r="J312">
        <f>1/(COUNT(SimData1!$B$9:$B$508)-1)+$J$311</f>
        <v>0.60721442885771593</v>
      </c>
      <c r="K312">
        <f>SMALL(SimData1!$C$9:$C$508,304)</f>
        <v>6.849406214688301</v>
      </c>
      <c r="L312">
        <f>1/(COUNT(SimData1!$C$9:$C$508)-1)+$L$311</f>
        <v>0.60721442885771593</v>
      </c>
      <c r="M312">
        <f>SMALL(SimData1!$D$9:$D$508,304)</f>
        <v>9.8626652428132164</v>
      </c>
      <c r="N312">
        <f>1/(COUNT(SimData1!$D$9:$D$508)-1)+$N$311</f>
        <v>0.60721442885771593</v>
      </c>
      <c r="O312">
        <f>SMALL(SimData1!$E$9:$E$508,304)</f>
        <v>22.03115568307123</v>
      </c>
      <c r="P312">
        <f>1/(COUNT(SimData1!$E$9:$E$508)-1)+$P$311</f>
        <v>0.60721442885771593</v>
      </c>
      <c r="Q312">
        <f>SMALL(SimData1!$F$9:$F$508,304)</f>
        <v>0.23</v>
      </c>
      <c r="R312">
        <f>1/(COUNT(SimData1!$F$9:$F$508)-1)+$R$311</f>
        <v>0.60721442885771593</v>
      </c>
      <c r="S312">
        <f>SMALL(SimData1!$G$9:$G$508,304)</f>
        <v>9</v>
      </c>
      <c r="T312">
        <f>1/(COUNT(SimData1!$G$9:$G$508)-1)+$T$311</f>
        <v>0.60721442885771593</v>
      </c>
    </row>
    <row r="313" spans="1:20">
      <c r="A313">
        <v>305</v>
      </c>
      <c r="B313">
        <v>11.281646568581978</v>
      </c>
      <c r="C313">
        <v>7.981736318375388</v>
      </c>
      <c r="D313">
        <v>10.597480805079798</v>
      </c>
      <c r="E313">
        <v>22.047134932645942</v>
      </c>
      <c r="F313">
        <v>0.23</v>
      </c>
      <c r="G313">
        <v>9</v>
      </c>
      <c r="I313">
        <f>SMALL(SimData1!$B$9:$B$508,305)</f>
        <v>10.825033373910733</v>
      </c>
      <c r="J313">
        <f>1/(COUNT(SimData1!$B$9:$B$508)-1)+$J$312</f>
        <v>0.60921843687374799</v>
      </c>
      <c r="K313">
        <f>SMALL(SimData1!$C$9:$C$508,305)</f>
        <v>6.8640136543475121</v>
      </c>
      <c r="L313">
        <f>1/(COUNT(SimData1!$C$9:$C$508)-1)+$L$312</f>
        <v>0.60921843687374799</v>
      </c>
      <c r="M313">
        <f>SMALL(SimData1!$D$9:$D$508,305)</f>
        <v>9.867623719436029</v>
      </c>
      <c r="N313">
        <f>1/(COUNT(SimData1!$D$9:$D$508)-1)+$N$312</f>
        <v>0.60921843687374799</v>
      </c>
      <c r="O313">
        <f>SMALL(SimData1!$E$9:$E$508,305)</f>
        <v>22.047134932645942</v>
      </c>
      <c r="P313">
        <f>1/(COUNT(SimData1!$E$9:$E$508)-1)+$P$312</f>
        <v>0.60921843687374799</v>
      </c>
      <c r="Q313">
        <f>SMALL(SimData1!$F$9:$F$508,305)</f>
        <v>0.23</v>
      </c>
      <c r="R313">
        <f>1/(COUNT(SimData1!$F$9:$F$508)-1)+$R$312</f>
        <v>0.60921843687374799</v>
      </c>
      <c r="S313">
        <f>SMALL(SimData1!$G$9:$G$508,305)</f>
        <v>9</v>
      </c>
      <c r="T313">
        <f>1/(COUNT(SimData1!$G$9:$G$508)-1)+$T$312</f>
        <v>0.60921843687374799</v>
      </c>
    </row>
    <row r="314" spans="1:20">
      <c r="A314">
        <v>306</v>
      </c>
      <c r="B314">
        <v>6.5860977983130677</v>
      </c>
      <c r="C314">
        <v>4.66440921096327</v>
      </c>
      <c r="D314">
        <v>4.7453735792416554</v>
      </c>
      <c r="E314">
        <v>-0.97403707034143505</v>
      </c>
      <c r="F314">
        <v>0.23</v>
      </c>
      <c r="G314">
        <v>12</v>
      </c>
      <c r="I314">
        <f>SMALL(SimData1!$B$9:$B$508,306)</f>
        <v>10.852620869852585</v>
      </c>
      <c r="J314">
        <f>1/(COUNT(SimData1!$B$9:$B$508)-1)+$J$313</f>
        <v>0.61122244488978006</v>
      </c>
      <c r="K314">
        <f>SMALL(SimData1!$C$9:$C$508,306)</f>
        <v>6.8914210628334951</v>
      </c>
      <c r="L314">
        <f>1/(COUNT(SimData1!$C$9:$C$508)-1)+$L$313</f>
        <v>0.61122244488978006</v>
      </c>
      <c r="M314">
        <f>SMALL(SimData1!$D$9:$D$508,306)</f>
        <v>9.8814044852483569</v>
      </c>
      <c r="N314">
        <f>1/(COUNT(SimData1!$D$9:$D$508)-1)+$N$313</f>
        <v>0.61122244488978006</v>
      </c>
      <c r="O314">
        <f>SMALL(SimData1!$E$9:$E$508,306)</f>
        <v>22.057321611768469</v>
      </c>
      <c r="P314">
        <f>1/(COUNT(SimData1!$E$9:$E$508)-1)+$P$313</f>
        <v>0.61122244488978006</v>
      </c>
      <c r="Q314">
        <f>SMALL(SimData1!$F$9:$F$508,306)</f>
        <v>0.23</v>
      </c>
      <c r="R314">
        <f>1/(COUNT(SimData1!$F$9:$F$508)-1)+$R$313</f>
        <v>0.61122244488978006</v>
      </c>
      <c r="S314">
        <f>SMALL(SimData1!$G$9:$G$508,306)</f>
        <v>9</v>
      </c>
      <c r="T314">
        <f>1/(COUNT(SimData1!$G$9:$G$508)-1)+$T$313</f>
        <v>0.61122244488978006</v>
      </c>
    </row>
    <row r="315" spans="1:20">
      <c r="A315">
        <v>307</v>
      </c>
      <c r="B315">
        <v>10.051146183302803</v>
      </c>
      <c r="C315">
        <v>6.3255769326513578</v>
      </c>
      <c r="D315">
        <v>17.658977262348632</v>
      </c>
      <c r="E315">
        <v>-0.79092983969381747</v>
      </c>
      <c r="F315">
        <v>0.23</v>
      </c>
      <c r="G315">
        <v>6</v>
      </c>
      <c r="I315">
        <f>SMALL(SimData1!$B$9:$B$508,307)</f>
        <v>10.866674820563194</v>
      </c>
      <c r="J315">
        <f>1/(COUNT(SimData1!$B$9:$B$508)-1)+$J$314</f>
        <v>0.61322645290581212</v>
      </c>
      <c r="K315">
        <f>SMALL(SimData1!$C$9:$C$508,307)</f>
        <v>6.9104451799873372</v>
      </c>
      <c r="L315">
        <f>1/(COUNT(SimData1!$C$9:$C$508)-1)+$L$314</f>
        <v>0.61322645290581212</v>
      </c>
      <c r="M315">
        <f>SMALL(SimData1!$D$9:$D$508,307)</f>
        <v>9.8965157734939169</v>
      </c>
      <c r="N315">
        <f>1/(COUNT(SimData1!$D$9:$D$508)-1)+$N$314</f>
        <v>0.61322645290581212</v>
      </c>
      <c r="O315">
        <f>SMALL(SimData1!$E$9:$E$508,307)</f>
        <v>22.067382298881423</v>
      </c>
      <c r="P315">
        <f>1/(COUNT(SimData1!$E$9:$E$508)-1)+$P$314</f>
        <v>0.61322645290581212</v>
      </c>
      <c r="Q315">
        <f>SMALL(SimData1!$F$9:$F$508,307)</f>
        <v>0.23</v>
      </c>
      <c r="R315">
        <f>1/(COUNT(SimData1!$F$9:$F$508)-1)+$R$314</f>
        <v>0.61322645290581212</v>
      </c>
      <c r="S315">
        <f>SMALL(SimData1!$G$9:$G$508,307)</f>
        <v>9</v>
      </c>
      <c r="T315">
        <f>1/(COUNT(SimData1!$G$9:$G$508)-1)+$T$314</f>
        <v>0.61322645290581212</v>
      </c>
    </row>
    <row r="316" spans="1:20">
      <c r="A316">
        <v>308</v>
      </c>
      <c r="B316">
        <v>13.14268702945119</v>
      </c>
      <c r="C316">
        <v>6.6679557049637559</v>
      </c>
      <c r="D316">
        <v>7.757815771763636</v>
      </c>
      <c r="E316">
        <v>-0.30118284518470406</v>
      </c>
      <c r="F316">
        <v>0.23</v>
      </c>
      <c r="G316">
        <v>10</v>
      </c>
      <c r="I316">
        <f>SMALL(SimData1!$B$9:$B$508,308)</f>
        <v>10.877355821797904</v>
      </c>
      <c r="J316">
        <f>1/(COUNT(SimData1!$B$9:$B$508)-1)+$J$315</f>
        <v>0.61523046092184419</v>
      </c>
      <c r="K316">
        <f>SMALL(SimData1!$C$9:$C$508,308)</f>
        <v>6.9205983944667029</v>
      </c>
      <c r="L316">
        <f>1/(COUNT(SimData1!$C$9:$C$508)-1)+$L$315</f>
        <v>0.61523046092184419</v>
      </c>
      <c r="M316">
        <f>SMALL(SimData1!$D$9:$D$508,308)</f>
        <v>9.9204473959823254</v>
      </c>
      <c r="N316">
        <f>1/(COUNT(SimData1!$D$9:$D$508)-1)+$N$315</f>
        <v>0.61523046092184419</v>
      </c>
      <c r="O316">
        <f>SMALL(SimData1!$E$9:$E$508,308)</f>
        <v>22.074620104922182</v>
      </c>
      <c r="P316">
        <f>1/(COUNT(SimData1!$E$9:$E$508)-1)+$P$315</f>
        <v>0.61523046092184419</v>
      </c>
      <c r="Q316">
        <f>SMALL(SimData1!$F$9:$F$508,308)</f>
        <v>0.23</v>
      </c>
      <c r="R316">
        <f>1/(COUNT(SimData1!$F$9:$F$508)-1)+$R$315</f>
        <v>0.61523046092184419</v>
      </c>
      <c r="S316">
        <f>SMALL(SimData1!$G$9:$G$508,308)</f>
        <v>9</v>
      </c>
      <c r="T316">
        <f>1/(COUNT(SimData1!$G$9:$G$508)-1)+$T$315</f>
        <v>0.61523046092184419</v>
      </c>
    </row>
    <row r="317" spans="1:20">
      <c r="A317">
        <v>309</v>
      </c>
      <c r="B317">
        <v>9.3743261433100891</v>
      </c>
      <c r="C317">
        <v>3.7088714859999881</v>
      </c>
      <c r="D317">
        <v>12.587934438896351</v>
      </c>
      <c r="E317">
        <v>-0.95401004445491622</v>
      </c>
      <c r="F317">
        <v>0.23</v>
      </c>
      <c r="G317">
        <v>4</v>
      </c>
      <c r="I317">
        <f>SMALL(SimData1!$B$9:$B$508,309)</f>
        <v>10.889798224802419</v>
      </c>
      <c r="J317">
        <f>1/(COUNT(SimData1!$B$9:$B$508)-1)+$J$316</f>
        <v>0.61723446893787626</v>
      </c>
      <c r="K317">
        <f>SMALL(SimData1!$C$9:$C$508,309)</f>
        <v>6.930752075344965</v>
      </c>
      <c r="L317">
        <f>1/(COUNT(SimData1!$C$9:$C$508)-1)+$L$316</f>
        <v>0.61723446893787626</v>
      </c>
      <c r="M317">
        <f>SMALL(SimData1!$D$9:$D$508,309)</f>
        <v>9.9356149307320862</v>
      </c>
      <c r="N317">
        <f>1/(COUNT(SimData1!$D$9:$D$508)-1)+$N$316</f>
        <v>0.61723446893787626</v>
      </c>
      <c r="O317">
        <f>SMALL(SimData1!$E$9:$E$508,309)</f>
        <v>22.088796147721112</v>
      </c>
      <c r="P317">
        <f>1/(COUNT(SimData1!$E$9:$E$508)-1)+$P$316</f>
        <v>0.61723446893787626</v>
      </c>
      <c r="Q317">
        <f>SMALL(SimData1!$F$9:$F$508,309)</f>
        <v>0.23</v>
      </c>
      <c r="R317">
        <f>1/(COUNT(SimData1!$F$9:$F$508)-1)+$R$316</f>
        <v>0.61723446893787626</v>
      </c>
      <c r="S317">
        <f>SMALL(SimData1!$G$9:$G$508,309)</f>
        <v>9</v>
      </c>
      <c r="T317">
        <f>1/(COUNT(SimData1!$G$9:$G$508)-1)+$T$316</f>
        <v>0.61723446893787626</v>
      </c>
    </row>
    <row r="318" spans="1:20">
      <c r="A318">
        <v>310</v>
      </c>
      <c r="B318">
        <v>11.133390439910476</v>
      </c>
      <c r="C318">
        <v>7.7905687714923566</v>
      </c>
      <c r="D318">
        <v>9.6423300433723078</v>
      </c>
      <c r="E318">
        <v>0.1053686781770673</v>
      </c>
      <c r="F318">
        <v>0.23</v>
      </c>
      <c r="G318">
        <v>4</v>
      </c>
      <c r="I318">
        <f>SMALL(SimData1!$B$9:$B$508,310)</f>
        <v>10.903827481502981</v>
      </c>
      <c r="J318">
        <f>1/(COUNT(SimData1!$B$9:$B$508)-1)+$J$317</f>
        <v>0.61923847695390832</v>
      </c>
      <c r="K318">
        <f>SMALL(SimData1!$C$9:$C$508,310)</f>
        <v>6.9452628680992081</v>
      </c>
      <c r="L318">
        <f>1/(COUNT(SimData1!$C$9:$C$508)-1)+$L$317</f>
        <v>0.61923847695390832</v>
      </c>
      <c r="M318">
        <f>SMALL(SimData1!$D$9:$D$508,310)</f>
        <v>9.9586016040925394</v>
      </c>
      <c r="N318">
        <f>1/(COUNT(SimData1!$D$9:$D$508)-1)+$N$317</f>
        <v>0.61923847695390832</v>
      </c>
      <c r="O318">
        <f>SMALL(SimData1!$E$9:$E$508,310)</f>
        <v>22.090349955568442</v>
      </c>
      <c r="P318">
        <f>1/(COUNT(SimData1!$E$9:$E$508)-1)+$P$317</f>
        <v>0.61923847695390832</v>
      </c>
      <c r="Q318">
        <f>SMALL(SimData1!$F$9:$F$508,310)</f>
        <v>0.23</v>
      </c>
      <c r="R318">
        <f>1/(COUNT(SimData1!$F$9:$F$508)-1)+$R$317</f>
        <v>0.61923847695390832</v>
      </c>
      <c r="S318">
        <f>SMALL(SimData1!$G$9:$G$508,310)</f>
        <v>9</v>
      </c>
      <c r="T318">
        <f>1/(COUNT(SimData1!$G$9:$G$508)-1)+$T$317</f>
        <v>0.61923847695390832</v>
      </c>
    </row>
    <row r="319" spans="1:20">
      <c r="A319">
        <v>311</v>
      </c>
      <c r="B319">
        <v>3.8295778092723953</v>
      </c>
      <c r="C319">
        <v>6.1456849283877952</v>
      </c>
      <c r="D319">
        <v>8.3200050554424543</v>
      </c>
      <c r="E319">
        <v>22.090349955568442</v>
      </c>
      <c r="F319">
        <v>0.23</v>
      </c>
      <c r="G319">
        <v>2</v>
      </c>
      <c r="I319">
        <f>SMALL(SimData1!$B$9:$B$508,311)</f>
        <v>10.92546197541289</v>
      </c>
      <c r="J319">
        <f>1/(COUNT(SimData1!$B$9:$B$508)-1)+$J$318</f>
        <v>0.62124248496994039</v>
      </c>
      <c r="K319">
        <f>SMALL(SimData1!$C$9:$C$508,311)</f>
        <v>6.975661275077532</v>
      </c>
      <c r="L319">
        <f>1/(COUNT(SimData1!$C$9:$C$508)-1)+$L$318</f>
        <v>0.62124248496994039</v>
      </c>
      <c r="M319">
        <f>SMALL(SimData1!$D$9:$D$508,311)</f>
        <v>9.9667745057509229</v>
      </c>
      <c r="N319">
        <f>1/(COUNT(SimData1!$D$9:$D$508)-1)+$N$318</f>
        <v>0.62124248496994039</v>
      </c>
      <c r="O319">
        <f>SMALL(SimData1!$E$9:$E$508,311)</f>
        <v>22.105686645315956</v>
      </c>
      <c r="P319">
        <f>1/(COUNT(SimData1!$E$9:$E$508)-1)+$P$318</f>
        <v>0.62124248496994039</v>
      </c>
      <c r="Q319">
        <f>SMALL(SimData1!$F$9:$F$508,311)</f>
        <v>0.23</v>
      </c>
      <c r="R319">
        <f>1/(COUNT(SimData1!$F$9:$F$508)-1)+$R$318</f>
        <v>0.62124248496994039</v>
      </c>
      <c r="S319">
        <f>SMALL(SimData1!$G$9:$G$508,311)</f>
        <v>9</v>
      </c>
      <c r="T319">
        <f>1/(COUNT(SimData1!$G$9:$G$508)-1)+$T$318</f>
        <v>0.62124248496994039</v>
      </c>
    </row>
    <row r="320" spans="1:20">
      <c r="A320">
        <v>312</v>
      </c>
      <c r="B320">
        <v>9.7164576810350702</v>
      </c>
      <c r="C320">
        <v>4.8584497470507513</v>
      </c>
      <c r="D320">
        <v>8.4856235673571057</v>
      </c>
      <c r="E320">
        <v>22.771354701140091</v>
      </c>
      <c r="F320">
        <v>0.23</v>
      </c>
      <c r="G320">
        <v>2</v>
      </c>
      <c r="I320">
        <f>SMALL(SimData1!$B$9:$B$508,312)</f>
        <v>10.938555398550561</v>
      </c>
      <c r="J320">
        <f>1/(COUNT(SimData1!$B$9:$B$508)-1)+$J$319</f>
        <v>0.62324649298597246</v>
      </c>
      <c r="K320">
        <f>SMALL(SimData1!$C$9:$C$508,312)</f>
        <v>6.9859338473775265</v>
      </c>
      <c r="L320">
        <f>1/(COUNT(SimData1!$C$9:$C$508)-1)+$L$319</f>
        <v>0.62324649298597246</v>
      </c>
      <c r="M320">
        <f>SMALL(SimData1!$D$9:$D$508,312)</f>
        <v>9.9874575696427961</v>
      </c>
      <c r="N320">
        <f>1/(COUNT(SimData1!$D$9:$D$508)-1)+$N$319</f>
        <v>0.62324649298597246</v>
      </c>
      <c r="O320">
        <f>SMALL(SimData1!$E$9:$E$508,312)</f>
        <v>22.116381076873488</v>
      </c>
      <c r="P320">
        <f>1/(COUNT(SimData1!$E$9:$E$508)-1)+$P$319</f>
        <v>0.62324649298597246</v>
      </c>
      <c r="Q320">
        <f>SMALL(SimData1!$F$9:$F$508,312)</f>
        <v>0.23</v>
      </c>
      <c r="R320">
        <f>1/(COUNT(SimData1!$F$9:$F$508)-1)+$R$319</f>
        <v>0.62324649298597246</v>
      </c>
      <c r="S320">
        <f>SMALL(SimData1!$G$9:$G$508,312)</f>
        <v>9</v>
      </c>
      <c r="T320">
        <f>1/(COUNT(SimData1!$G$9:$G$508)-1)+$T$319</f>
        <v>0.62324649298597246</v>
      </c>
    </row>
    <row r="321" spans="1:20">
      <c r="A321">
        <v>313</v>
      </c>
      <c r="B321">
        <v>10.441636430680168</v>
      </c>
      <c r="C321">
        <v>4.9539449990899174</v>
      </c>
      <c r="D321">
        <v>11.279118531172891</v>
      </c>
      <c r="E321">
        <v>23.516314032854471</v>
      </c>
      <c r="F321">
        <v>0.23</v>
      </c>
      <c r="G321">
        <v>9</v>
      </c>
      <c r="I321">
        <f>SMALL(SimData1!$B$9:$B$508,313)</f>
        <v>10.95873739583687</v>
      </c>
      <c r="J321">
        <f>1/(COUNT(SimData1!$B$9:$B$508)-1)+$J$320</f>
        <v>0.62525050100200452</v>
      </c>
      <c r="K321">
        <f>SMALL(SimData1!$C$9:$C$508,313)</f>
        <v>7.0061161337788489</v>
      </c>
      <c r="L321">
        <f>1/(COUNT(SimData1!$C$9:$C$508)-1)+$L$320</f>
        <v>0.62525050100200452</v>
      </c>
      <c r="M321">
        <f>SMALL(SimData1!$D$9:$D$508,313)</f>
        <v>10.002961574504841</v>
      </c>
      <c r="N321">
        <f>1/(COUNT(SimData1!$D$9:$D$508)-1)+$N$320</f>
        <v>0.62525050100200452</v>
      </c>
      <c r="O321">
        <f>SMALL(SimData1!$E$9:$E$508,313)</f>
        <v>22.127978411689114</v>
      </c>
      <c r="P321">
        <f>1/(COUNT(SimData1!$E$9:$E$508)-1)+$P$320</f>
        <v>0.62525050100200452</v>
      </c>
      <c r="Q321">
        <f>SMALL(SimData1!$F$9:$F$508,313)</f>
        <v>0.23</v>
      </c>
      <c r="R321">
        <f>1/(COUNT(SimData1!$F$9:$F$508)-1)+$R$320</f>
        <v>0.62525050100200452</v>
      </c>
      <c r="S321">
        <f>SMALL(SimData1!$G$9:$G$508,313)</f>
        <v>9</v>
      </c>
      <c r="T321">
        <f>1/(COUNT(SimData1!$G$9:$G$508)-1)+$T$320</f>
        <v>0.62525050100200452</v>
      </c>
    </row>
    <row r="322" spans="1:20">
      <c r="A322">
        <v>314</v>
      </c>
      <c r="B322">
        <v>11.374063942467023</v>
      </c>
      <c r="C322">
        <v>8.9968891310107182</v>
      </c>
      <c r="D322">
        <v>5.0547724997063099</v>
      </c>
      <c r="E322">
        <v>-1.0350536224760731</v>
      </c>
      <c r="F322">
        <v>0.23</v>
      </c>
      <c r="G322">
        <v>12</v>
      </c>
      <c r="I322">
        <f>SMALL(SimData1!$B$9:$B$508,314)</f>
        <v>10.969689523467951</v>
      </c>
      <c r="J322">
        <f>1/(COUNT(SimData1!$B$9:$B$508)-1)+$J$321</f>
        <v>0.62725450901803659</v>
      </c>
      <c r="K322">
        <f>SMALL(SimData1!$C$9:$C$508,314)</f>
        <v>7.02150361361669</v>
      </c>
      <c r="L322">
        <f>1/(COUNT(SimData1!$C$9:$C$508)-1)+$L$321</f>
        <v>0.62725450901803659</v>
      </c>
      <c r="M322">
        <f>SMALL(SimData1!$D$9:$D$508,314)</f>
        <v>10.013842442718763</v>
      </c>
      <c r="N322">
        <f>1/(COUNT(SimData1!$D$9:$D$508)-1)+$N$321</f>
        <v>0.62725450901803659</v>
      </c>
      <c r="O322">
        <f>SMALL(SimData1!$E$9:$E$508,314)</f>
        <v>22.138821677490718</v>
      </c>
      <c r="P322">
        <f>1/(COUNT(SimData1!$E$9:$E$508)-1)+$P$321</f>
        <v>0.62725450901803659</v>
      </c>
      <c r="Q322">
        <f>SMALL(SimData1!$F$9:$F$508,314)</f>
        <v>0.23</v>
      </c>
      <c r="R322">
        <f>1/(COUNT(SimData1!$F$9:$F$508)-1)+$R$321</f>
        <v>0.62725450901803659</v>
      </c>
      <c r="S322">
        <f>SMALL(SimData1!$G$9:$G$508,314)</f>
        <v>9</v>
      </c>
      <c r="T322">
        <f>1/(COUNT(SimData1!$G$9:$G$508)-1)+$T$321</f>
        <v>0.62725450901803659</v>
      </c>
    </row>
    <row r="323" spans="1:20">
      <c r="A323">
        <v>315</v>
      </c>
      <c r="B323">
        <v>5.4170055484396356</v>
      </c>
      <c r="C323">
        <v>2.4328532081546386</v>
      </c>
      <c r="D323">
        <v>10.257405150333746</v>
      </c>
      <c r="E323">
        <v>22.674548347126535</v>
      </c>
      <c r="F323">
        <v>0.23</v>
      </c>
      <c r="G323">
        <v>10</v>
      </c>
      <c r="I323">
        <f>SMALL(SimData1!$B$9:$B$508,315)</f>
        <v>10.993273034151866</v>
      </c>
      <c r="J323">
        <f>1/(COUNT(SimData1!$B$9:$B$508)-1)+$J$322</f>
        <v>0.62925851703406865</v>
      </c>
      <c r="K323">
        <f>SMALL(SimData1!$C$9:$C$508,315)</f>
        <v>7.0358271442679285</v>
      </c>
      <c r="L323">
        <f>1/(COUNT(SimData1!$C$9:$C$508)-1)+$L$322</f>
        <v>0.62925851703406865</v>
      </c>
      <c r="M323">
        <f>SMALL(SimData1!$D$9:$D$508,315)</f>
        <v>10.02656849452913</v>
      </c>
      <c r="N323">
        <f>1/(COUNT(SimData1!$D$9:$D$508)-1)+$N$322</f>
        <v>0.62925851703406865</v>
      </c>
      <c r="O323">
        <f>SMALL(SimData1!$E$9:$E$508,315)</f>
        <v>22.146557503761983</v>
      </c>
      <c r="P323">
        <f>1/(COUNT(SimData1!$E$9:$E$508)-1)+$P$322</f>
        <v>0.62925851703406865</v>
      </c>
      <c r="Q323">
        <f>SMALL(SimData1!$F$9:$F$508,315)</f>
        <v>0.23</v>
      </c>
      <c r="R323">
        <f>1/(COUNT(SimData1!$F$9:$F$508)-1)+$R$322</f>
        <v>0.62925851703406865</v>
      </c>
      <c r="S323">
        <f>SMALL(SimData1!$G$9:$G$508,315)</f>
        <v>9</v>
      </c>
      <c r="T323">
        <f>1/(COUNT(SimData1!$G$9:$G$508)-1)+$T$322</f>
        <v>0.62925851703406865</v>
      </c>
    </row>
    <row r="324" spans="1:20">
      <c r="A324">
        <v>316</v>
      </c>
      <c r="B324">
        <v>8.1828608701677918</v>
      </c>
      <c r="C324">
        <v>3.1258044619685514</v>
      </c>
      <c r="D324">
        <v>2.1907053600118274</v>
      </c>
      <c r="E324">
        <v>22.988402468510451</v>
      </c>
      <c r="F324">
        <v>0.23</v>
      </c>
      <c r="G324">
        <v>9</v>
      </c>
      <c r="I324">
        <f>SMALL(SimData1!$B$9:$B$508,316)</f>
        <v>11.003468692475719</v>
      </c>
      <c r="J324">
        <f>1/(COUNT(SimData1!$B$9:$B$508)-1)+$J$323</f>
        <v>0.63126252505010072</v>
      </c>
      <c r="K324">
        <f>SMALL(SimData1!$C$9:$C$508,316)</f>
        <v>7.0504245203124416</v>
      </c>
      <c r="L324">
        <f>1/(COUNT(SimData1!$C$9:$C$508)-1)+$L$323</f>
        <v>0.63126252505010072</v>
      </c>
      <c r="M324">
        <f>SMALL(SimData1!$D$9:$D$508,316)</f>
        <v>10.055934181537463</v>
      </c>
      <c r="N324">
        <f>1/(COUNT(SimData1!$D$9:$D$508)-1)+$N$323</f>
        <v>0.63126252505010072</v>
      </c>
      <c r="O324">
        <f>SMALL(SimData1!$E$9:$E$508,316)</f>
        <v>22.154390043561406</v>
      </c>
      <c r="P324">
        <f>1/(COUNT(SimData1!$E$9:$E$508)-1)+$P$323</f>
        <v>0.63126252505010072</v>
      </c>
      <c r="Q324">
        <f>SMALL(SimData1!$F$9:$F$508,316)</f>
        <v>0.23</v>
      </c>
      <c r="R324">
        <f>1/(COUNT(SimData1!$F$9:$F$508)-1)+$R$323</f>
        <v>0.63126252505010072</v>
      </c>
      <c r="S324">
        <f>SMALL(SimData1!$G$9:$G$508,316)</f>
        <v>9</v>
      </c>
      <c r="T324">
        <f>1/(COUNT(SimData1!$G$9:$G$508)-1)+$T$323</f>
        <v>0.63126252505010072</v>
      </c>
    </row>
    <row r="325" spans="1:20">
      <c r="A325">
        <v>317</v>
      </c>
      <c r="B325">
        <v>10.744179232880018</v>
      </c>
      <c r="C325">
        <v>9.202228285648447</v>
      </c>
      <c r="D325">
        <v>14.692550988639834</v>
      </c>
      <c r="E325">
        <v>8.9955710722441573E-2</v>
      </c>
      <c r="F325">
        <v>0.23</v>
      </c>
      <c r="G325">
        <v>4</v>
      </c>
      <c r="I325">
        <f>SMALL(SimData1!$B$9:$B$508,317)</f>
        <v>11.017959759151456</v>
      </c>
      <c r="J325">
        <f>1/(COUNT(SimData1!$B$9:$B$508)-1)+$J$324</f>
        <v>0.63326653306613279</v>
      </c>
      <c r="K325">
        <f>SMALL(SimData1!$C$9:$C$508,317)</f>
        <v>7.0661051600040183</v>
      </c>
      <c r="L325">
        <f>1/(COUNT(SimData1!$C$9:$C$508)-1)+$L$324</f>
        <v>0.63326653306613279</v>
      </c>
      <c r="M325">
        <f>SMALL(SimData1!$D$9:$D$508,317)</f>
        <v>10.063453606219834</v>
      </c>
      <c r="N325">
        <f>1/(COUNT(SimData1!$D$9:$D$508)-1)+$N$324</f>
        <v>0.63326653306613279</v>
      </c>
      <c r="O325">
        <f>SMALL(SimData1!$E$9:$E$508,317)</f>
        <v>22.16865341702076</v>
      </c>
      <c r="P325">
        <f>1/(COUNT(SimData1!$E$9:$E$508)-1)+$P$324</f>
        <v>0.63326653306613279</v>
      </c>
      <c r="Q325">
        <f>SMALL(SimData1!$F$9:$F$508,317)</f>
        <v>0.23</v>
      </c>
      <c r="R325">
        <f>1/(COUNT(SimData1!$F$9:$F$508)-1)+$R$324</f>
        <v>0.63326653306613279</v>
      </c>
      <c r="S325">
        <f>SMALL(SimData1!$G$9:$G$508,317)</f>
        <v>9</v>
      </c>
      <c r="T325">
        <f>1/(COUNT(SimData1!$G$9:$G$508)-1)+$T$324</f>
        <v>0.63326653306613279</v>
      </c>
    </row>
    <row r="326" spans="1:20">
      <c r="A326">
        <v>318</v>
      </c>
      <c r="B326">
        <v>10.16019722716011</v>
      </c>
      <c r="C326">
        <v>9.267821781662251</v>
      </c>
      <c r="D326">
        <v>10.120534227233506</v>
      </c>
      <c r="E326">
        <v>23.162040940549797</v>
      </c>
      <c r="F326">
        <v>0.23</v>
      </c>
      <c r="G326">
        <v>4</v>
      </c>
      <c r="I326">
        <f>SMALL(SimData1!$B$9:$B$508,318)</f>
        <v>11.031791579143333</v>
      </c>
      <c r="J326">
        <f>1/(COUNT(SimData1!$B$9:$B$508)-1)+$J$325</f>
        <v>0.63527054108216485</v>
      </c>
      <c r="K326">
        <f>SMALL(SimData1!$C$9:$C$508,318)</f>
        <v>7.0773412019585589</v>
      </c>
      <c r="L326">
        <f>1/(COUNT(SimData1!$C$9:$C$508)-1)+$L$325</f>
        <v>0.63527054108216485</v>
      </c>
      <c r="M326">
        <f>SMALL(SimData1!$D$9:$D$508,318)</f>
        <v>10.077696881131665</v>
      </c>
      <c r="N326">
        <f>1/(COUNT(SimData1!$D$9:$D$508)-1)+$N$325</f>
        <v>0.63527054108216485</v>
      </c>
      <c r="O326">
        <f>SMALL(SimData1!$E$9:$E$508,318)</f>
        <v>22.172364699936765</v>
      </c>
      <c r="P326">
        <f>1/(COUNT(SimData1!$E$9:$E$508)-1)+$P$325</f>
        <v>0.63527054108216485</v>
      </c>
      <c r="Q326">
        <f>SMALL(SimData1!$F$9:$F$508,318)</f>
        <v>0.23</v>
      </c>
      <c r="R326">
        <f>1/(COUNT(SimData1!$F$9:$F$508)-1)+$R$325</f>
        <v>0.63527054108216485</v>
      </c>
      <c r="S326">
        <f>SMALL(SimData1!$G$9:$G$508,318)</f>
        <v>9</v>
      </c>
      <c r="T326">
        <f>1/(COUNT(SimData1!$G$9:$G$508)-1)+$T$325</f>
        <v>0.63527054108216485</v>
      </c>
    </row>
    <row r="327" spans="1:20">
      <c r="A327">
        <v>319</v>
      </c>
      <c r="B327">
        <v>6.2790106570414475</v>
      </c>
      <c r="C327">
        <v>7.4848454380065306</v>
      </c>
      <c r="D327">
        <v>12.160779311614291</v>
      </c>
      <c r="E327">
        <v>22.344575874710412</v>
      </c>
      <c r="F327">
        <v>0.23</v>
      </c>
      <c r="G327">
        <v>6</v>
      </c>
      <c r="I327">
        <f>SMALL(SimData1!$B$9:$B$508,319)</f>
        <v>11.045083749604789</v>
      </c>
      <c r="J327">
        <f>1/(COUNT(SimData1!$B$9:$B$508)-1)+$J$326</f>
        <v>0.63727454909819692</v>
      </c>
      <c r="K327">
        <f>SMALL(SimData1!$C$9:$C$508,319)</f>
        <v>7.0891119384730965</v>
      </c>
      <c r="L327">
        <f>1/(COUNT(SimData1!$C$9:$C$508)-1)+$L$326</f>
        <v>0.63727454909819692</v>
      </c>
      <c r="M327">
        <f>SMALL(SimData1!$D$9:$D$508,319)</f>
        <v>10.099485522079162</v>
      </c>
      <c r="N327">
        <f>1/(COUNT(SimData1!$D$9:$D$508)-1)+$N$326</f>
        <v>0.63727454909819692</v>
      </c>
      <c r="O327">
        <f>SMALL(SimData1!$E$9:$E$508,319)</f>
        <v>22.181174039789891</v>
      </c>
      <c r="P327">
        <f>1/(COUNT(SimData1!$E$9:$E$508)-1)+$P$326</f>
        <v>0.63727454909819692</v>
      </c>
      <c r="Q327">
        <f>SMALL(SimData1!$F$9:$F$508,319)</f>
        <v>0.23</v>
      </c>
      <c r="R327">
        <f>1/(COUNT(SimData1!$F$9:$F$508)-1)+$R$326</f>
        <v>0.63727454909819692</v>
      </c>
      <c r="S327">
        <f>SMALL(SimData1!$G$9:$G$508,319)</f>
        <v>9</v>
      </c>
      <c r="T327">
        <f>1/(COUNT(SimData1!$G$9:$G$508)-1)+$T$326</f>
        <v>0.63727454909819692</v>
      </c>
    </row>
    <row r="328" spans="1:20">
      <c r="A328">
        <v>320</v>
      </c>
      <c r="B328">
        <v>8.9843617551387833</v>
      </c>
      <c r="C328">
        <v>3.3615045878071115</v>
      </c>
      <c r="D328">
        <v>6.4919258532514625</v>
      </c>
      <c r="E328">
        <v>21.953615695617248</v>
      </c>
      <c r="F328">
        <v>0.23</v>
      </c>
      <c r="G328">
        <v>4</v>
      </c>
      <c r="I328">
        <f>SMALL(SimData1!$B$9:$B$508,320)</f>
        <v>11.069460621853692</v>
      </c>
      <c r="J328">
        <f>1/(COUNT(SimData1!$B$9:$B$508)-1)+$J$327</f>
        <v>0.63927855711422898</v>
      </c>
      <c r="K328">
        <f>SMALL(SimData1!$C$9:$C$508,320)</f>
        <v>7.1141413800926276</v>
      </c>
      <c r="L328">
        <f>1/(COUNT(SimData1!$C$9:$C$508)-1)+$L$327</f>
        <v>0.63927855711422898</v>
      </c>
      <c r="M328">
        <f>SMALL(SimData1!$D$9:$D$508,320)</f>
        <v>10.113263958508444</v>
      </c>
      <c r="N328">
        <f>1/(COUNT(SimData1!$D$9:$D$508)-1)+$N$327</f>
        <v>0.63927855711422898</v>
      </c>
      <c r="O328">
        <f>SMALL(SimData1!$E$9:$E$508,320)</f>
        <v>22.198273866171007</v>
      </c>
      <c r="P328">
        <f>1/(COUNT(SimData1!$E$9:$E$508)-1)+$P$327</f>
        <v>0.63927855711422898</v>
      </c>
      <c r="Q328">
        <f>SMALL(SimData1!$F$9:$F$508,320)</f>
        <v>0.23</v>
      </c>
      <c r="R328">
        <f>1/(COUNT(SimData1!$F$9:$F$508)-1)+$R$327</f>
        <v>0.63927855711422898</v>
      </c>
      <c r="S328">
        <f>SMALL(SimData1!$G$9:$G$508,320)</f>
        <v>9</v>
      </c>
      <c r="T328">
        <f>1/(COUNT(SimData1!$G$9:$G$508)-1)+$T$327</f>
        <v>0.63927855711422898</v>
      </c>
    </row>
    <row r="329" spans="1:20">
      <c r="A329">
        <v>321</v>
      </c>
      <c r="B329">
        <v>9.87083960913289</v>
      </c>
      <c r="C329">
        <v>4.3530631600211054</v>
      </c>
      <c r="D329">
        <v>10.870880807902402</v>
      </c>
      <c r="E329">
        <v>-1.3514480272205851</v>
      </c>
      <c r="F329">
        <v>0.23</v>
      </c>
      <c r="G329">
        <v>10</v>
      </c>
      <c r="I329">
        <f>SMALL(SimData1!$B$9:$B$508,321)</f>
        <v>11.08681011971869</v>
      </c>
      <c r="J329">
        <f>1/(COUNT(SimData1!$B$9:$B$508)-1)+$J$328</f>
        <v>0.64128256513026105</v>
      </c>
      <c r="K329">
        <f>SMALL(SimData1!$C$9:$C$508,321)</f>
        <v>7.1348034811054371</v>
      </c>
      <c r="L329">
        <f>1/(COUNT(SimData1!$C$9:$C$508)-1)+$L$328</f>
        <v>0.64128256513026105</v>
      </c>
      <c r="M329">
        <f>SMALL(SimData1!$D$9:$D$508,321)</f>
        <v>10.120534227233506</v>
      </c>
      <c r="N329">
        <f>1/(COUNT(SimData1!$D$9:$D$508)-1)+$N$328</f>
        <v>0.64128256513026105</v>
      </c>
      <c r="O329">
        <f>SMALL(SimData1!$E$9:$E$508,321)</f>
        <v>22.203703368884948</v>
      </c>
      <c r="P329">
        <f>1/(COUNT(SimData1!$E$9:$E$508)-1)+$P$328</f>
        <v>0.64128256513026105</v>
      </c>
      <c r="Q329">
        <f>SMALL(SimData1!$F$9:$F$508,321)</f>
        <v>0.23</v>
      </c>
      <c r="R329">
        <f>1/(COUNT(SimData1!$F$9:$F$508)-1)+$R$328</f>
        <v>0.64128256513026105</v>
      </c>
      <c r="S329">
        <f>SMALL(SimData1!$G$9:$G$508,321)</f>
        <v>9</v>
      </c>
      <c r="T329">
        <f>1/(COUNT(SimData1!$G$9:$G$508)-1)+$T$328</f>
        <v>0.64128256513026105</v>
      </c>
    </row>
    <row r="330" spans="1:20">
      <c r="A330">
        <v>322</v>
      </c>
      <c r="B330">
        <v>9.1436407257625234</v>
      </c>
      <c r="C330">
        <v>8.6926275582808614</v>
      </c>
      <c r="D330">
        <v>6.0798902579378087</v>
      </c>
      <c r="E330">
        <v>23.184414328729662</v>
      </c>
      <c r="F330">
        <v>0.23</v>
      </c>
      <c r="G330">
        <v>4</v>
      </c>
      <c r="I330">
        <f>SMALL(SimData1!$B$9:$B$508,322)</f>
        <v>11.10438849060875</v>
      </c>
      <c r="J330">
        <f>1/(COUNT(SimData1!$B$9:$B$508)-1)+$J$329</f>
        <v>0.64328657314629312</v>
      </c>
      <c r="K330">
        <f>SMALL(SimData1!$C$9:$C$508,322)</f>
        <v>7.1410941442561091</v>
      </c>
      <c r="L330">
        <f>1/(COUNT(SimData1!$C$9:$C$508)-1)+$L$329</f>
        <v>0.64328657314629312</v>
      </c>
      <c r="M330">
        <f>SMALL(SimData1!$D$9:$D$508,322)</f>
        <v>10.139987403505479</v>
      </c>
      <c r="N330">
        <f>1/(COUNT(SimData1!$D$9:$D$508)-1)+$N$329</f>
        <v>0.64328657314629312</v>
      </c>
      <c r="O330">
        <f>SMALL(SimData1!$E$9:$E$508,322)</f>
        <v>22.215534868785422</v>
      </c>
      <c r="P330">
        <f>1/(COUNT(SimData1!$E$9:$E$508)-1)+$P$329</f>
        <v>0.64328657314629312</v>
      </c>
      <c r="Q330">
        <f>SMALL(SimData1!$F$9:$F$508,322)</f>
        <v>0.23</v>
      </c>
      <c r="R330">
        <f>1/(COUNT(SimData1!$F$9:$F$508)-1)+$R$329</f>
        <v>0.64328657314629312</v>
      </c>
      <c r="S330">
        <f>SMALL(SimData1!$G$9:$G$508,322)</f>
        <v>9</v>
      </c>
      <c r="T330">
        <f>1/(COUNT(SimData1!$G$9:$G$508)-1)+$T$329</f>
        <v>0.64328657314629312</v>
      </c>
    </row>
    <row r="331" spans="1:20">
      <c r="A331">
        <v>323</v>
      </c>
      <c r="B331">
        <v>11.227329691860914</v>
      </c>
      <c r="C331">
        <v>5.3788738226897248</v>
      </c>
      <c r="D331">
        <v>18.143075759181539</v>
      </c>
      <c r="E331">
        <v>-0.76969827391741574</v>
      </c>
      <c r="F331">
        <v>0.23</v>
      </c>
      <c r="G331">
        <v>2</v>
      </c>
      <c r="I331">
        <f>SMALL(SimData1!$B$9:$B$508,323)</f>
        <v>11.108764999974252</v>
      </c>
      <c r="J331">
        <f>1/(COUNT(SimData1!$B$9:$B$508)-1)+$J$330</f>
        <v>0.64529058116232518</v>
      </c>
      <c r="K331">
        <f>SMALL(SimData1!$C$9:$C$508,323)</f>
        <v>7.1544381909711374</v>
      </c>
      <c r="L331">
        <f>1/(COUNT(SimData1!$C$9:$C$508)-1)+$L$330</f>
        <v>0.64529058116232518</v>
      </c>
      <c r="M331">
        <f>SMALL(SimData1!$D$9:$D$508,323)</f>
        <v>10.153752702217957</v>
      </c>
      <c r="N331">
        <f>1/(COUNT(SimData1!$D$9:$D$508)-1)+$N$330</f>
        <v>0.64529058116232518</v>
      </c>
      <c r="O331">
        <f>SMALL(SimData1!$E$9:$E$508,323)</f>
        <v>22.221487056883941</v>
      </c>
      <c r="P331">
        <f>1/(COUNT(SimData1!$E$9:$E$508)-1)+$P$330</f>
        <v>0.64529058116232518</v>
      </c>
      <c r="Q331">
        <f>SMALL(SimData1!$F$9:$F$508,323)</f>
        <v>0.23</v>
      </c>
      <c r="R331">
        <f>1/(COUNT(SimData1!$F$9:$F$508)-1)+$R$330</f>
        <v>0.64529058116232518</v>
      </c>
      <c r="S331">
        <f>SMALL(SimData1!$G$9:$G$508,323)</f>
        <v>9</v>
      </c>
      <c r="T331">
        <f>1/(COUNT(SimData1!$G$9:$G$508)-1)+$T$330</f>
        <v>0.64529058116232518</v>
      </c>
    </row>
    <row r="332" spans="1:20">
      <c r="A332">
        <v>324</v>
      </c>
      <c r="B332">
        <v>10.757966398581351</v>
      </c>
      <c r="C332">
        <v>4.4924972601860063</v>
      </c>
      <c r="D332">
        <v>12.003230854387215</v>
      </c>
      <c r="E332">
        <v>-0.17788600110543662</v>
      </c>
      <c r="F332">
        <v>0.23</v>
      </c>
      <c r="G332">
        <v>6</v>
      </c>
      <c r="I332">
        <f>SMALL(SimData1!$B$9:$B$508,324)</f>
        <v>11.133390439910476</v>
      </c>
      <c r="J332">
        <f>1/(COUNT(SimData1!$B$9:$B$508)-1)+$J$331</f>
        <v>0.64729458917835725</v>
      </c>
      <c r="K332">
        <f>SMALL(SimData1!$C$9:$C$508,324)</f>
        <v>7.1725456934544596</v>
      </c>
      <c r="L332">
        <f>1/(COUNT(SimData1!$C$9:$C$508)-1)+$L$331</f>
        <v>0.64729458917835725</v>
      </c>
      <c r="M332">
        <f>SMALL(SimData1!$D$9:$D$508,324)</f>
        <v>10.182426539886375</v>
      </c>
      <c r="N332">
        <f>1/(COUNT(SimData1!$D$9:$D$508)-1)+$N$331</f>
        <v>0.64729458917835725</v>
      </c>
      <c r="O332">
        <f>SMALL(SimData1!$E$9:$E$508,324)</f>
        <v>22.236071905483062</v>
      </c>
      <c r="P332">
        <f>1/(COUNT(SimData1!$E$9:$E$508)-1)+$P$331</f>
        <v>0.64729458917835725</v>
      </c>
      <c r="Q332">
        <f>SMALL(SimData1!$F$9:$F$508,324)</f>
        <v>0.23</v>
      </c>
      <c r="R332">
        <f>1/(COUNT(SimData1!$F$9:$F$508)-1)+$R$331</f>
        <v>0.64729458917835725</v>
      </c>
      <c r="S332">
        <f>SMALL(SimData1!$G$9:$G$508,324)</f>
        <v>9</v>
      </c>
      <c r="T332">
        <f>1/(COUNT(SimData1!$G$9:$G$508)-1)+$T$331</f>
        <v>0.64729458917835725</v>
      </c>
    </row>
    <row r="333" spans="1:20">
      <c r="A333">
        <v>325</v>
      </c>
      <c r="B333">
        <v>10.255881461162376</v>
      </c>
      <c r="C333">
        <v>2.0243889570591014</v>
      </c>
      <c r="D333">
        <v>12.055657286845069</v>
      </c>
      <c r="E333">
        <v>21.503752467464771</v>
      </c>
      <c r="F333">
        <v>0.23</v>
      </c>
      <c r="G333">
        <v>12</v>
      </c>
      <c r="I333">
        <f>SMALL(SimData1!$B$9:$B$508,325)</f>
        <v>11.150124466927041</v>
      </c>
      <c r="J333">
        <f>1/(COUNT(SimData1!$B$9:$B$508)-1)+$J$332</f>
        <v>0.64929859719438932</v>
      </c>
      <c r="K333">
        <f>SMALL(SimData1!$C$9:$C$508,325)</f>
        <v>7.1956204056990378</v>
      </c>
      <c r="L333">
        <f>1/(COUNT(SimData1!$C$9:$C$508)-1)+$L$332</f>
        <v>0.64929859719438932</v>
      </c>
      <c r="M333">
        <f>SMALL(SimData1!$D$9:$D$508,325)</f>
        <v>10.191817897351417</v>
      </c>
      <c r="N333">
        <f>1/(COUNT(SimData1!$D$9:$D$508)-1)+$N$332</f>
        <v>0.64929859719438932</v>
      </c>
      <c r="O333">
        <f>SMALL(SimData1!$E$9:$E$508,325)</f>
        <v>22.24871009789495</v>
      </c>
      <c r="P333">
        <f>1/(COUNT(SimData1!$E$9:$E$508)-1)+$P$332</f>
        <v>0.64929859719438932</v>
      </c>
      <c r="Q333">
        <f>SMALL(SimData1!$F$9:$F$508,325)</f>
        <v>0.23</v>
      </c>
      <c r="R333">
        <f>1/(COUNT(SimData1!$F$9:$F$508)-1)+$R$332</f>
        <v>0.64929859719438932</v>
      </c>
      <c r="S333">
        <f>SMALL(SimData1!$G$9:$G$508,325)</f>
        <v>9</v>
      </c>
      <c r="T333">
        <f>1/(COUNT(SimData1!$G$9:$G$508)-1)+$T$332</f>
        <v>0.64929859719438932</v>
      </c>
    </row>
    <row r="334" spans="1:20">
      <c r="A334">
        <v>326</v>
      </c>
      <c r="B334">
        <v>11.443770875083787</v>
      </c>
      <c r="C334">
        <v>9.6645227026493572</v>
      </c>
      <c r="D334">
        <v>3.2016698112249538</v>
      </c>
      <c r="E334">
        <v>23.209701987744072</v>
      </c>
      <c r="F334">
        <v>0.23</v>
      </c>
      <c r="G334">
        <v>12</v>
      </c>
      <c r="I334">
        <f>SMALL(SimData1!$B$9:$B$508,326)</f>
        <v>11.15811284766122</v>
      </c>
      <c r="J334">
        <f>1/(COUNT(SimData1!$B$9:$B$508)-1)+$J$333</f>
        <v>0.65130260521042138</v>
      </c>
      <c r="K334">
        <f>SMALL(SimData1!$C$9:$C$508,326)</f>
        <v>7.2086894876716405</v>
      </c>
      <c r="L334">
        <f>1/(COUNT(SimData1!$C$9:$C$508)-1)+$L$333</f>
        <v>0.65130260521042138</v>
      </c>
      <c r="M334">
        <f>SMALL(SimData1!$D$9:$D$508,326)</f>
        <v>10.206894421292212</v>
      </c>
      <c r="N334">
        <f>1/(COUNT(SimData1!$D$9:$D$508)-1)+$N$333</f>
        <v>0.65130260521042138</v>
      </c>
      <c r="O334">
        <f>SMALL(SimData1!$E$9:$E$508,326)</f>
        <v>22.25194152746386</v>
      </c>
      <c r="P334">
        <f>1/(COUNT(SimData1!$E$9:$E$508)-1)+$P$333</f>
        <v>0.65130260521042138</v>
      </c>
      <c r="Q334">
        <f>SMALL(SimData1!$F$9:$F$508,326)</f>
        <v>0.23</v>
      </c>
      <c r="R334">
        <f>1/(COUNT(SimData1!$F$9:$F$508)-1)+$R$333</f>
        <v>0.65130260521042138</v>
      </c>
      <c r="S334">
        <f>SMALL(SimData1!$G$9:$G$508,326)</f>
        <v>9</v>
      </c>
      <c r="T334">
        <f>1/(COUNT(SimData1!$G$9:$G$508)-1)+$T$333</f>
        <v>0.65130260521042138</v>
      </c>
    </row>
    <row r="335" spans="1:20">
      <c r="A335">
        <v>327</v>
      </c>
      <c r="B335">
        <v>12.575861745128083</v>
      </c>
      <c r="C335">
        <v>5.4843259919612493</v>
      </c>
      <c r="D335">
        <v>4.1537903262101565</v>
      </c>
      <c r="E335">
        <v>22.62450133760079</v>
      </c>
      <c r="F335">
        <v>0.23</v>
      </c>
      <c r="G335">
        <v>10</v>
      </c>
      <c r="I335">
        <f>SMALL(SimData1!$B$9:$B$508,327)</f>
        <v>11.176305744675489</v>
      </c>
      <c r="J335">
        <f>1/(COUNT(SimData1!$B$9:$B$508)-1)+$J$334</f>
        <v>0.65330661322645345</v>
      </c>
      <c r="K335">
        <f>SMALL(SimData1!$C$9:$C$508,327)</f>
        <v>7.2235606155413112</v>
      </c>
      <c r="L335">
        <f>1/(COUNT(SimData1!$C$9:$C$508)-1)+$L$334</f>
        <v>0.65330661322645345</v>
      </c>
      <c r="M335">
        <f>SMALL(SimData1!$D$9:$D$508,327)</f>
        <v>10.221672536914626</v>
      </c>
      <c r="N335">
        <f>1/(COUNT(SimData1!$D$9:$D$508)-1)+$N$334</f>
        <v>0.65330661322645345</v>
      </c>
      <c r="O335">
        <f>SMALL(SimData1!$E$9:$E$508,327)</f>
        <v>22.26585427971515</v>
      </c>
      <c r="P335">
        <f>1/(COUNT(SimData1!$E$9:$E$508)-1)+$P$334</f>
        <v>0.65330661322645345</v>
      </c>
      <c r="Q335">
        <f>SMALL(SimData1!$F$9:$F$508,327)</f>
        <v>0.23</v>
      </c>
      <c r="R335">
        <f>1/(COUNT(SimData1!$F$9:$F$508)-1)+$R$334</f>
        <v>0.65330661322645345</v>
      </c>
      <c r="S335">
        <f>SMALL(SimData1!$G$9:$G$508,327)</f>
        <v>9</v>
      </c>
      <c r="T335">
        <f>1/(COUNT(SimData1!$G$9:$G$508)-1)+$T$334</f>
        <v>0.65330661322645345</v>
      </c>
    </row>
    <row r="336" spans="1:20">
      <c r="A336">
        <v>328</v>
      </c>
      <c r="B336">
        <v>11.291948891081585</v>
      </c>
      <c r="C336">
        <v>7.7645093129399481</v>
      </c>
      <c r="D336">
        <v>13.920328275883648</v>
      </c>
      <c r="E336">
        <v>-0.86070959801265878</v>
      </c>
      <c r="F336">
        <v>0.23</v>
      </c>
      <c r="G336">
        <v>10</v>
      </c>
      <c r="I336">
        <f>SMALL(SimData1!$B$9:$B$508,328)</f>
        <v>11.202928083638151</v>
      </c>
      <c r="J336">
        <f>1/(COUNT(SimData1!$B$9:$B$508)-1)+$J$335</f>
        <v>0.65531062124248551</v>
      </c>
      <c r="K336">
        <f>SMALL(SimData1!$C$9:$C$508,328)</f>
        <v>7.2405249678177119</v>
      </c>
      <c r="L336">
        <f>1/(COUNT(SimData1!$C$9:$C$508)-1)+$L$335</f>
        <v>0.65531062124248551</v>
      </c>
      <c r="M336">
        <f>SMALL(SimData1!$D$9:$D$508,328)</f>
        <v>10.242176194360987</v>
      </c>
      <c r="N336">
        <f>1/(COUNT(SimData1!$D$9:$D$508)-1)+$N$335</f>
        <v>0.65531062124248551</v>
      </c>
      <c r="O336">
        <f>SMALL(SimData1!$E$9:$E$508,328)</f>
        <v>22.270396596147496</v>
      </c>
      <c r="P336">
        <f>1/(COUNT(SimData1!$E$9:$E$508)-1)+$P$335</f>
        <v>0.65531062124248551</v>
      </c>
      <c r="Q336">
        <f>SMALL(SimData1!$F$9:$F$508,328)</f>
        <v>0.23</v>
      </c>
      <c r="R336">
        <f>1/(COUNT(SimData1!$F$9:$F$508)-1)+$R$335</f>
        <v>0.65531062124248551</v>
      </c>
      <c r="S336">
        <f>SMALL(SimData1!$G$9:$G$508,328)</f>
        <v>9</v>
      </c>
      <c r="T336">
        <f>1/(COUNT(SimData1!$G$9:$G$508)-1)+$T$335</f>
        <v>0.65531062124248551</v>
      </c>
    </row>
    <row r="337" spans="1:20">
      <c r="A337">
        <v>329</v>
      </c>
      <c r="B337">
        <v>13.338440066067466</v>
      </c>
      <c r="C337">
        <v>8.602027774887631</v>
      </c>
      <c r="D337">
        <v>15.957705472342134</v>
      </c>
      <c r="E337">
        <v>23.556956132920384</v>
      </c>
      <c r="F337">
        <v>0.23</v>
      </c>
      <c r="G337">
        <v>9</v>
      </c>
      <c r="I337">
        <f>SMALL(SimData1!$B$9:$B$508,329)</f>
        <v>11.209705928291893</v>
      </c>
      <c r="J337">
        <f>1/(COUNT(SimData1!$B$9:$B$508)-1)+$J$336</f>
        <v>0.65731462925851758</v>
      </c>
      <c r="K337">
        <f>SMALL(SimData1!$C$9:$C$508,329)</f>
        <v>7.2630637902652522</v>
      </c>
      <c r="L337">
        <f>1/(COUNT(SimData1!$C$9:$C$508)-1)+$L$336</f>
        <v>0.65731462925851758</v>
      </c>
      <c r="M337">
        <f>SMALL(SimData1!$D$9:$D$508,329)</f>
        <v>10.257405150333746</v>
      </c>
      <c r="N337">
        <f>1/(COUNT(SimData1!$D$9:$D$508)-1)+$N$336</f>
        <v>0.65731462925851758</v>
      </c>
      <c r="O337">
        <f>SMALL(SimData1!$E$9:$E$508,329)</f>
        <v>22.281503665648493</v>
      </c>
      <c r="P337">
        <f>1/(COUNT(SimData1!$E$9:$E$508)-1)+$P$336</f>
        <v>0.65731462925851758</v>
      </c>
      <c r="Q337">
        <f>SMALL(SimData1!$F$9:$F$508,329)</f>
        <v>0.23</v>
      </c>
      <c r="R337">
        <f>1/(COUNT(SimData1!$F$9:$F$508)-1)+$R$336</f>
        <v>0.65731462925851758</v>
      </c>
      <c r="S337">
        <f>SMALL(SimData1!$G$9:$G$508,329)</f>
        <v>9</v>
      </c>
      <c r="T337">
        <f>1/(COUNT(SimData1!$G$9:$G$508)-1)+$T$336</f>
        <v>0.65731462925851758</v>
      </c>
    </row>
    <row r="338" spans="1:20">
      <c r="A338">
        <v>330</v>
      </c>
      <c r="B338">
        <v>11.458218651979335</v>
      </c>
      <c r="C338">
        <v>9.4865066022422404</v>
      </c>
      <c r="D338">
        <v>7.8273971141566054</v>
      </c>
      <c r="E338">
        <v>-0.1297694958601765</v>
      </c>
      <c r="F338">
        <v>0.23</v>
      </c>
      <c r="G338">
        <v>2</v>
      </c>
      <c r="I338">
        <f>SMALL(SimData1!$B$9:$B$508,330)</f>
        <v>11.227329691860914</v>
      </c>
      <c r="J338">
        <f>1/(COUNT(SimData1!$B$9:$B$508)-1)+$J$337</f>
        <v>0.65931863727454965</v>
      </c>
      <c r="K338">
        <f>SMALL(SimData1!$C$9:$C$508,330)</f>
        <v>7.2787431534302289</v>
      </c>
      <c r="L338">
        <f>1/(COUNT(SimData1!$C$9:$C$508)-1)+$L$337</f>
        <v>0.65931863727454965</v>
      </c>
      <c r="M338">
        <f>SMALL(SimData1!$D$9:$D$508,330)</f>
        <v>10.269880984043208</v>
      </c>
      <c r="N338">
        <f>1/(COUNT(SimData1!$D$9:$D$508)-1)+$N$337</f>
        <v>0.65931863727454965</v>
      </c>
      <c r="O338">
        <f>SMALL(SimData1!$E$9:$E$508,330)</f>
        <v>22.297768982577601</v>
      </c>
      <c r="P338">
        <f>1/(COUNT(SimData1!$E$9:$E$508)-1)+$P$337</f>
        <v>0.65931863727454965</v>
      </c>
      <c r="Q338">
        <f>SMALL(SimData1!$F$9:$F$508,330)</f>
        <v>0.23</v>
      </c>
      <c r="R338">
        <f>1/(COUNT(SimData1!$F$9:$F$508)-1)+$R$337</f>
        <v>0.65931863727454965</v>
      </c>
      <c r="S338">
        <f>SMALL(SimData1!$G$9:$G$508,330)</f>
        <v>9</v>
      </c>
      <c r="T338">
        <f>1/(COUNT(SimData1!$G$9:$G$508)-1)+$T$337</f>
        <v>0.65931863727454965</v>
      </c>
    </row>
    <row r="339" spans="1:20">
      <c r="A339">
        <v>331</v>
      </c>
      <c r="B339">
        <v>8.0022034789190304</v>
      </c>
      <c r="C339">
        <v>6.8640136543475121</v>
      </c>
      <c r="D339">
        <v>2.7855766532350272</v>
      </c>
      <c r="E339">
        <v>0.23405215095305376</v>
      </c>
      <c r="F339">
        <v>0.23</v>
      </c>
      <c r="G339">
        <v>12</v>
      </c>
      <c r="I339">
        <f>SMALL(SimData1!$B$9:$B$508,331)</f>
        <v>11.253136161587838</v>
      </c>
      <c r="J339">
        <f>1/(COUNT(SimData1!$B$9:$B$508)-1)+$J$338</f>
        <v>0.66132264529058171</v>
      </c>
      <c r="K339">
        <f>SMALL(SimData1!$C$9:$C$508,331)</f>
        <v>7.2841563426005083</v>
      </c>
      <c r="L339">
        <f>1/(COUNT(SimData1!$C$9:$C$508)-1)+$L$338</f>
        <v>0.66132264529058171</v>
      </c>
      <c r="M339">
        <f>SMALL(SimData1!$D$9:$D$508,331)</f>
        <v>10.280359063372099</v>
      </c>
      <c r="N339">
        <f>1/(COUNT(SimData1!$D$9:$D$508)-1)+$N$338</f>
        <v>0.66132264529058171</v>
      </c>
      <c r="O339">
        <f>SMALL(SimData1!$E$9:$E$508,331)</f>
        <v>22.307060209343948</v>
      </c>
      <c r="P339">
        <f>1/(COUNT(SimData1!$E$9:$E$508)-1)+$P$338</f>
        <v>0.66132264529058171</v>
      </c>
      <c r="Q339">
        <f>SMALL(SimData1!$F$9:$F$508,331)</f>
        <v>0.23</v>
      </c>
      <c r="R339">
        <f>1/(COUNT(SimData1!$F$9:$F$508)-1)+$R$338</f>
        <v>0.66132264529058171</v>
      </c>
      <c r="S339">
        <f>SMALL(SimData1!$G$9:$G$508,331)</f>
        <v>9</v>
      </c>
      <c r="T339">
        <f>1/(COUNT(SimData1!$G$9:$G$508)-1)+$T$338</f>
        <v>0.66132264529058171</v>
      </c>
    </row>
    <row r="340" spans="1:20">
      <c r="A340">
        <v>332</v>
      </c>
      <c r="B340">
        <v>12.699767377584099</v>
      </c>
      <c r="C340">
        <v>2.6356913644251625</v>
      </c>
      <c r="D340">
        <v>10.339721156484384</v>
      </c>
      <c r="E340">
        <v>-1.1251985781951412</v>
      </c>
      <c r="F340">
        <v>0.23</v>
      </c>
      <c r="G340">
        <v>12</v>
      </c>
      <c r="I340">
        <f>SMALL(SimData1!$B$9:$B$508,332)</f>
        <v>11.261922185370974</v>
      </c>
      <c r="J340">
        <f>1/(COUNT(SimData1!$B$9:$B$508)-1)+$J$339</f>
        <v>0.66332665330661378</v>
      </c>
      <c r="K340">
        <f>SMALL(SimData1!$C$9:$C$508,332)</f>
        <v>7.3116463735326294</v>
      </c>
      <c r="L340">
        <f>1/(COUNT(SimData1!$C$9:$C$508)-1)+$L$339</f>
        <v>0.66332665330661378</v>
      </c>
      <c r="M340">
        <f>SMALL(SimData1!$D$9:$D$508,332)</f>
        <v>10.298596645337202</v>
      </c>
      <c r="N340">
        <f>1/(COUNT(SimData1!$D$9:$D$508)-1)+$N$339</f>
        <v>0.66332665330661378</v>
      </c>
      <c r="O340">
        <f>SMALL(SimData1!$E$9:$E$508,332)</f>
        <v>22.313431714086388</v>
      </c>
      <c r="P340">
        <f>1/(COUNT(SimData1!$E$9:$E$508)-1)+$P$339</f>
        <v>0.66332665330661378</v>
      </c>
      <c r="Q340">
        <f>SMALL(SimData1!$F$9:$F$508,332)</f>
        <v>0.23</v>
      </c>
      <c r="R340">
        <f>1/(COUNT(SimData1!$F$9:$F$508)-1)+$R$339</f>
        <v>0.66332665330661378</v>
      </c>
      <c r="S340">
        <f>SMALL(SimData1!$G$9:$G$508,332)</f>
        <v>9</v>
      </c>
      <c r="T340">
        <f>1/(COUNT(SimData1!$G$9:$G$508)-1)+$T$339</f>
        <v>0.66332665330661378</v>
      </c>
    </row>
    <row r="341" spans="1:20">
      <c r="A341">
        <v>333</v>
      </c>
      <c r="B341">
        <v>9.027121983557052</v>
      </c>
      <c r="C341">
        <v>2.9739333391147511</v>
      </c>
      <c r="D341">
        <v>9.5387233038830388</v>
      </c>
      <c r="E341">
        <v>21.892390183282814</v>
      </c>
      <c r="F341">
        <v>0.23</v>
      </c>
      <c r="G341">
        <v>6</v>
      </c>
      <c r="I341">
        <f>SMALL(SimData1!$B$9:$B$508,333)</f>
        <v>11.281646568581978</v>
      </c>
      <c r="J341">
        <f>1/(COUNT(SimData1!$B$9:$B$508)-1)+$J$340</f>
        <v>0.66533066132264584</v>
      </c>
      <c r="K341">
        <f>SMALL(SimData1!$C$9:$C$508,333)</f>
        <v>7.3278591505400508</v>
      </c>
      <c r="L341">
        <f>1/(COUNT(SimData1!$C$9:$C$508)-1)+$L$340</f>
        <v>0.66533066132264584</v>
      </c>
      <c r="M341">
        <f>SMALL(SimData1!$D$9:$D$508,333)</f>
        <v>10.316696016148825</v>
      </c>
      <c r="N341">
        <f>1/(COUNT(SimData1!$D$9:$D$508)-1)+$N$340</f>
        <v>0.66533066132264584</v>
      </c>
      <c r="O341">
        <f>SMALL(SimData1!$E$9:$E$508,333)</f>
        <v>22.324259749711469</v>
      </c>
      <c r="P341">
        <f>1/(COUNT(SimData1!$E$9:$E$508)-1)+$P$340</f>
        <v>0.66533066132264584</v>
      </c>
      <c r="Q341">
        <f>SMALL(SimData1!$F$9:$F$508,333)</f>
        <v>0.23</v>
      </c>
      <c r="R341">
        <f>1/(COUNT(SimData1!$F$9:$F$508)-1)+$R$340</f>
        <v>0.66533066132264584</v>
      </c>
      <c r="S341">
        <f>SMALL(SimData1!$G$9:$G$508,333)</f>
        <v>9</v>
      </c>
      <c r="T341">
        <f>1/(COUNT(SimData1!$G$9:$G$508)-1)+$T$340</f>
        <v>0.66533066132264584</v>
      </c>
    </row>
    <row r="342" spans="1:20">
      <c r="A342">
        <v>334</v>
      </c>
      <c r="B342">
        <v>15.901613158468628</v>
      </c>
      <c r="C342">
        <v>3.3323825004930567</v>
      </c>
      <c r="D342">
        <v>4.0876352491247552</v>
      </c>
      <c r="E342">
        <v>-0.89425588794075728</v>
      </c>
      <c r="F342">
        <v>0.23</v>
      </c>
      <c r="G342">
        <v>6</v>
      </c>
      <c r="I342">
        <f>SMALL(SimData1!$B$9:$B$508,334)</f>
        <v>11.291948891081585</v>
      </c>
      <c r="J342">
        <f>1/(COUNT(SimData1!$B$9:$B$508)-1)+$J$341</f>
        <v>0.66733466933867791</v>
      </c>
      <c r="K342">
        <f>SMALL(SimData1!$C$9:$C$508,334)</f>
        <v>7.3406200756385509</v>
      </c>
      <c r="L342">
        <f>1/(COUNT(SimData1!$C$9:$C$508)-1)+$L$341</f>
        <v>0.66733466933867791</v>
      </c>
      <c r="M342">
        <f>SMALL(SimData1!$D$9:$D$508,334)</f>
        <v>10.339721156484384</v>
      </c>
      <c r="N342">
        <f>1/(COUNT(SimData1!$D$9:$D$508)-1)+$N$341</f>
        <v>0.66733466933867791</v>
      </c>
      <c r="O342">
        <f>SMALL(SimData1!$E$9:$E$508,334)</f>
        <v>22.338308085977864</v>
      </c>
      <c r="P342">
        <f>1/(COUNT(SimData1!$E$9:$E$508)-1)+$P$341</f>
        <v>0.66733466933867791</v>
      </c>
      <c r="Q342">
        <f>SMALL(SimData1!$F$9:$F$508,334)</f>
        <v>0.23</v>
      </c>
      <c r="R342">
        <f>1/(COUNT(SimData1!$F$9:$F$508)-1)+$R$341</f>
        <v>0.66733466933867791</v>
      </c>
      <c r="S342">
        <f>SMALL(SimData1!$G$9:$G$508,334)</f>
        <v>9</v>
      </c>
      <c r="T342">
        <f>1/(COUNT(SimData1!$G$9:$G$508)-1)+$T$341</f>
        <v>0.66733466933867791</v>
      </c>
    </row>
    <row r="343" spans="1:20">
      <c r="A343">
        <v>335</v>
      </c>
      <c r="B343">
        <v>12.831949211357056</v>
      </c>
      <c r="C343">
        <v>3.2431822404179682</v>
      </c>
      <c r="D343">
        <v>6.725832031528892</v>
      </c>
      <c r="E343">
        <v>-0.24983746698118248</v>
      </c>
      <c r="F343">
        <v>0.23</v>
      </c>
      <c r="G343">
        <v>6</v>
      </c>
      <c r="I343">
        <f>SMALL(SimData1!$B$9:$B$508,335)</f>
        <v>11.304943084727702</v>
      </c>
      <c r="J343">
        <f>1/(COUNT(SimData1!$B$9:$B$508)-1)+$J$342</f>
        <v>0.66933867735470998</v>
      </c>
      <c r="K343">
        <f>SMALL(SimData1!$C$9:$C$508,335)</f>
        <v>7.359649037294008</v>
      </c>
      <c r="L343">
        <f>1/(COUNT(SimData1!$C$9:$C$508)-1)+$L$342</f>
        <v>0.66933867735470998</v>
      </c>
      <c r="M343">
        <f>SMALL(SimData1!$D$9:$D$508,335)</f>
        <v>10.346181984689595</v>
      </c>
      <c r="N343">
        <f>1/(COUNT(SimData1!$D$9:$D$508)-1)+$N$342</f>
        <v>0.66933867735470998</v>
      </c>
      <c r="O343">
        <f>SMALL(SimData1!$E$9:$E$508,335)</f>
        <v>22.344575874710412</v>
      </c>
      <c r="P343">
        <f>1/(COUNT(SimData1!$E$9:$E$508)-1)+$P$342</f>
        <v>0.66933867735470998</v>
      </c>
      <c r="Q343">
        <f>SMALL(SimData1!$F$9:$F$508,335)</f>
        <v>0.23</v>
      </c>
      <c r="R343">
        <f>1/(COUNT(SimData1!$F$9:$F$508)-1)+$R$342</f>
        <v>0.66933867735470998</v>
      </c>
      <c r="S343">
        <f>SMALL(SimData1!$G$9:$G$508,335)</f>
        <v>10</v>
      </c>
      <c r="T343">
        <f>1/(COUNT(SimData1!$G$9:$G$508)-1)+$T$342</f>
        <v>0.66933867735470998</v>
      </c>
    </row>
    <row r="344" spans="1:20">
      <c r="A344">
        <v>336</v>
      </c>
      <c r="B344">
        <v>8.618357013838482</v>
      </c>
      <c r="C344">
        <v>4.115090196207885</v>
      </c>
      <c r="D344">
        <v>7.0786077147532742</v>
      </c>
      <c r="E344">
        <v>-0.75247888872710911</v>
      </c>
      <c r="F344">
        <v>0.23</v>
      </c>
      <c r="G344">
        <v>2</v>
      </c>
      <c r="I344">
        <f>SMALL(SimData1!$B$9:$B$508,336)</f>
        <v>11.333621065489158</v>
      </c>
      <c r="J344">
        <f>1/(COUNT(SimData1!$B$9:$B$508)-1)+$J$343</f>
        <v>0.67134268537074204</v>
      </c>
      <c r="K344">
        <f>SMALL(SimData1!$C$9:$C$508,336)</f>
        <v>7.3676143395359661</v>
      </c>
      <c r="L344">
        <f>1/(COUNT(SimData1!$C$9:$C$508)-1)+$L$343</f>
        <v>0.67134268537074204</v>
      </c>
      <c r="M344">
        <f>SMALL(SimData1!$D$9:$D$508,336)</f>
        <v>10.362123898469406</v>
      </c>
      <c r="N344">
        <f>1/(COUNT(SimData1!$D$9:$D$508)-1)+$N$343</f>
        <v>0.67134268537074204</v>
      </c>
      <c r="O344">
        <f>SMALL(SimData1!$E$9:$E$508,336)</f>
        <v>22.352185440977038</v>
      </c>
      <c r="P344">
        <f>1/(COUNT(SimData1!$E$9:$E$508)-1)+$P$343</f>
        <v>0.67134268537074204</v>
      </c>
      <c r="Q344">
        <f>SMALL(SimData1!$F$9:$F$508,336)</f>
        <v>0.23</v>
      </c>
      <c r="R344">
        <f>1/(COUNT(SimData1!$F$9:$F$508)-1)+$R$343</f>
        <v>0.67134268537074204</v>
      </c>
      <c r="S344">
        <f>SMALL(SimData1!$G$9:$G$508,336)</f>
        <v>10</v>
      </c>
      <c r="T344">
        <f>1/(COUNT(SimData1!$G$9:$G$508)-1)+$T$343</f>
        <v>0.67134268537074204</v>
      </c>
    </row>
    <row r="345" spans="1:20">
      <c r="A345">
        <v>337</v>
      </c>
      <c r="B345">
        <v>6.3322468145910715</v>
      </c>
      <c r="C345">
        <v>9.7081207930585656</v>
      </c>
      <c r="D345">
        <v>9.0733439646943808</v>
      </c>
      <c r="E345">
        <v>22.493886798090355</v>
      </c>
      <c r="F345">
        <v>0.23</v>
      </c>
      <c r="G345">
        <v>12</v>
      </c>
      <c r="I345">
        <f>SMALL(SimData1!$B$9:$B$508,337)</f>
        <v>11.344104753549711</v>
      </c>
      <c r="J345">
        <f>1/(COUNT(SimData1!$B$9:$B$508)-1)+$J$344</f>
        <v>0.67334669338677411</v>
      </c>
      <c r="K345">
        <f>SMALL(SimData1!$C$9:$C$508,337)</f>
        <v>7.3818403919874314</v>
      </c>
      <c r="L345">
        <f>1/(COUNT(SimData1!$C$9:$C$508)-1)+$L$344</f>
        <v>0.67334669338677411</v>
      </c>
      <c r="M345">
        <f>SMALL(SimData1!$D$9:$D$508,337)</f>
        <v>10.390062404237236</v>
      </c>
      <c r="N345">
        <f>1/(COUNT(SimData1!$D$9:$D$508)-1)+$N$344</f>
        <v>0.67334669338677411</v>
      </c>
      <c r="O345">
        <f>SMALL(SimData1!$E$9:$E$508,337)</f>
        <v>22.365291313760892</v>
      </c>
      <c r="P345">
        <f>1/(COUNT(SimData1!$E$9:$E$508)-1)+$P$344</f>
        <v>0.67334669338677411</v>
      </c>
      <c r="Q345">
        <f>SMALL(SimData1!$F$9:$F$508,337)</f>
        <v>0.23</v>
      </c>
      <c r="R345">
        <f>1/(COUNT(SimData1!$F$9:$F$508)-1)+$R$344</f>
        <v>0.67334669338677411</v>
      </c>
      <c r="S345">
        <f>SMALL(SimData1!$G$9:$G$508,337)</f>
        <v>10</v>
      </c>
      <c r="T345">
        <f>1/(COUNT(SimData1!$G$9:$G$508)-1)+$T$344</f>
        <v>0.67334669338677411</v>
      </c>
    </row>
    <row r="346" spans="1:20">
      <c r="A346">
        <v>338</v>
      </c>
      <c r="B346">
        <v>12.427197989752255</v>
      </c>
      <c r="C346">
        <v>3.35728953340959</v>
      </c>
      <c r="D346">
        <v>8.1171271149341777</v>
      </c>
      <c r="E346">
        <v>-2.2868085857220999E-2</v>
      </c>
      <c r="F346">
        <v>0.23</v>
      </c>
      <c r="G346">
        <v>10</v>
      </c>
      <c r="I346">
        <f>SMALL(SimData1!$B$9:$B$508,338)</f>
        <v>11.362731393410009</v>
      </c>
      <c r="J346">
        <f>1/(COUNT(SimData1!$B$9:$B$508)-1)+$J$345</f>
        <v>0.67535070140280618</v>
      </c>
      <c r="K346">
        <f>SMALL(SimData1!$C$9:$C$508,338)</f>
        <v>7.4004236140345272</v>
      </c>
      <c r="L346">
        <f>1/(COUNT(SimData1!$C$9:$C$508)-1)+$L$345</f>
        <v>0.67535070140280618</v>
      </c>
      <c r="M346">
        <f>SMALL(SimData1!$D$9:$D$508,338)</f>
        <v>10.40213081102309</v>
      </c>
      <c r="N346">
        <f>1/(COUNT(SimData1!$D$9:$D$508)-1)+$N$345</f>
        <v>0.67535070140280618</v>
      </c>
      <c r="O346">
        <f>SMALL(SimData1!$E$9:$E$508,338)</f>
        <v>22.379806305569563</v>
      </c>
      <c r="P346">
        <f>1/(COUNT(SimData1!$E$9:$E$508)-1)+$P$345</f>
        <v>0.67535070140280618</v>
      </c>
      <c r="Q346">
        <f>SMALL(SimData1!$F$9:$F$508,338)</f>
        <v>0.23</v>
      </c>
      <c r="R346">
        <f>1/(COUNT(SimData1!$F$9:$F$508)-1)+$R$345</f>
        <v>0.67535070140280618</v>
      </c>
      <c r="S346">
        <f>SMALL(SimData1!$G$9:$G$508,338)</f>
        <v>10</v>
      </c>
      <c r="T346">
        <f>1/(COUNT(SimData1!$G$9:$G$508)-1)+$T$345</f>
        <v>0.67535070140280618</v>
      </c>
    </row>
    <row r="347" spans="1:20">
      <c r="A347">
        <v>339</v>
      </c>
      <c r="B347">
        <v>9.9015311131440509</v>
      </c>
      <c r="C347">
        <v>3.8510460257742194</v>
      </c>
      <c r="D347">
        <v>4.7016329867629416</v>
      </c>
      <c r="E347">
        <v>-0.10510360648212869</v>
      </c>
      <c r="F347">
        <v>0.23</v>
      </c>
      <c r="G347">
        <v>2</v>
      </c>
      <c r="I347">
        <f>SMALL(SimData1!$B$9:$B$508,339)</f>
        <v>11.374063942467023</v>
      </c>
      <c r="J347">
        <f>1/(COUNT(SimData1!$B$9:$B$508)-1)+$J$346</f>
        <v>0.67735470941883824</v>
      </c>
      <c r="K347">
        <f>SMALL(SimData1!$C$9:$C$508,339)</f>
        <v>7.4239871218465243</v>
      </c>
      <c r="L347">
        <f>1/(COUNT(SimData1!$C$9:$C$508)-1)+$L$346</f>
        <v>0.67735470941883824</v>
      </c>
      <c r="M347">
        <f>SMALL(SimData1!$D$9:$D$508,339)</f>
        <v>10.420079302827846</v>
      </c>
      <c r="N347">
        <f>1/(COUNT(SimData1!$D$9:$D$508)-1)+$N$346</f>
        <v>0.67735470941883824</v>
      </c>
      <c r="O347">
        <f>SMALL(SimData1!$E$9:$E$508,339)</f>
        <v>22.381180764891539</v>
      </c>
      <c r="P347">
        <f>1/(COUNT(SimData1!$E$9:$E$508)-1)+$P$346</f>
        <v>0.67735470941883824</v>
      </c>
      <c r="Q347">
        <f>SMALL(SimData1!$F$9:$F$508,339)</f>
        <v>0.23</v>
      </c>
      <c r="R347">
        <f>1/(COUNT(SimData1!$F$9:$F$508)-1)+$R$346</f>
        <v>0.67735470941883824</v>
      </c>
      <c r="S347">
        <f>SMALL(SimData1!$G$9:$G$508,339)</f>
        <v>10</v>
      </c>
      <c r="T347">
        <f>1/(COUNT(SimData1!$G$9:$G$508)-1)+$T$346</f>
        <v>0.67735470941883824</v>
      </c>
    </row>
    <row r="348" spans="1:20">
      <c r="A348">
        <v>340</v>
      </c>
      <c r="B348">
        <v>10.386842229338248</v>
      </c>
      <c r="C348">
        <v>9.3663147667772861</v>
      </c>
      <c r="D348">
        <v>9.4906124607312066</v>
      </c>
      <c r="E348">
        <v>23.647148071312454</v>
      </c>
      <c r="F348">
        <v>0.23</v>
      </c>
      <c r="G348">
        <v>10</v>
      </c>
      <c r="I348">
        <f>SMALL(SimData1!$B$9:$B$508,340)</f>
        <v>11.389182882234582</v>
      </c>
      <c r="J348">
        <f>1/(COUNT(SimData1!$B$9:$B$508)-1)+$J$347</f>
        <v>0.67935871743487031</v>
      </c>
      <c r="K348">
        <f>SMALL(SimData1!$C$9:$C$508,340)</f>
        <v>7.4284230917478959</v>
      </c>
      <c r="L348">
        <f>1/(COUNT(SimData1!$C$9:$C$508)-1)+$L$347</f>
        <v>0.67935871743487031</v>
      </c>
      <c r="M348">
        <f>SMALL(SimData1!$D$9:$D$508,340)</f>
        <v>10.437668273098224</v>
      </c>
      <c r="N348">
        <f>1/(COUNT(SimData1!$D$9:$D$508)-1)+$N$347</f>
        <v>0.67935871743487031</v>
      </c>
      <c r="O348">
        <f>SMALL(SimData1!$E$9:$E$508,340)</f>
        <v>22.392113842580851</v>
      </c>
      <c r="P348">
        <f>1/(COUNT(SimData1!$E$9:$E$508)-1)+$P$347</f>
        <v>0.67935871743487031</v>
      </c>
      <c r="Q348">
        <f>SMALL(SimData1!$F$9:$F$508,340)</f>
        <v>0.23</v>
      </c>
      <c r="R348">
        <f>1/(COUNT(SimData1!$F$9:$F$508)-1)+$R$347</f>
        <v>0.67935871743487031</v>
      </c>
      <c r="S348">
        <f>SMALL(SimData1!$G$9:$G$508,340)</f>
        <v>10</v>
      </c>
      <c r="T348">
        <f>1/(COUNT(SimData1!$G$9:$G$508)-1)+$T$347</f>
        <v>0.67935871743487031</v>
      </c>
    </row>
    <row r="349" spans="1:20">
      <c r="A349">
        <v>341</v>
      </c>
      <c r="B349">
        <v>12.716404725437799</v>
      </c>
      <c r="C349">
        <v>7.8147117310591767</v>
      </c>
      <c r="D349">
        <v>8.2467421821799931</v>
      </c>
      <c r="E349">
        <v>22.105686645315956</v>
      </c>
      <c r="F349">
        <v>0.23</v>
      </c>
      <c r="G349">
        <v>6</v>
      </c>
      <c r="I349">
        <f>SMALL(SimData1!$B$9:$B$508,341)</f>
        <v>11.405452341728365</v>
      </c>
      <c r="J349">
        <f>1/(COUNT(SimData1!$B$9:$B$508)-1)+$J$348</f>
        <v>0.68136272545090237</v>
      </c>
      <c r="K349">
        <f>SMALL(SimData1!$C$9:$C$508,341)</f>
        <v>7.4514128146458916</v>
      </c>
      <c r="L349">
        <f>1/(COUNT(SimData1!$C$9:$C$508)-1)+$L$348</f>
        <v>0.68136272545090237</v>
      </c>
      <c r="M349">
        <f>SMALL(SimData1!$D$9:$D$508,341)</f>
        <v>10.453961270294609</v>
      </c>
      <c r="N349">
        <f>1/(COUNT(SimData1!$D$9:$D$508)-1)+$N$348</f>
        <v>0.68136272545090237</v>
      </c>
      <c r="O349">
        <f>SMALL(SimData1!$E$9:$E$508,341)</f>
        <v>22.406636241835923</v>
      </c>
      <c r="P349">
        <f>1/(COUNT(SimData1!$E$9:$E$508)-1)+$P$348</f>
        <v>0.68136272545090237</v>
      </c>
      <c r="Q349">
        <f>SMALL(SimData1!$F$9:$F$508,341)</f>
        <v>0.23</v>
      </c>
      <c r="R349">
        <f>1/(COUNT(SimData1!$F$9:$F$508)-1)+$R$348</f>
        <v>0.68136272545090237</v>
      </c>
      <c r="S349">
        <f>SMALL(SimData1!$G$9:$G$508,341)</f>
        <v>10</v>
      </c>
      <c r="T349">
        <f>1/(COUNT(SimData1!$G$9:$G$508)-1)+$T$348</f>
        <v>0.68136272545090237</v>
      </c>
    </row>
    <row r="350" spans="1:20">
      <c r="A350">
        <v>342</v>
      </c>
      <c r="B350">
        <v>12.146297362593655</v>
      </c>
      <c r="C350">
        <v>4.6957273229564835</v>
      </c>
      <c r="D350">
        <v>15.003925192483681</v>
      </c>
      <c r="E350">
        <v>-0.78246536885485107</v>
      </c>
      <c r="F350">
        <v>0.23</v>
      </c>
      <c r="G350">
        <v>9</v>
      </c>
      <c r="I350">
        <f>SMALL(SimData1!$B$9:$B$508,342)</f>
        <v>11.420040439725993</v>
      </c>
      <c r="J350">
        <f>1/(COUNT(SimData1!$B$9:$B$508)-1)+$J$349</f>
        <v>0.68336673346693444</v>
      </c>
      <c r="K350">
        <f>SMALL(SimData1!$C$9:$C$508,342)</f>
        <v>7.4706444959600091</v>
      </c>
      <c r="L350">
        <f>1/(COUNT(SimData1!$C$9:$C$508)-1)+$L$349</f>
        <v>0.68336673346693444</v>
      </c>
      <c r="M350">
        <f>SMALL(SimData1!$D$9:$D$508,342)</f>
        <v>10.459430541616733</v>
      </c>
      <c r="N350">
        <f>1/(COUNT(SimData1!$D$9:$D$508)-1)+$N$349</f>
        <v>0.68336673346693444</v>
      </c>
      <c r="O350">
        <f>SMALL(SimData1!$E$9:$E$508,342)</f>
        <v>22.411257763295225</v>
      </c>
      <c r="P350">
        <f>1/(COUNT(SimData1!$E$9:$E$508)-1)+$P$349</f>
        <v>0.68336673346693444</v>
      </c>
      <c r="Q350">
        <f>SMALL(SimData1!$F$9:$F$508,342)</f>
        <v>0.23</v>
      </c>
      <c r="R350">
        <f>1/(COUNT(SimData1!$F$9:$F$508)-1)+$R$349</f>
        <v>0.68336673346693444</v>
      </c>
      <c r="S350">
        <f>SMALL(SimData1!$G$9:$G$508,342)</f>
        <v>10</v>
      </c>
      <c r="T350">
        <f>1/(COUNT(SimData1!$G$9:$G$508)-1)+$T$349</f>
        <v>0.68336673346693444</v>
      </c>
    </row>
    <row r="351" spans="1:20">
      <c r="A351">
        <v>343</v>
      </c>
      <c r="B351">
        <v>8.5858188048577695</v>
      </c>
      <c r="C351">
        <v>3.2887652494816031</v>
      </c>
      <c r="D351">
        <v>2.3750415826884659</v>
      </c>
      <c r="E351">
        <v>23.28152455408652</v>
      </c>
      <c r="F351">
        <v>0.23</v>
      </c>
      <c r="G351">
        <v>4</v>
      </c>
      <c r="I351">
        <f>SMALL(SimData1!$B$9:$B$508,343)</f>
        <v>11.443770875083787</v>
      </c>
      <c r="J351">
        <f>1/(COUNT(SimData1!$B$9:$B$508)-1)+$J$350</f>
        <v>0.68537074148296651</v>
      </c>
      <c r="K351">
        <f>SMALL(SimData1!$C$9:$C$508,343)</f>
        <v>7.4848454380065306</v>
      </c>
      <c r="L351">
        <f>1/(COUNT(SimData1!$C$9:$C$508)-1)+$L$350</f>
        <v>0.68537074148296651</v>
      </c>
      <c r="M351">
        <f>SMALL(SimData1!$D$9:$D$508,343)</f>
        <v>10.482354896797416</v>
      </c>
      <c r="N351">
        <f>1/(COUNT(SimData1!$D$9:$D$508)-1)+$N$350</f>
        <v>0.68537074148296651</v>
      </c>
      <c r="O351">
        <f>SMALL(SimData1!$E$9:$E$508,343)</f>
        <v>22.42546190882971</v>
      </c>
      <c r="P351">
        <f>1/(COUNT(SimData1!$E$9:$E$508)-1)+$P$350</f>
        <v>0.68537074148296651</v>
      </c>
      <c r="Q351">
        <f>SMALL(SimData1!$F$9:$F$508,343)</f>
        <v>0.23</v>
      </c>
      <c r="R351">
        <f>1/(COUNT(SimData1!$F$9:$F$508)-1)+$R$350</f>
        <v>0.68537074148296651</v>
      </c>
      <c r="S351">
        <f>SMALL(SimData1!$G$9:$G$508,343)</f>
        <v>10</v>
      </c>
      <c r="T351">
        <f>1/(COUNT(SimData1!$G$9:$G$508)-1)+$T$350</f>
        <v>0.68537074148296651</v>
      </c>
    </row>
    <row r="352" spans="1:20">
      <c r="A352">
        <v>344</v>
      </c>
      <c r="B352">
        <v>14.440033823068507</v>
      </c>
      <c r="C352">
        <v>3.6176802792478542</v>
      </c>
      <c r="D352">
        <v>10.316696016148825</v>
      </c>
      <c r="E352">
        <v>23.408234576606311</v>
      </c>
      <c r="F352">
        <v>0.23</v>
      </c>
      <c r="G352">
        <v>12</v>
      </c>
      <c r="I352">
        <f>SMALL(SimData1!$B$9:$B$508,344)</f>
        <v>11.458218651979335</v>
      </c>
      <c r="J352">
        <f>1/(COUNT(SimData1!$B$9:$B$508)-1)+$J$351</f>
        <v>0.68737474949899857</v>
      </c>
      <c r="K352">
        <f>SMALL(SimData1!$C$9:$C$508,344)</f>
        <v>7.5031717977819898</v>
      </c>
      <c r="L352">
        <f>1/(COUNT(SimData1!$C$9:$C$508)-1)+$L$351</f>
        <v>0.68737474949899857</v>
      </c>
      <c r="M352">
        <f>SMALL(SimData1!$D$9:$D$508,344)</f>
        <v>10.501247095457568</v>
      </c>
      <c r="N352">
        <f>1/(COUNT(SimData1!$D$9:$D$508)-1)+$N$351</f>
        <v>0.68737474949899857</v>
      </c>
      <c r="O352">
        <f>SMALL(SimData1!$E$9:$E$508,344)</f>
        <v>22.436112657239661</v>
      </c>
      <c r="P352">
        <f>1/(COUNT(SimData1!$E$9:$E$508)-1)+$P$351</f>
        <v>0.68737474949899857</v>
      </c>
      <c r="Q352">
        <f>SMALL(SimData1!$F$9:$F$508,344)</f>
        <v>0.23</v>
      </c>
      <c r="R352">
        <f>1/(COUNT(SimData1!$F$9:$F$508)-1)+$R$351</f>
        <v>0.68737474949899857</v>
      </c>
      <c r="S352">
        <f>SMALL(SimData1!$G$9:$G$508,344)</f>
        <v>10</v>
      </c>
      <c r="T352">
        <f>1/(COUNT(SimData1!$G$9:$G$508)-1)+$T$351</f>
        <v>0.68737474949899857</v>
      </c>
    </row>
    <row r="353" spans="1:20">
      <c r="A353">
        <v>345</v>
      </c>
      <c r="B353">
        <v>3.5529804502950437</v>
      </c>
      <c r="C353">
        <v>5.5417092180414382</v>
      </c>
      <c r="D353">
        <v>9.867623719436029</v>
      </c>
      <c r="E353">
        <v>0.12369545614928024</v>
      </c>
      <c r="F353">
        <v>0.23</v>
      </c>
      <c r="G353">
        <v>12</v>
      </c>
      <c r="I353">
        <f>SMALL(SimData1!$B$9:$B$508,345)</f>
        <v>11.486778390723094</v>
      </c>
      <c r="J353">
        <f>1/(COUNT(SimData1!$B$9:$B$508)-1)+$J$352</f>
        <v>0.68937875751503064</v>
      </c>
      <c r="K353">
        <f>SMALL(SimData1!$C$9:$C$508,345)</f>
        <v>7.5155507624921274</v>
      </c>
      <c r="L353">
        <f>1/(COUNT(SimData1!$C$9:$C$508)-1)+$L$352</f>
        <v>0.68937875751503064</v>
      </c>
      <c r="M353">
        <f>SMALL(SimData1!$D$9:$D$508,345)</f>
        <v>10.509909254310166</v>
      </c>
      <c r="N353">
        <f>1/(COUNT(SimData1!$D$9:$D$508)-1)+$N$352</f>
        <v>0.68937875751503064</v>
      </c>
      <c r="O353">
        <f>SMALL(SimData1!$E$9:$E$508,345)</f>
        <v>22.446259455432159</v>
      </c>
      <c r="P353">
        <f>1/(COUNT(SimData1!$E$9:$E$508)-1)+$P$352</f>
        <v>0.68937875751503064</v>
      </c>
      <c r="Q353">
        <f>SMALL(SimData1!$F$9:$F$508,345)</f>
        <v>0.23</v>
      </c>
      <c r="R353">
        <f>1/(COUNT(SimData1!$F$9:$F$508)-1)+$R$352</f>
        <v>0.68937875751503064</v>
      </c>
      <c r="S353">
        <f>SMALL(SimData1!$G$9:$G$508,345)</f>
        <v>10</v>
      </c>
      <c r="T353">
        <f>1/(COUNT(SimData1!$G$9:$G$508)-1)+$T$352</f>
        <v>0.68937875751503064</v>
      </c>
    </row>
    <row r="354" spans="1:20">
      <c r="A354">
        <v>346</v>
      </c>
      <c r="B354">
        <v>4.7383003512835868</v>
      </c>
      <c r="C354">
        <v>8.8865100242212662</v>
      </c>
      <c r="D354">
        <v>8.5921913570147446</v>
      </c>
      <c r="E354">
        <v>23.387412666302598</v>
      </c>
      <c r="F354">
        <v>0.23</v>
      </c>
      <c r="G354">
        <v>6</v>
      </c>
      <c r="I354">
        <f>SMALL(SimData1!$B$9:$B$508,346)</f>
        <v>11.499734324227731</v>
      </c>
      <c r="J354">
        <f>1/(COUNT(SimData1!$B$9:$B$508)-1)+$J$353</f>
        <v>0.6913827655310627</v>
      </c>
      <c r="K354">
        <f>SMALL(SimData1!$C$9:$C$508,346)</f>
        <v>7.5315625613135202</v>
      </c>
      <c r="L354">
        <f>1/(COUNT(SimData1!$C$9:$C$508)-1)+$L$353</f>
        <v>0.6913827655310627</v>
      </c>
      <c r="M354">
        <f>SMALL(SimData1!$D$9:$D$508,346)</f>
        <v>10.5291664550214</v>
      </c>
      <c r="N354">
        <f>1/(COUNT(SimData1!$D$9:$D$508)-1)+$N$353</f>
        <v>0.6913827655310627</v>
      </c>
      <c r="O354">
        <f>SMALL(SimData1!$E$9:$E$508,346)</f>
        <v>22.457795330489851</v>
      </c>
      <c r="P354">
        <f>1/(COUNT(SimData1!$E$9:$E$508)-1)+$P$353</f>
        <v>0.6913827655310627</v>
      </c>
      <c r="Q354">
        <f>SMALL(SimData1!$F$9:$F$508,346)</f>
        <v>0.23</v>
      </c>
      <c r="R354">
        <f>1/(COUNT(SimData1!$F$9:$F$508)-1)+$R$353</f>
        <v>0.6913827655310627</v>
      </c>
      <c r="S354">
        <f>SMALL(SimData1!$G$9:$G$508,346)</f>
        <v>10</v>
      </c>
      <c r="T354">
        <f>1/(COUNT(SimData1!$G$9:$G$508)-1)+$T$353</f>
        <v>0.6913827655310627</v>
      </c>
    </row>
    <row r="355" spans="1:20">
      <c r="A355">
        <v>347</v>
      </c>
      <c r="B355">
        <v>8.0435146960510302</v>
      </c>
      <c r="C355">
        <v>8.976807295993158</v>
      </c>
      <c r="D355">
        <v>6.1825003928594526</v>
      </c>
      <c r="E355">
        <v>22.446259455432159</v>
      </c>
      <c r="F355">
        <v>0.23</v>
      </c>
      <c r="G355">
        <v>12</v>
      </c>
      <c r="I355">
        <f>SMALL(SimData1!$B$9:$B$508,347)</f>
        <v>11.509186397556045</v>
      </c>
      <c r="J355">
        <f>1/(COUNT(SimData1!$B$9:$B$508)-1)+$J$354</f>
        <v>0.69338677354709477</v>
      </c>
      <c r="K355">
        <f>SMALL(SimData1!$C$9:$C$508,347)</f>
        <v>7.5404424260902312</v>
      </c>
      <c r="L355">
        <f>1/(COUNT(SimData1!$C$9:$C$508)-1)+$L$354</f>
        <v>0.69338677354709477</v>
      </c>
      <c r="M355">
        <f>SMALL(SimData1!$D$9:$D$508,347)</f>
        <v>10.547816814984152</v>
      </c>
      <c r="N355">
        <f>1/(COUNT(SimData1!$D$9:$D$508)-1)+$N$354</f>
        <v>0.69338677354709477</v>
      </c>
      <c r="O355">
        <f>SMALL(SimData1!$E$9:$E$508,347)</f>
        <v>22.464776908362722</v>
      </c>
      <c r="P355">
        <f>1/(COUNT(SimData1!$E$9:$E$508)-1)+$P$354</f>
        <v>0.69338677354709477</v>
      </c>
      <c r="Q355">
        <f>SMALL(SimData1!$F$9:$F$508,347)</f>
        <v>0.23</v>
      </c>
      <c r="R355">
        <f>1/(COUNT(SimData1!$F$9:$F$508)-1)+$R$354</f>
        <v>0.69338677354709477</v>
      </c>
      <c r="S355">
        <f>SMALL(SimData1!$G$9:$G$508,347)</f>
        <v>10</v>
      </c>
      <c r="T355">
        <f>1/(COUNT(SimData1!$G$9:$G$508)-1)+$T$354</f>
        <v>0.69338677354709477</v>
      </c>
    </row>
    <row r="356" spans="1:20">
      <c r="A356">
        <v>348</v>
      </c>
      <c r="B356">
        <v>13.880466121834875</v>
      </c>
      <c r="C356">
        <v>7.1410941442561091</v>
      </c>
      <c r="D356">
        <v>10.986426439676999</v>
      </c>
      <c r="E356">
        <v>-0.55751237375040397</v>
      </c>
      <c r="F356">
        <v>0.23</v>
      </c>
      <c r="G356">
        <v>2</v>
      </c>
      <c r="I356">
        <f>SMALL(SimData1!$B$9:$B$508,348)</f>
        <v>11.523048057339892</v>
      </c>
      <c r="J356">
        <f>1/(COUNT(SimData1!$B$9:$B$508)-1)+$J$355</f>
        <v>0.69539078156312684</v>
      </c>
      <c r="K356">
        <f>SMALL(SimData1!$C$9:$C$508,348)</f>
        <v>7.5596668529155826</v>
      </c>
      <c r="L356">
        <f>1/(COUNT(SimData1!$C$9:$C$508)-1)+$L$355</f>
        <v>0.69539078156312684</v>
      </c>
      <c r="M356">
        <f>SMALL(SimData1!$D$9:$D$508,348)</f>
        <v>10.563280111144129</v>
      </c>
      <c r="N356">
        <f>1/(COUNT(SimData1!$D$9:$D$508)-1)+$N$355</f>
        <v>0.69539078156312684</v>
      </c>
      <c r="O356">
        <f>SMALL(SimData1!$E$9:$E$508,348)</f>
        <v>22.475352822244666</v>
      </c>
      <c r="P356">
        <f>1/(COUNT(SimData1!$E$9:$E$508)-1)+$P$355</f>
        <v>0.69539078156312684</v>
      </c>
      <c r="Q356">
        <f>SMALL(SimData1!$F$9:$F$508,348)</f>
        <v>0.23</v>
      </c>
      <c r="R356">
        <f>1/(COUNT(SimData1!$F$9:$F$508)-1)+$R$355</f>
        <v>0.69539078156312684</v>
      </c>
      <c r="S356">
        <f>SMALL(SimData1!$G$9:$G$508,348)</f>
        <v>10</v>
      </c>
      <c r="T356">
        <f>1/(COUNT(SimData1!$G$9:$G$508)-1)+$T$355</f>
        <v>0.69539078156312684</v>
      </c>
    </row>
    <row r="357" spans="1:20">
      <c r="A357">
        <v>349</v>
      </c>
      <c r="B357">
        <v>11.017959759151456</v>
      </c>
      <c r="C357">
        <v>2.3698007675152741</v>
      </c>
      <c r="D357">
        <v>10.636799772420154</v>
      </c>
      <c r="E357">
        <v>-0.52804091814665621</v>
      </c>
      <c r="F357">
        <v>0.23</v>
      </c>
      <c r="G357">
        <v>10</v>
      </c>
      <c r="I357">
        <f>SMALL(SimData1!$B$9:$B$508,349)</f>
        <v>11.551620413310681</v>
      </c>
      <c r="J357">
        <f>1/(COUNT(SimData1!$B$9:$B$508)-1)+$J$356</f>
        <v>0.6973947895791589</v>
      </c>
      <c r="K357">
        <f>SMALL(SimData1!$C$9:$C$508,349)</f>
        <v>7.5736799209913421</v>
      </c>
      <c r="L357">
        <f>1/(COUNT(SimData1!$C$9:$C$508)-1)+$L$356</f>
        <v>0.6973947895791589</v>
      </c>
      <c r="M357">
        <f>SMALL(SimData1!$D$9:$D$508,349)</f>
        <v>10.56852706479666</v>
      </c>
      <c r="N357">
        <f>1/(COUNT(SimData1!$D$9:$D$508)-1)+$N$356</f>
        <v>0.6973947895791589</v>
      </c>
      <c r="O357">
        <f>SMALL(SimData1!$E$9:$E$508,349)</f>
        <v>22.486626849273275</v>
      </c>
      <c r="P357">
        <f>1/(COUNT(SimData1!$E$9:$E$508)-1)+$P$356</f>
        <v>0.6973947895791589</v>
      </c>
      <c r="Q357">
        <f>SMALL(SimData1!$F$9:$F$508,349)</f>
        <v>0.23</v>
      </c>
      <c r="R357">
        <f>1/(COUNT(SimData1!$F$9:$F$508)-1)+$R$356</f>
        <v>0.6973947895791589</v>
      </c>
      <c r="S357">
        <f>SMALL(SimData1!$G$9:$G$508,349)</f>
        <v>10</v>
      </c>
      <c r="T357">
        <f>1/(COUNT(SimData1!$G$9:$G$508)-1)+$T$356</f>
        <v>0.6973947895791589</v>
      </c>
    </row>
    <row r="358" spans="1:20">
      <c r="A358">
        <v>350</v>
      </c>
      <c r="B358">
        <v>15.117815428832028</v>
      </c>
      <c r="C358">
        <v>5.2003793346696483</v>
      </c>
      <c r="D358">
        <v>4.5481725701755309</v>
      </c>
      <c r="E358">
        <v>-6.6289843279532246E-2</v>
      </c>
      <c r="F358">
        <v>0.23</v>
      </c>
      <c r="G358">
        <v>6</v>
      </c>
      <c r="I358">
        <f>SMALL(SimData1!$B$9:$B$508,350)</f>
        <v>11.571651078509175</v>
      </c>
      <c r="J358">
        <f>1/(COUNT(SimData1!$B$9:$B$508)-1)+$J$357</f>
        <v>0.69939879759519097</v>
      </c>
      <c r="K358">
        <f>SMALL(SimData1!$C$9:$C$508,350)</f>
        <v>7.5965131899296567</v>
      </c>
      <c r="L358">
        <f>1/(COUNT(SimData1!$C$9:$C$508)-1)+$L$357</f>
        <v>0.69939879759519097</v>
      </c>
      <c r="M358">
        <f>SMALL(SimData1!$D$9:$D$508,350)</f>
        <v>10.597480805079798</v>
      </c>
      <c r="N358">
        <f>1/(COUNT(SimData1!$D$9:$D$508)-1)+$N$357</f>
        <v>0.69939879759519097</v>
      </c>
      <c r="O358">
        <f>SMALL(SimData1!$E$9:$E$508,350)</f>
        <v>22.493886798090355</v>
      </c>
      <c r="P358">
        <f>1/(COUNT(SimData1!$E$9:$E$508)-1)+$P$357</f>
        <v>0.69939879759519097</v>
      </c>
      <c r="Q358">
        <f>SMALL(SimData1!$F$9:$F$508,350)</f>
        <v>0.23</v>
      </c>
      <c r="R358">
        <f>1/(COUNT(SimData1!$F$9:$F$508)-1)+$R$357</f>
        <v>0.69939879759519097</v>
      </c>
      <c r="S358">
        <f>SMALL(SimData1!$G$9:$G$508,350)</f>
        <v>10</v>
      </c>
      <c r="T358">
        <f>1/(COUNT(SimData1!$G$9:$G$508)-1)+$T$357</f>
        <v>0.69939879759519097</v>
      </c>
    </row>
    <row r="359" spans="1:20">
      <c r="A359">
        <v>351</v>
      </c>
      <c r="B359">
        <v>16.303082228943836</v>
      </c>
      <c r="C359">
        <v>6.2960292020645054</v>
      </c>
      <c r="D359">
        <v>2.9189273643118629</v>
      </c>
      <c r="E359">
        <v>23.25378603158747</v>
      </c>
      <c r="F359">
        <v>0.23</v>
      </c>
      <c r="G359">
        <v>6</v>
      </c>
      <c r="I359">
        <f>SMALL(SimData1!$B$9:$B$508,351)</f>
        <v>11.575300065708475</v>
      </c>
      <c r="J359">
        <f>1/(COUNT(SimData1!$B$9:$B$508)-1)+$J$358</f>
        <v>0.70140280561122303</v>
      </c>
      <c r="K359">
        <f>SMALL(SimData1!$C$9:$C$508,351)</f>
        <v>7.6064753161125065</v>
      </c>
      <c r="L359">
        <f>1/(COUNT(SimData1!$C$9:$C$508)-1)+$L$358</f>
        <v>0.70140280561122303</v>
      </c>
      <c r="M359">
        <f>SMALL(SimData1!$D$9:$D$508,351)</f>
        <v>10.60815112865906</v>
      </c>
      <c r="N359">
        <f>1/(COUNT(SimData1!$D$9:$D$508)-1)+$N$358</f>
        <v>0.70140280561122303</v>
      </c>
      <c r="O359">
        <f>SMALL(SimData1!$E$9:$E$508,351)</f>
        <v>22.505100683212742</v>
      </c>
      <c r="P359">
        <f>1/(COUNT(SimData1!$E$9:$E$508)-1)+$P$358</f>
        <v>0.70140280561122303</v>
      </c>
      <c r="Q359">
        <f>SMALL(SimData1!$F$9:$F$508,351)</f>
        <v>0.23</v>
      </c>
      <c r="R359">
        <f>1/(COUNT(SimData1!$F$9:$F$508)-1)+$R$358</f>
        <v>0.70140280561122303</v>
      </c>
      <c r="S359">
        <f>SMALL(SimData1!$G$9:$G$508,351)</f>
        <v>10</v>
      </c>
      <c r="T359">
        <f>1/(COUNT(SimData1!$G$9:$G$508)-1)+$T$358</f>
        <v>0.70140280561122303</v>
      </c>
    </row>
    <row r="360" spans="1:20">
      <c r="A360">
        <v>352</v>
      </c>
      <c r="B360">
        <v>12.379199827904852</v>
      </c>
      <c r="C360">
        <v>8.4056226085474766</v>
      </c>
      <c r="D360">
        <v>9.6129457244437528</v>
      </c>
      <c r="E360">
        <v>23.844117547895618</v>
      </c>
      <c r="F360">
        <v>0.23</v>
      </c>
      <c r="G360">
        <v>6</v>
      </c>
      <c r="I360">
        <f>SMALL(SimData1!$B$9:$B$508,352)</f>
        <v>11.60167805321751</v>
      </c>
      <c r="J360">
        <f>1/(COUNT(SimData1!$B$9:$B$508)-1)+$J$359</f>
        <v>0.7034068136272551</v>
      </c>
      <c r="K360">
        <f>SMALL(SimData1!$C$9:$C$508,352)</f>
        <v>7.6162343635634135</v>
      </c>
      <c r="L360">
        <f>1/(COUNT(SimData1!$C$9:$C$508)-1)+$L$359</f>
        <v>0.7034068136272551</v>
      </c>
      <c r="M360">
        <f>SMALL(SimData1!$D$9:$D$508,352)</f>
        <v>10.619682228670381</v>
      </c>
      <c r="N360">
        <f>1/(COUNT(SimData1!$D$9:$D$508)-1)+$N$359</f>
        <v>0.7034068136272551</v>
      </c>
      <c r="O360">
        <f>SMALL(SimData1!$E$9:$E$508,352)</f>
        <v>22.517870903074819</v>
      </c>
      <c r="P360">
        <f>1/(COUNT(SimData1!$E$9:$E$508)-1)+$P$359</f>
        <v>0.7034068136272551</v>
      </c>
      <c r="Q360">
        <f>SMALL(SimData1!$F$9:$F$508,352)</f>
        <v>0.23</v>
      </c>
      <c r="R360">
        <f>1/(COUNT(SimData1!$F$9:$F$508)-1)+$R$359</f>
        <v>0.7034068136272551</v>
      </c>
      <c r="S360">
        <f>SMALL(SimData1!$G$9:$G$508,352)</f>
        <v>10</v>
      </c>
      <c r="T360">
        <f>1/(COUNT(SimData1!$G$9:$G$508)-1)+$T$359</f>
        <v>0.7034068136272551</v>
      </c>
    </row>
    <row r="361" spans="1:20">
      <c r="A361">
        <v>353</v>
      </c>
      <c r="B361">
        <v>5.7635861701898712</v>
      </c>
      <c r="C361">
        <v>5.6931914260045602</v>
      </c>
      <c r="D361">
        <v>2.283700204287586</v>
      </c>
      <c r="E361">
        <v>0.24345739668138044</v>
      </c>
      <c r="F361">
        <v>0.23</v>
      </c>
      <c r="G361">
        <v>4</v>
      </c>
      <c r="I361">
        <f>SMALL(SimData1!$B$9:$B$508,353)</f>
        <v>11.609995056566898</v>
      </c>
      <c r="J361">
        <f>1/(COUNT(SimData1!$B$9:$B$508)-1)+$J$360</f>
        <v>0.70541082164328717</v>
      </c>
      <c r="K361">
        <f>SMALL(SimData1!$C$9:$C$508,353)</f>
        <v>7.6435424106632226</v>
      </c>
      <c r="L361">
        <f>1/(COUNT(SimData1!$C$9:$C$508)-1)+$L$360</f>
        <v>0.70541082164328717</v>
      </c>
      <c r="M361">
        <f>SMALL(SimData1!$D$9:$D$508,353)</f>
        <v>10.636799772420154</v>
      </c>
      <c r="N361">
        <f>1/(COUNT(SimData1!$D$9:$D$508)-1)+$N$360</f>
        <v>0.70541082164328717</v>
      </c>
      <c r="O361">
        <f>SMALL(SimData1!$E$9:$E$508,353)</f>
        <v>22.524835793123277</v>
      </c>
      <c r="P361">
        <f>1/(COUNT(SimData1!$E$9:$E$508)-1)+$P$360</f>
        <v>0.70541082164328717</v>
      </c>
      <c r="Q361">
        <f>SMALL(SimData1!$F$9:$F$508,353)</f>
        <v>0.23</v>
      </c>
      <c r="R361">
        <f>1/(COUNT(SimData1!$F$9:$F$508)-1)+$R$360</f>
        <v>0.70541082164328717</v>
      </c>
      <c r="S361">
        <f>SMALL(SimData1!$G$9:$G$508,353)</f>
        <v>10</v>
      </c>
      <c r="T361">
        <f>1/(COUNT(SimData1!$G$9:$G$508)-1)+$T$360</f>
        <v>0.70541082164328717</v>
      </c>
    </row>
    <row r="362" spans="1:20">
      <c r="A362">
        <v>354</v>
      </c>
      <c r="B362">
        <v>8.1530183679930239</v>
      </c>
      <c r="C362">
        <v>5.6328432453798234</v>
      </c>
      <c r="D362">
        <v>10.346181984689595</v>
      </c>
      <c r="E362">
        <v>23.369751908904533</v>
      </c>
      <c r="F362">
        <v>0.23</v>
      </c>
      <c r="G362">
        <v>4</v>
      </c>
      <c r="I362">
        <f>SMALL(SimData1!$B$9:$B$508,354)</f>
        <v>11.639632024854121</v>
      </c>
      <c r="J362">
        <f>1/(COUNT(SimData1!$B$9:$B$508)-1)+$J$361</f>
        <v>0.70741482965931923</v>
      </c>
      <c r="K362">
        <f>SMALL(SimData1!$C$9:$C$508,354)</f>
        <v>7.6593689924765771</v>
      </c>
      <c r="L362">
        <f>1/(COUNT(SimData1!$C$9:$C$508)-1)+$L$361</f>
        <v>0.70741482965931923</v>
      </c>
      <c r="M362">
        <f>SMALL(SimData1!$D$9:$D$508,354)</f>
        <v>10.656072579083983</v>
      </c>
      <c r="N362">
        <f>1/(COUNT(SimData1!$D$9:$D$508)-1)+$N$361</f>
        <v>0.70741482965931923</v>
      </c>
      <c r="O362">
        <f>SMALL(SimData1!$E$9:$E$508,354)</f>
        <v>22.53142812476284</v>
      </c>
      <c r="P362">
        <f>1/(COUNT(SimData1!$E$9:$E$508)-1)+$P$361</f>
        <v>0.70741482965931923</v>
      </c>
      <c r="Q362">
        <f>SMALL(SimData1!$F$9:$F$508,354)</f>
        <v>0.23</v>
      </c>
      <c r="R362">
        <f>1/(COUNT(SimData1!$F$9:$F$508)-1)+$R$361</f>
        <v>0.70741482965931923</v>
      </c>
      <c r="S362">
        <f>SMALL(SimData1!$G$9:$G$508,354)</f>
        <v>10</v>
      </c>
      <c r="T362">
        <f>1/(COUNT(SimData1!$G$9:$G$508)-1)+$T$361</f>
        <v>0.70741482965931923</v>
      </c>
    </row>
    <row r="363" spans="1:20">
      <c r="A363">
        <v>355</v>
      </c>
      <c r="B363">
        <v>15.197515799247554</v>
      </c>
      <c r="C363">
        <v>4.5529955900667698</v>
      </c>
      <c r="D363">
        <v>4.0769475551780658</v>
      </c>
      <c r="E363">
        <v>22.902397172880434</v>
      </c>
      <c r="F363">
        <v>0.23</v>
      </c>
      <c r="G363">
        <v>2</v>
      </c>
      <c r="I363">
        <f>SMALL(SimData1!$B$9:$B$508,355)</f>
        <v>11.645954476042119</v>
      </c>
      <c r="J363">
        <f>1/(COUNT(SimData1!$B$9:$B$508)-1)+$J$362</f>
        <v>0.7094188376753513</v>
      </c>
      <c r="K363">
        <f>SMALL(SimData1!$C$9:$C$508,355)</f>
        <v>7.6774331398376807</v>
      </c>
      <c r="L363">
        <f>1/(COUNT(SimData1!$C$9:$C$508)-1)+$L$362</f>
        <v>0.7094188376753513</v>
      </c>
      <c r="M363">
        <f>SMALL(SimData1!$D$9:$D$508,355)</f>
        <v>10.675847679502295</v>
      </c>
      <c r="N363">
        <f>1/(COUNT(SimData1!$D$9:$D$508)-1)+$N$362</f>
        <v>0.7094188376753513</v>
      </c>
      <c r="O363">
        <f>SMALL(SimData1!$E$9:$E$508,355)</f>
        <v>22.546791916439687</v>
      </c>
      <c r="P363">
        <f>1/(COUNT(SimData1!$E$9:$E$508)-1)+$P$362</f>
        <v>0.7094188376753513</v>
      </c>
      <c r="Q363">
        <f>SMALL(SimData1!$F$9:$F$508,355)</f>
        <v>0.23</v>
      </c>
      <c r="R363">
        <f>1/(COUNT(SimData1!$F$9:$F$508)-1)+$R$362</f>
        <v>0.7094188376753513</v>
      </c>
      <c r="S363">
        <f>SMALL(SimData1!$G$9:$G$508,355)</f>
        <v>10</v>
      </c>
      <c r="T363">
        <f>1/(COUNT(SimData1!$G$9:$G$508)-1)+$T$362</f>
        <v>0.7094188376753513</v>
      </c>
    </row>
    <row r="364" spans="1:20">
      <c r="A364">
        <v>356</v>
      </c>
      <c r="B364">
        <v>8.1707706887305989</v>
      </c>
      <c r="C364">
        <v>8.0381684591486504</v>
      </c>
      <c r="D364">
        <v>4.6524705042160281</v>
      </c>
      <c r="E364">
        <v>22.856000975875364</v>
      </c>
      <c r="F364">
        <v>0.23</v>
      </c>
      <c r="G364">
        <v>10</v>
      </c>
      <c r="I364">
        <f>SMALL(SimData1!$B$9:$B$508,356)</f>
        <v>11.66132397309206</v>
      </c>
      <c r="J364">
        <f>1/(COUNT(SimData1!$B$9:$B$508)-1)+$J$363</f>
        <v>0.71142284569138337</v>
      </c>
      <c r="K364">
        <f>SMALL(SimData1!$C$9:$C$508,356)</f>
        <v>7.6829131677828064</v>
      </c>
      <c r="L364">
        <f>1/(COUNT(SimData1!$C$9:$C$508)-1)+$L$363</f>
        <v>0.71142284569138337</v>
      </c>
      <c r="M364">
        <f>SMALL(SimData1!$D$9:$D$508,356)</f>
        <v>10.691103327843152</v>
      </c>
      <c r="N364">
        <f>1/(COUNT(SimData1!$D$9:$D$508)-1)+$N$363</f>
        <v>0.71142284569138337</v>
      </c>
      <c r="O364">
        <f>SMALL(SimData1!$E$9:$E$508,356)</f>
        <v>22.558681302517911</v>
      </c>
      <c r="P364">
        <f>1/(COUNT(SimData1!$E$9:$E$508)-1)+$P$363</f>
        <v>0.71142284569138337</v>
      </c>
      <c r="Q364">
        <f>SMALL(SimData1!$F$9:$F$508,356)</f>
        <v>0.23</v>
      </c>
      <c r="R364">
        <f>1/(COUNT(SimData1!$F$9:$F$508)-1)+$R$363</f>
        <v>0.71142284569138337</v>
      </c>
      <c r="S364">
        <f>SMALL(SimData1!$G$9:$G$508,356)</f>
        <v>10</v>
      </c>
      <c r="T364">
        <f>1/(COUNT(SimData1!$G$9:$G$508)-1)+$T$363</f>
        <v>0.71142284569138337</v>
      </c>
    </row>
    <row r="365" spans="1:20">
      <c r="A365">
        <v>357</v>
      </c>
      <c r="B365">
        <v>6.2897762039798479</v>
      </c>
      <c r="C365">
        <v>6.557953822139174</v>
      </c>
      <c r="D365">
        <v>11.503615536970926</v>
      </c>
      <c r="E365">
        <v>-0.92837434777857353</v>
      </c>
      <c r="F365">
        <v>0.23</v>
      </c>
      <c r="G365">
        <v>12</v>
      </c>
      <c r="I365">
        <f>SMALL(SimData1!$B$9:$B$508,357)</f>
        <v>11.688581742681366</v>
      </c>
      <c r="J365">
        <f>1/(COUNT(SimData1!$B$9:$B$508)-1)+$J$364</f>
        <v>0.71342685370741543</v>
      </c>
      <c r="K365">
        <f>SMALL(SimData1!$C$9:$C$508,357)</f>
        <v>7.6966330521443469</v>
      </c>
      <c r="L365">
        <f>1/(COUNT(SimData1!$C$9:$C$508)-1)+$L$364</f>
        <v>0.71342685370741543</v>
      </c>
      <c r="M365">
        <f>SMALL(SimData1!$D$9:$D$508,357)</f>
        <v>10.706359210441438</v>
      </c>
      <c r="N365">
        <f>1/(COUNT(SimData1!$D$9:$D$508)-1)+$N$364</f>
        <v>0.71342685370741543</v>
      </c>
      <c r="O365">
        <f>SMALL(SimData1!$E$9:$E$508,357)</f>
        <v>22.566215971231603</v>
      </c>
      <c r="P365">
        <f>1/(COUNT(SimData1!$E$9:$E$508)-1)+$P$364</f>
        <v>0.71342685370741543</v>
      </c>
      <c r="Q365">
        <f>SMALL(SimData1!$F$9:$F$508,357)</f>
        <v>0.23</v>
      </c>
      <c r="R365">
        <f>1/(COUNT(SimData1!$F$9:$F$508)-1)+$R$364</f>
        <v>0.71342685370741543</v>
      </c>
      <c r="S365">
        <f>SMALL(SimData1!$G$9:$G$508,357)</f>
        <v>10</v>
      </c>
      <c r="T365">
        <f>1/(COUNT(SimData1!$G$9:$G$508)-1)+$T$364</f>
        <v>0.71342685370741543</v>
      </c>
    </row>
    <row r="366" spans="1:20">
      <c r="A366">
        <v>358</v>
      </c>
      <c r="B366">
        <v>14.362484460368652</v>
      </c>
      <c r="C366">
        <v>2.4032363795049574</v>
      </c>
      <c r="D366">
        <v>11.045855815138168</v>
      </c>
      <c r="E366">
        <v>23.439613802794682</v>
      </c>
      <c r="F366">
        <v>0.23</v>
      </c>
      <c r="G366">
        <v>6</v>
      </c>
      <c r="I366">
        <f>SMALL(SimData1!$B$9:$B$508,358)</f>
        <v>11.696641847294902</v>
      </c>
      <c r="J366">
        <f>1/(COUNT(SimData1!$B$9:$B$508)-1)+$J$365</f>
        <v>0.7154308617234475</v>
      </c>
      <c r="K366">
        <f>SMALL(SimData1!$C$9:$C$508,358)</f>
        <v>7.7273952715656238</v>
      </c>
      <c r="L366">
        <f>1/(COUNT(SimData1!$C$9:$C$508)-1)+$L$365</f>
        <v>0.7154308617234475</v>
      </c>
      <c r="M366">
        <f>SMALL(SimData1!$D$9:$D$508,358)</f>
        <v>10.71527123706864</v>
      </c>
      <c r="N366">
        <f>1/(COUNT(SimData1!$D$9:$D$508)-1)+$N$365</f>
        <v>0.7154308617234475</v>
      </c>
      <c r="O366">
        <f>SMALL(SimData1!$E$9:$E$508,358)</f>
        <v>22.570221752297293</v>
      </c>
      <c r="P366">
        <f>1/(COUNT(SimData1!$E$9:$E$508)-1)+$P$365</f>
        <v>0.7154308617234475</v>
      </c>
      <c r="Q366">
        <f>SMALL(SimData1!$F$9:$F$508,358)</f>
        <v>0.23</v>
      </c>
      <c r="R366">
        <f>1/(COUNT(SimData1!$F$9:$F$508)-1)+$R$365</f>
        <v>0.7154308617234475</v>
      </c>
      <c r="S366">
        <f>SMALL(SimData1!$G$9:$G$508,358)</f>
        <v>10</v>
      </c>
      <c r="T366">
        <f>1/(COUNT(SimData1!$G$9:$G$508)-1)+$T$365</f>
        <v>0.7154308617234475</v>
      </c>
    </row>
    <row r="367" spans="1:20">
      <c r="A367">
        <v>359</v>
      </c>
      <c r="B367">
        <v>13.491293116631006</v>
      </c>
      <c r="C367">
        <v>9.0769810867246647</v>
      </c>
      <c r="D367">
        <v>10.482354896797416</v>
      </c>
      <c r="E367">
        <v>-1.1058779942825456</v>
      </c>
      <c r="F367">
        <v>0.23</v>
      </c>
      <c r="G367">
        <v>2</v>
      </c>
      <c r="I367">
        <f>SMALL(SimData1!$B$9:$B$508,359)</f>
        <v>11.716200418484588</v>
      </c>
      <c r="J367">
        <f>1/(COUNT(SimData1!$B$9:$B$508)-1)+$J$366</f>
        <v>0.71743486973947956</v>
      </c>
      <c r="K367">
        <f>SMALL(SimData1!$C$9:$C$508,359)</f>
        <v>7.7365856863466522</v>
      </c>
      <c r="L367">
        <f>1/(COUNT(SimData1!$C$9:$C$508)-1)+$L$366</f>
        <v>0.71743486973947956</v>
      </c>
      <c r="M367">
        <f>SMALL(SimData1!$D$9:$D$508,359)</f>
        <v>10.730338046134063</v>
      </c>
      <c r="N367">
        <f>1/(COUNT(SimData1!$D$9:$D$508)-1)+$N$366</f>
        <v>0.71743486973947956</v>
      </c>
      <c r="O367">
        <f>SMALL(SimData1!$E$9:$E$508,359)</f>
        <v>22.582504026957864</v>
      </c>
      <c r="P367">
        <f>1/(COUNT(SimData1!$E$9:$E$508)-1)+$P$366</f>
        <v>0.71743486973947956</v>
      </c>
      <c r="Q367">
        <f>SMALL(SimData1!$F$9:$F$508,359)</f>
        <v>0.23</v>
      </c>
      <c r="R367">
        <f>1/(COUNT(SimData1!$F$9:$F$508)-1)+$R$366</f>
        <v>0.71743486973947956</v>
      </c>
      <c r="S367">
        <f>SMALL(SimData1!$G$9:$G$508,359)</f>
        <v>10</v>
      </c>
      <c r="T367">
        <f>1/(COUNT(SimData1!$G$9:$G$508)-1)+$T$366</f>
        <v>0.71743486973947956</v>
      </c>
    </row>
    <row r="368" spans="1:20">
      <c r="A368">
        <v>360</v>
      </c>
      <c r="B368">
        <v>11.969202185456602</v>
      </c>
      <c r="C368">
        <v>8.7785691517876856</v>
      </c>
      <c r="D368">
        <v>2.4407962154338128</v>
      </c>
      <c r="E368">
        <v>23.654387939145401</v>
      </c>
      <c r="F368">
        <v>0.23</v>
      </c>
      <c r="G368">
        <v>4</v>
      </c>
      <c r="I368">
        <f>SMALL(SimData1!$B$9:$B$508,360)</f>
        <v>11.734211358616331</v>
      </c>
      <c r="J368">
        <f>1/(COUNT(SimData1!$B$9:$B$508)-1)+$J$367</f>
        <v>0.71943887775551163</v>
      </c>
      <c r="K368">
        <f>SMALL(SimData1!$C$9:$C$508,360)</f>
        <v>7.7534849380947382</v>
      </c>
      <c r="L368">
        <f>1/(COUNT(SimData1!$C$9:$C$508)-1)+$L$367</f>
        <v>0.71943887775551163</v>
      </c>
      <c r="M368">
        <f>SMALL(SimData1!$D$9:$D$508,360)</f>
        <v>10.745128393832857</v>
      </c>
      <c r="N368">
        <f>1/(COUNT(SimData1!$D$9:$D$508)-1)+$N$367</f>
        <v>0.71943887775551163</v>
      </c>
      <c r="O368">
        <f>SMALL(SimData1!$E$9:$E$508,360)</f>
        <v>22.59356781772647</v>
      </c>
      <c r="P368">
        <f>1/(COUNT(SimData1!$E$9:$E$508)-1)+$P$367</f>
        <v>0.71943887775551163</v>
      </c>
      <c r="Q368">
        <f>SMALL(SimData1!$F$9:$F$508,360)</f>
        <v>0.23</v>
      </c>
      <c r="R368">
        <f>1/(COUNT(SimData1!$F$9:$F$508)-1)+$R$367</f>
        <v>0.71943887775551163</v>
      </c>
      <c r="S368">
        <f>SMALL(SimData1!$G$9:$G$508,360)</f>
        <v>10</v>
      </c>
      <c r="T368">
        <f>1/(COUNT(SimData1!$G$9:$G$508)-1)+$T$367</f>
        <v>0.71943887775551163</v>
      </c>
    </row>
    <row r="369" spans="1:20">
      <c r="A369">
        <v>361</v>
      </c>
      <c r="B369">
        <v>10.509498368553048</v>
      </c>
      <c r="C369">
        <v>6.3373194575871619</v>
      </c>
      <c r="D369">
        <v>5.5670003809386399</v>
      </c>
      <c r="E369">
        <v>23.961068039176883</v>
      </c>
      <c r="F369">
        <v>0.23</v>
      </c>
      <c r="G369">
        <v>10</v>
      </c>
      <c r="I369">
        <f>SMALL(SimData1!$B$9:$B$508,361)</f>
        <v>11.75871265788015</v>
      </c>
      <c r="J369">
        <f>1/(COUNT(SimData1!$B$9:$B$508)-1)+$J$368</f>
        <v>0.7214428857715437</v>
      </c>
      <c r="K369">
        <f>SMALL(SimData1!$C$9:$C$508,361)</f>
        <v>7.7645093129399481</v>
      </c>
      <c r="L369">
        <f>1/(COUNT(SimData1!$C$9:$C$508)-1)+$L$368</f>
        <v>0.7214428857715437</v>
      </c>
      <c r="M369">
        <f>SMALL(SimData1!$D$9:$D$508,361)</f>
        <v>10.774092523496154</v>
      </c>
      <c r="N369">
        <f>1/(COUNT(SimData1!$D$9:$D$508)-1)+$N$368</f>
        <v>0.7214428857715437</v>
      </c>
      <c r="O369">
        <f>SMALL(SimData1!$E$9:$E$508,361)</f>
        <v>22.608825679041285</v>
      </c>
      <c r="P369">
        <f>1/(COUNT(SimData1!$E$9:$E$508)-1)+$P$368</f>
        <v>0.7214428857715437</v>
      </c>
      <c r="Q369">
        <f>SMALL(SimData1!$F$9:$F$508,361)</f>
        <v>0.23</v>
      </c>
      <c r="R369">
        <f>1/(COUNT(SimData1!$F$9:$F$508)-1)+$R$368</f>
        <v>0.7214428857715437</v>
      </c>
      <c r="S369">
        <f>SMALL(SimData1!$G$9:$G$508,361)</f>
        <v>10</v>
      </c>
      <c r="T369">
        <f>1/(COUNT(SimData1!$G$9:$G$508)-1)+$T$368</f>
        <v>0.7214428857715437</v>
      </c>
    </row>
    <row r="370" spans="1:20">
      <c r="A370">
        <v>362</v>
      </c>
      <c r="B370">
        <v>8.0813309679236269</v>
      </c>
      <c r="C370">
        <v>7.9478093114634527</v>
      </c>
      <c r="D370">
        <v>2.118112156634711</v>
      </c>
      <c r="E370">
        <v>21.818296633319235</v>
      </c>
      <c r="F370">
        <v>0.23</v>
      </c>
      <c r="G370">
        <v>2</v>
      </c>
      <c r="I370">
        <f>SMALL(SimData1!$B$9:$B$508,362)</f>
        <v>11.778810916640261</v>
      </c>
      <c r="J370">
        <f>1/(COUNT(SimData1!$B$9:$B$508)-1)+$J$369</f>
        <v>0.72344689378757576</v>
      </c>
      <c r="K370">
        <f>SMALL(SimData1!$C$9:$C$508,362)</f>
        <v>7.7905687714923566</v>
      </c>
      <c r="L370">
        <f>1/(COUNT(SimData1!$C$9:$C$508)-1)+$L$369</f>
        <v>0.72344689378757576</v>
      </c>
      <c r="M370">
        <f>SMALL(SimData1!$D$9:$D$508,362)</f>
        <v>10.789111836086287</v>
      </c>
      <c r="N370">
        <f>1/(COUNT(SimData1!$D$9:$D$508)-1)+$N$369</f>
        <v>0.72344689378757576</v>
      </c>
      <c r="O370">
        <f>SMALL(SimData1!$E$9:$E$508,362)</f>
        <v>22.610871307104496</v>
      </c>
      <c r="P370">
        <f>1/(COUNT(SimData1!$E$9:$E$508)-1)+$P$369</f>
        <v>0.72344689378757576</v>
      </c>
      <c r="Q370">
        <f>SMALL(SimData1!$F$9:$F$508,362)</f>
        <v>0.23</v>
      </c>
      <c r="R370">
        <f>1/(COUNT(SimData1!$F$9:$F$508)-1)+$R$369</f>
        <v>0.72344689378757576</v>
      </c>
      <c r="S370">
        <f>SMALL(SimData1!$G$9:$G$508,362)</f>
        <v>10</v>
      </c>
      <c r="T370">
        <f>1/(COUNT(SimData1!$G$9:$G$508)-1)+$T$369</f>
        <v>0.72344689378757576</v>
      </c>
    </row>
    <row r="371" spans="1:20">
      <c r="A371">
        <v>363</v>
      </c>
      <c r="B371">
        <v>19.754793248829095</v>
      </c>
      <c r="C371">
        <v>5.55670215312501</v>
      </c>
      <c r="D371">
        <v>8.9939657731619569</v>
      </c>
      <c r="E371">
        <v>-0.97546060127092549</v>
      </c>
      <c r="F371">
        <v>0.23</v>
      </c>
      <c r="G371">
        <v>2</v>
      </c>
      <c r="I371">
        <f>SMALL(SimData1!$B$9:$B$508,363)</f>
        <v>11.790235693983321</v>
      </c>
      <c r="J371">
        <f>1/(COUNT(SimData1!$B$9:$B$508)-1)+$J$370</f>
        <v>0.72545090180360783</v>
      </c>
      <c r="K371">
        <f>SMALL(SimData1!$C$9:$C$508,363)</f>
        <v>7.8015642617069094</v>
      </c>
      <c r="L371">
        <f>1/(COUNT(SimData1!$C$9:$C$508)-1)+$L$370</f>
        <v>0.72545090180360783</v>
      </c>
      <c r="M371">
        <f>SMALL(SimData1!$D$9:$D$508,363)</f>
        <v>10.796926461790903</v>
      </c>
      <c r="N371">
        <f>1/(COUNT(SimData1!$D$9:$D$508)-1)+$N$370</f>
        <v>0.72545090180360783</v>
      </c>
      <c r="O371">
        <f>SMALL(SimData1!$E$9:$E$508,363)</f>
        <v>22.62450133760079</v>
      </c>
      <c r="P371">
        <f>1/(COUNT(SimData1!$E$9:$E$508)-1)+$P$370</f>
        <v>0.72545090180360783</v>
      </c>
      <c r="Q371">
        <f>SMALL(SimData1!$F$9:$F$508,363)</f>
        <v>0.23</v>
      </c>
      <c r="R371">
        <f>1/(COUNT(SimData1!$F$9:$F$508)-1)+$R$370</f>
        <v>0.72545090180360783</v>
      </c>
      <c r="S371">
        <f>SMALL(SimData1!$G$9:$G$508,363)</f>
        <v>10</v>
      </c>
      <c r="T371">
        <f>1/(COUNT(SimData1!$G$9:$G$508)-1)+$T$370</f>
        <v>0.72545090180360783</v>
      </c>
    </row>
    <row r="372" spans="1:20">
      <c r="A372">
        <v>364</v>
      </c>
      <c r="B372">
        <v>13.594841019538336</v>
      </c>
      <c r="C372">
        <v>9.0962413477507056</v>
      </c>
      <c r="D372">
        <v>10.959897342594317</v>
      </c>
      <c r="E372">
        <v>23.477816120510404</v>
      </c>
      <c r="F372">
        <v>0.23</v>
      </c>
      <c r="G372">
        <v>10</v>
      </c>
      <c r="I372">
        <f>SMALL(SimData1!$B$9:$B$508,364)</f>
        <v>11.819420505886232</v>
      </c>
      <c r="J372">
        <f>1/(COUNT(SimData1!$B$9:$B$508)-1)+$J$371</f>
        <v>0.72745490981963989</v>
      </c>
      <c r="K372">
        <f>SMALL(SimData1!$C$9:$C$508,364)</f>
        <v>7.8147117310591767</v>
      </c>
      <c r="L372">
        <f>1/(COUNT(SimData1!$C$9:$C$508)-1)+$L$371</f>
        <v>0.72745490981963989</v>
      </c>
      <c r="M372">
        <f>SMALL(SimData1!$D$9:$D$508,364)</f>
        <v>10.814933733770376</v>
      </c>
      <c r="N372">
        <f>1/(COUNT(SimData1!$D$9:$D$508)-1)+$N$371</f>
        <v>0.72745490981963989</v>
      </c>
      <c r="O372">
        <f>SMALL(SimData1!$E$9:$E$508,364)</f>
        <v>22.63111814288192</v>
      </c>
      <c r="P372">
        <f>1/(COUNT(SimData1!$E$9:$E$508)-1)+$P$371</f>
        <v>0.72745490981963989</v>
      </c>
      <c r="Q372">
        <f>SMALL(SimData1!$F$9:$F$508,364)</f>
        <v>0.23</v>
      </c>
      <c r="R372">
        <f>1/(COUNT(SimData1!$F$9:$F$508)-1)+$R$371</f>
        <v>0.72745490981963989</v>
      </c>
      <c r="S372">
        <f>SMALL(SimData1!$G$9:$G$508,364)</f>
        <v>10</v>
      </c>
      <c r="T372">
        <f>1/(COUNT(SimData1!$G$9:$G$508)-1)+$T$371</f>
        <v>0.72745490981963989</v>
      </c>
    </row>
    <row r="373" spans="1:20">
      <c r="A373">
        <v>365</v>
      </c>
      <c r="B373">
        <v>13.313330941286306</v>
      </c>
      <c r="C373">
        <v>9.1447104585824324</v>
      </c>
      <c r="D373">
        <v>15.683998509663159</v>
      </c>
      <c r="E373">
        <v>-1.1145453231668105</v>
      </c>
      <c r="F373">
        <v>0.23</v>
      </c>
      <c r="G373">
        <v>9</v>
      </c>
      <c r="I373">
        <f>SMALL(SimData1!$B$9:$B$508,365)</f>
        <v>11.827092960608685</v>
      </c>
      <c r="J373">
        <f>1/(COUNT(SimData1!$B$9:$B$508)-1)+$J$372</f>
        <v>0.72945891783567196</v>
      </c>
      <c r="K373">
        <f>SMALL(SimData1!$C$9:$C$508,365)</f>
        <v>7.8393868603332404</v>
      </c>
      <c r="L373">
        <f>1/(COUNT(SimData1!$C$9:$C$508)-1)+$L$372</f>
        <v>0.72945891783567196</v>
      </c>
      <c r="M373">
        <f>SMALL(SimData1!$D$9:$D$508,365)</f>
        <v>10.838687202181362</v>
      </c>
      <c r="N373">
        <f>1/(COUNT(SimData1!$D$9:$D$508)-1)+$N$372</f>
        <v>0.72945891783567196</v>
      </c>
      <c r="O373">
        <f>SMALL(SimData1!$E$9:$E$508,365)</f>
        <v>22.641796119487591</v>
      </c>
      <c r="P373">
        <f>1/(COUNT(SimData1!$E$9:$E$508)-1)+$P$372</f>
        <v>0.72945891783567196</v>
      </c>
      <c r="Q373">
        <f>SMALL(SimData1!$F$9:$F$508,365)</f>
        <v>0.23</v>
      </c>
      <c r="R373">
        <f>1/(COUNT(SimData1!$F$9:$F$508)-1)+$R$372</f>
        <v>0.72945891783567196</v>
      </c>
      <c r="S373">
        <f>SMALL(SimData1!$G$9:$G$508,365)</f>
        <v>10</v>
      </c>
      <c r="T373">
        <f>1/(COUNT(SimData1!$G$9:$G$508)-1)+$T$372</f>
        <v>0.72945891783567196</v>
      </c>
    </row>
    <row r="374" spans="1:20">
      <c r="A374">
        <v>366</v>
      </c>
      <c r="B374">
        <v>8.6091260186542833</v>
      </c>
      <c r="C374">
        <v>9.6142198983538485</v>
      </c>
      <c r="D374">
        <v>9.0083947278094456</v>
      </c>
      <c r="E374">
        <v>21.754021187769013</v>
      </c>
      <c r="F374">
        <v>0.23</v>
      </c>
      <c r="G374">
        <v>12</v>
      </c>
      <c r="I374">
        <f>SMALL(SimData1!$B$9:$B$508,366)</f>
        <v>11.844937292268281</v>
      </c>
      <c r="J374">
        <f>1/(COUNT(SimData1!$B$9:$B$508)-1)+$J$373</f>
        <v>0.73146292585170403</v>
      </c>
      <c r="K374">
        <f>SMALL(SimData1!$C$9:$C$508,366)</f>
        <v>7.8459268127991644</v>
      </c>
      <c r="L374">
        <f>1/(COUNT(SimData1!$C$9:$C$508)-1)+$L$373</f>
        <v>0.73146292585170403</v>
      </c>
      <c r="M374">
        <f>SMALL(SimData1!$D$9:$D$508,366)</f>
        <v>10.841784578029483</v>
      </c>
      <c r="N374">
        <f>1/(COUNT(SimData1!$D$9:$D$508)-1)+$N$373</f>
        <v>0.73146292585170403</v>
      </c>
      <c r="O374">
        <f>SMALL(SimData1!$E$9:$E$508,366)</f>
        <v>22.659503483946075</v>
      </c>
      <c r="P374">
        <f>1/(COUNT(SimData1!$E$9:$E$508)-1)+$P$373</f>
        <v>0.73146292585170403</v>
      </c>
      <c r="Q374">
        <f>SMALL(SimData1!$F$9:$F$508,366)</f>
        <v>0.23</v>
      </c>
      <c r="R374">
        <f>1/(COUNT(SimData1!$F$9:$F$508)-1)+$R$373</f>
        <v>0.73146292585170403</v>
      </c>
      <c r="S374">
        <f>SMALL(SimData1!$G$9:$G$508,366)</f>
        <v>10</v>
      </c>
      <c r="T374">
        <f>1/(COUNT(SimData1!$G$9:$G$508)-1)+$T$373</f>
        <v>0.73146292585170403</v>
      </c>
    </row>
    <row r="375" spans="1:20">
      <c r="A375">
        <v>367</v>
      </c>
      <c r="B375">
        <v>12.373134901516739</v>
      </c>
      <c r="C375">
        <v>8.209309129879184</v>
      </c>
      <c r="D375">
        <v>10.501247095457568</v>
      </c>
      <c r="E375">
        <v>-1.2620628199814121</v>
      </c>
      <c r="F375">
        <v>0.23</v>
      </c>
      <c r="G375">
        <v>6</v>
      </c>
      <c r="I375">
        <f>SMALL(SimData1!$B$9:$B$508,367)</f>
        <v>11.867592589130844</v>
      </c>
      <c r="J375">
        <f>1/(COUNT(SimData1!$B$9:$B$508)-1)+$J$374</f>
        <v>0.73346693386773609</v>
      </c>
      <c r="K375">
        <f>SMALL(SimData1!$C$9:$C$508,367)</f>
        <v>7.8563295138181024</v>
      </c>
      <c r="L375">
        <f>1/(COUNT(SimData1!$C$9:$C$508)-1)+$L$374</f>
        <v>0.73346693386773609</v>
      </c>
      <c r="M375">
        <f>SMALL(SimData1!$D$9:$D$508,367)</f>
        <v>10.870880807902402</v>
      </c>
      <c r="N375">
        <f>1/(COUNT(SimData1!$D$9:$D$508)-1)+$N$374</f>
        <v>0.73346693386773609</v>
      </c>
      <c r="O375">
        <f>SMALL(SimData1!$E$9:$E$508,367)</f>
        <v>22.661553328190404</v>
      </c>
      <c r="P375">
        <f>1/(COUNT(SimData1!$E$9:$E$508)-1)+$P$374</f>
        <v>0.73346693386773609</v>
      </c>
      <c r="Q375">
        <f>SMALL(SimData1!$F$9:$F$508,367)</f>
        <v>0.23</v>
      </c>
      <c r="R375">
        <f>1/(COUNT(SimData1!$F$9:$F$508)-1)+$R$374</f>
        <v>0.73346693386773609</v>
      </c>
      <c r="S375">
        <f>SMALL(SimData1!$G$9:$G$508,367)</f>
        <v>10</v>
      </c>
      <c r="T375">
        <f>1/(COUNT(SimData1!$G$9:$G$508)-1)+$T$374</f>
        <v>0.73346693386773609</v>
      </c>
    </row>
    <row r="376" spans="1:20">
      <c r="A376">
        <v>368</v>
      </c>
      <c r="B376">
        <v>8.8107047385413768</v>
      </c>
      <c r="C376">
        <v>4.4225412549876006</v>
      </c>
      <c r="D376">
        <v>13.41993905774968</v>
      </c>
      <c r="E376">
        <v>23.661941552552847</v>
      </c>
      <c r="F376">
        <v>0.23</v>
      </c>
      <c r="G376">
        <v>2</v>
      </c>
      <c r="I376">
        <f>SMALL(SimData1!$B$9:$B$508,368)</f>
        <v>11.880297256456405</v>
      </c>
      <c r="J376">
        <f>1/(COUNT(SimData1!$B$9:$B$508)-1)+$J$375</f>
        <v>0.73547094188376816</v>
      </c>
      <c r="K376">
        <f>SMALL(SimData1!$C$9:$C$508,368)</f>
        <v>7.8769529615838438</v>
      </c>
      <c r="L376">
        <f>1/(COUNT(SimData1!$C$9:$C$508)-1)+$L$375</f>
        <v>0.73547094188376816</v>
      </c>
      <c r="M376">
        <f>SMALL(SimData1!$D$9:$D$508,368)</f>
        <v>10.886959985930231</v>
      </c>
      <c r="N376">
        <f>1/(COUNT(SimData1!$D$9:$D$508)-1)+$N$375</f>
        <v>0.73547094188376816</v>
      </c>
      <c r="O376">
        <f>SMALL(SimData1!$E$9:$E$508,368)</f>
        <v>22.674548347126535</v>
      </c>
      <c r="P376">
        <f>1/(COUNT(SimData1!$E$9:$E$508)-1)+$P$375</f>
        <v>0.73547094188376816</v>
      </c>
      <c r="Q376">
        <f>SMALL(SimData1!$F$9:$F$508,368)</f>
        <v>0.23</v>
      </c>
      <c r="R376">
        <f>1/(COUNT(SimData1!$F$9:$F$508)-1)+$R$375</f>
        <v>0.73547094188376816</v>
      </c>
      <c r="S376">
        <f>SMALL(SimData1!$G$9:$G$508,368)</f>
        <v>10</v>
      </c>
      <c r="T376">
        <f>1/(COUNT(SimData1!$G$9:$G$508)-1)+$T$375</f>
        <v>0.73547094188376816</v>
      </c>
    </row>
    <row r="377" spans="1:20">
      <c r="A377">
        <v>369</v>
      </c>
      <c r="B377">
        <v>11.389182882234582</v>
      </c>
      <c r="C377">
        <v>7.1141413800926276</v>
      </c>
      <c r="D377">
        <v>6.0943680474866104</v>
      </c>
      <c r="E377">
        <v>23.306592481155104</v>
      </c>
      <c r="F377">
        <v>0.23</v>
      </c>
      <c r="G377">
        <v>9</v>
      </c>
      <c r="I377">
        <f>SMALL(SimData1!$B$9:$B$508,369)</f>
        <v>11.90087799716971</v>
      </c>
      <c r="J377">
        <f>1/(COUNT(SimData1!$B$9:$B$508)-1)+$J$376</f>
        <v>0.73747494989980023</v>
      </c>
      <c r="K377">
        <f>SMALL(SimData1!$C$9:$C$508,369)</f>
        <v>7.8939689745507131</v>
      </c>
      <c r="L377">
        <f>1/(COUNT(SimData1!$C$9:$C$508)-1)+$L$376</f>
        <v>0.73747494989980023</v>
      </c>
      <c r="M377">
        <f>SMALL(SimData1!$D$9:$D$508,369)</f>
        <v>10.898755174497783</v>
      </c>
      <c r="N377">
        <f>1/(COUNT(SimData1!$D$9:$D$508)-1)+$N$376</f>
        <v>0.73747494989980023</v>
      </c>
      <c r="O377">
        <f>SMALL(SimData1!$E$9:$E$508,369)</f>
        <v>22.685521390314623</v>
      </c>
      <c r="P377">
        <f>1/(COUNT(SimData1!$E$9:$E$508)-1)+$P$376</f>
        <v>0.73747494989980023</v>
      </c>
      <c r="Q377">
        <f>SMALL(SimData1!$F$9:$F$508,369)</f>
        <v>0.23</v>
      </c>
      <c r="R377">
        <f>1/(COUNT(SimData1!$F$9:$F$508)-1)+$R$376</f>
        <v>0.73747494989980023</v>
      </c>
      <c r="S377">
        <f>SMALL(SimData1!$G$9:$G$508,369)</f>
        <v>10</v>
      </c>
      <c r="T377">
        <f>1/(COUNT(SimData1!$G$9:$G$508)-1)+$T$376</f>
        <v>0.73747494989980023</v>
      </c>
    </row>
    <row r="378" spans="1:20">
      <c r="A378">
        <v>370</v>
      </c>
      <c r="B378">
        <v>3.3670568133775802</v>
      </c>
      <c r="C378">
        <v>7.4706444959600091</v>
      </c>
      <c r="D378">
        <v>3.1991222632394924</v>
      </c>
      <c r="E378">
        <v>23.884306944981859</v>
      </c>
      <c r="F378">
        <v>0.23</v>
      </c>
      <c r="G378">
        <v>9</v>
      </c>
      <c r="I378">
        <f>SMALL(SimData1!$B$9:$B$508,370)</f>
        <v>11.923841333289776</v>
      </c>
      <c r="J378">
        <f>1/(COUNT(SimData1!$B$9:$B$508)-1)+$J$377</f>
        <v>0.73947895791583229</v>
      </c>
      <c r="K378">
        <f>SMALL(SimData1!$C$9:$C$508,370)</f>
        <v>7.9066689169748381</v>
      </c>
      <c r="L378">
        <f>1/(COUNT(SimData1!$C$9:$C$508)-1)+$L$377</f>
        <v>0.73947895791583229</v>
      </c>
      <c r="M378">
        <f>SMALL(SimData1!$D$9:$D$508,370)</f>
        <v>10.914889296001498</v>
      </c>
      <c r="N378">
        <f>1/(COUNT(SimData1!$D$9:$D$508)-1)+$N$377</f>
        <v>0.73947895791583229</v>
      </c>
      <c r="O378">
        <f>SMALL(SimData1!$E$9:$E$508,370)</f>
        <v>22.699488346277896</v>
      </c>
      <c r="P378">
        <f>1/(COUNT(SimData1!$E$9:$E$508)-1)+$P$377</f>
        <v>0.73947895791583229</v>
      </c>
      <c r="Q378">
        <f>SMALL(SimData1!$F$9:$F$508,370)</f>
        <v>0.23</v>
      </c>
      <c r="R378">
        <f>1/(COUNT(SimData1!$F$9:$F$508)-1)+$R$377</f>
        <v>0.73947895791583229</v>
      </c>
      <c r="S378">
        <f>SMALL(SimData1!$G$9:$G$508,370)</f>
        <v>10</v>
      </c>
      <c r="T378">
        <f>1/(COUNT(SimData1!$G$9:$G$508)-1)+$T$377</f>
        <v>0.73947895791583229</v>
      </c>
    </row>
    <row r="379" spans="1:20">
      <c r="A379">
        <v>371</v>
      </c>
      <c r="B379">
        <v>12.074046388657209</v>
      </c>
      <c r="C379">
        <v>5.1744279625542529</v>
      </c>
      <c r="D379">
        <v>2.1529269894587171</v>
      </c>
      <c r="E379">
        <v>23.582271111933309</v>
      </c>
      <c r="F379">
        <v>0.23</v>
      </c>
      <c r="G379">
        <v>12</v>
      </c>
      <c r="I379">
        <f>SMALL(SimData1!$B$9:$B$508,371)</f>
        <v>11.942375146765102</v>
      </c>
      <c r="J379">
        <f>1/(COUNT(SimData1!$B$9:$B$508)-1)+$J$378</f>
        <v>0.74148296593186436</v>
      </c>
      <c r="K379">
        <f>SMALL(SimData1!$C$9:$C$508,371)</f>
        <v>7.9323311925745408</v>
      </c>
      <c r="L379">
        <f>1/(COUNT(SimData1!$C$9:$C$508)-1)+$L$378</f>
        <v>0.74148296593186436</v>
      </c>
      <c r="M379">
        <f>SMALL(SimData1!$D$9:$D$508,371)</f>
        <v>10.922881853867993</v>
      </c>
      <c r="N379">
        <f>1/(COUNT(SimData1!$D$9:$D$508)-1)+$N$378</f>
        <v>0.74148296593186436</v>
      </c>
      <c r="O379">
        <f>SMALL(SimData1!$E$9:$E$508,371)</f>
        <v>22.708774471305738</v>
      </c>
      <c r="P379">
        <f>1/(COUNT(SimData1!$E$9:$E$508)-1)+$P$378</f>
        <v>0.74148296593186436</v>
      </c>
      <c r="Q379">
        <f>SMALL(SimData1!$F$9:$F$508,371)</f>
        <v>0.23</v>
      </c>
      <c r="R379">
        <f>1/(COUNT(SimData1!$F$9:$F$508)-1)+$R$378</f>
        <v>0.74148296593186436</v>
      </c>
      <c r="S379">
        <f>SMALL(SimData1!$G$9:$G$508,371)</f>
        <v>10</v>
      </c>
      <c r="T379">
        <f>1/(COUNT(SimData1!$G$9:$G$508)-1)+$T$378</f>
        <v>0.74148296593186436</v>
      </c>
    </row>
    <row r="380" spans="1:20">
      <c r="A380">
        <v>372</v>
      </c>
      <c r="B380">
        <v>8.7010978117275428</v>
      </c>
      <c r="C380">
        <v>7.4284230917478959</v>
      </c>
      <c r="D380">
        <v>16.11112765888663</v>
      </c>
      <c r="E380">
        <v>0.24144574664041496</v>
      </c>
      <c r="F380">
        <v>0.23</v>
      </c>
      <c r="G380">
        <v>10</v>
      </c>
      <c r="I380">
        <f>SMALL(SimData1!$B$9:$B$508,372)</f>
        <v>11.965858425878693</v>
      </c>
      <c r="J380">
        <f>1/(COUNT(SimData1!$B$9:$B$508)-1)+$J$379</f>
        <v>0.74348697394789642</v>
      </c>
      <c r="K380">
        <f>SMALL(SimData1!$C$9:$C$508,372)</f>
        <v>7.9478093114634527</v>
      </c>
      <c r="L380">
        <f>1/(COUNT(SimData1!$C$9:$C$508)-1)+$L$379</f>
        <v>0.74348697394789642</v>
      </c>
      <c r="M380">
        <f>SMALL(SimData1!$D$9:$D$508,372)</f>
        <v>10.940380456012761</v>
      </c>
      <c r="N380">
        <f>1/(COUNT(SimData1!$D$9:$D$508)-1)+$N$379</f>
        <v>0.74348697394789642</v>
      </c>
      <c r="O380">
        <f>SMALL(SimData1!$E$9:$E$508,372)</f>
        <v>22.712415779157983</v>
      </c>
      <c r="P380">
        <f>1/(COUNT(SimData1!$E$9:$E$508)-1)+$P$379</f>
        <v>0.74348697394789642</v>
      </c>
      <c r="Q380">
        <f>SMALL(SimData1!$F$9:$F$508,372)</f>
        <v>0.23</v>
      </c>
      <c r="R380">
        <f>1/(COUNT(SimData1!$F$9:$F$508)-1)+$R$379</f>
        <v>0.74348697394789642</v>
      </c>
      <c r="S380">
        <f>SMALL(SimData1!$G$9:$G$508,372)</f>
        <v>10</v>
      </c>
      <c r="T380">
        <f>1/(COUNT(SimData1!$G$9:$G$508)-1)+$T$379</f>
        <v>0.74348697394789642</v>
      </c>
    </row>
    <row r="381" spans="1:20">
      <c r="A381">
        <v>373</v>
      </c>
      <c r="B381">
        <v>10.0930338380505</v>
      </c>
      <c r="C381">
        <v>4.3132542953810784</v>
      </c>
      <c r="D381">
        <v>8.3117301570791113</v>
      </c>
      <c r="E381">
        <v>21.736215642786334</v>
      </c>
      <c r="F381">
        <v>0.23</v>
      </c>
      <c r="G381">
        <v>2</v>
      </c>
      <c r="I381">
        <f>SMALL(SimData1!$B$9:$B$508,373)</f>
        <v>11.969202185456602</v>
      </c>
      <c r="J381">
        <f>1/(COUNT(SimData1!$B$9:$B$508)-1)+$J$380</f>
        <v>0.74549098196392849</v>
      </c>
      <c r="K381">
        <f>SMALL(SimData1!$C$9:$C$508,373)</f>
        <v>7.9614479155487965</v>
      </c>
      <c r="L381">
        <f>1/(COUNT(SimData1!$C$9:$C$508)-1)+$L$380</f>
        <v>0.74549098196392849</v>
      </c>
      <c r="M381">
        <f>SMALL(SimData1!$D$9:$D$508,373)</f>
        <v>10.959897342594317</v>
      </c>
      <c r="N381">
        <f>1/(COUNT(SimData1!$D$9:$D$508)-1)+$N$380</f>
        <v>0.74549098196392849</v>
      </c>
      <c r="O381">
        <f>SMALL(SimData1!$E$9:$E$508,373)</f>
        <v>22.723192212574009</v>
      </c>
      <c r="P381">
        <f>1/(COUNT(SimData1!$E$9:$E$508)-1)+$P$380</f>
        <v>0.74549098196392849</v>
      </c>
      <c r="Q381">
        <f>SMALL(SimData1!$F$9:$F$508,373)</f>
        <v>0.23</v>
      </c>
      <c r="R381">
        <f>1/(COUNT(SimData1!$F$9:$F$508)-1)+$R$380</f>
        <v>0.74549098196392849</v>
      </c>
      <c r="S381">
        <f>SMALL(SimData1!$G$9:$G$508,373)</f>
        <v>10</v>
      </c>
      <c r="T381">
        <f>1/(COUNT(SimData1!$G$9:$G$508)-1)+$T$380</f>
        <v>0.74549098196392849</v>
      </c>
    </row>
    <row r="382" spans="1:20">
      <c r="A382">
        <v>374</v>
      </c>
      <c r="B382">
        <v>12.741392051923597</v>
      </c>
      <c r="C382">
        <v>4.9893794138462697</v>
      </c>
      <c r="D382">
        <v>2.2962032572664794</v>
      </c>
      <c r="E382">
        <v>-0.39224813526102165</v>
      </c>
      <c r="F382">
        <v>0.23</v>
      </c>
      <c r="G382">
        <v>6</v>
      </c>
      <c r="I382">
        <f>SMALL(SimData1!$B$9:$B$508,374)</f>
        <v>11.999201356232149</v>
      </c>
      <c r="J382">
        <f>1/(COUNT(SimData1!$B$9:$B$508)-1)+$J$381</f>
        <v>0.74749498997996056</v>
      </c>
      <c r="K382">
        <f>SMALL(SimData1!$C$9:$C$508,374)</f>
        <v>7.981736318375388</v>
      </c>
      <c r="L382">
        <f>1/(COUNT(SimData1!$C$9:$C$508)-1)+$L$381</f>
        <v>0.74749498997996056</v>
      </c>
      <c r="M382">
        <f>SMALL(SimData1!$D$9:$D$508,374)</f>
        <v>10.973217220732295</v>
      </c>
      <c r="N382">
        <f>1/(COUNT(SimData1!$D$9:$D$508)-1)+$N$381</f>
        <v>0.74749498997996056</v>
      </c>
      <c r="O382">
        <f>SMALL(SimData1!$E$9:$E$508,374)</f>
        <v>22.730063110651706</v>
      </c>
      <c r="P382">
        <f>1/(COUNT(SimData1!$E$9:$E$508)-1)+$P$381</f>
        <v>0.74749498997996056</v>
      </c>
      <c r="Q382">
        <f>SMALL(SimData1!$F$9:$F$508,374)</f>
        <v>0.23</v>
      </c>
      <c r="R382">
        <f>1/(COUNT(SimData1!$F$9:$F$508)-1)+$R$381</f>
        <v>0.74749498997996056</v>
      </c>
      <c r="S382">
        <f>SMALL(SimData1!$G$9:$G$508,374)</f>
        <v>10</v>
      </c>
      <c r="T382">
        <f>1/(COUNT(SimData1!$G$9:$G$508)-1)+$T$381</f>
        <v>0.74749498997996056</v>
      </c>
    </row>
    <row r="383" spans="1:20">
      <c r="A383">
        <v>375</v>
      </c>
      <c r="B383">
        <v>13.542814715343802</v>
      </c>
      <c r="C383">
        <v>6.4697300151562622</v>
      </c>
      <c r="D383">
        <v>2.0737388935130414</v>
      </c>
      <c r="E383">
        <v>-0.87296440234703132</v>
      </c>
      <c r="F383">
        <v>0.23</v>
      </c>
      <c r="G383">
        <v>9</v>
      </c>
      <c r="I383">
        <f>SMALL(SimData1!$B$9:$B$508,375)</f>
        <v>12.004981864878493</v>
      </c>
      <c r="J383">
        <f>1/(COUNT(SimData1!$B$9:$B$508)-1)+$J$382</f>
        <v>0.74949899799599262</v>
      </c>
      <c r="K383">
        <f>SMALL(SimData1!$C$9:$C$508,375)</f>
        <v>7.9851132788884254</v>
      </c>
      <c r="L383">
        <f>1/(COUNT(SimData1!$C$9:$C$508)-1)+$L$382</f>
        <v>0.74949899799599262</v>
      </c>
      <c r="M383">
        <f>SMALL(SimData1!$D$9:$D$508,375)</f>
        <v>10.986426439676999</v>
      </c>
      <c r="N383">
        <f>1/(COUNT(SimData1!$D$9:$D$508)-1)+$N$382</f>
        <v>0.74949899799599262</v>
      </c>
      <c r="O383">
        <f>SMALL(SimData1!$E$9:$E$508,375)</f>
        <v>22.745600490684314</v>
      </c>
      <c r="P383">
        <f>1/(COUNT(SimData1!$E$9:$E$508)-1)+$P$382</f>
        <v>0.74949899799599262</v>
      </c>
      <c r="Q383">
        <f>SMALL(SimData1!$F$9:$F$508,375)</f>
        <v>0.23</v>
      </c>
      <c r="R383">
        <f>1/(COUNT(SimData1!$F$9:$F$508)-1)+$R$382</f>
        <v>0.74949899799599262</v>
      </c>
      <c r="S383">
        <f>SMALL(SimData1!$G$9:$G$508,375)</f>
        <v>10</v>
      </c>
      <c r="T383">
        <f>1/(COUNT(SimData1!$G$9:$G$508)-1)+$T$382</f>
        <v>0.74949899799599262</v>
      </c>
    </row>
    <row r="384" spans="1:20">
      <c r="A384">
        <v>376</v>
      </c>
      <c r="B384">
        <v>6.5224907017478602</v>
      </c>
      <c r="C384">
        <v>3.0528062183402493</v>
      </c>
      <c r="D384">
        <v>17.040315711667834</v>
      </c>
      <c r="E384">
        <v>-0.49400637784555945</v>
      </c>
      <c r="F384">
        <v>0.23</v>
      </c>
      <c r="G384">
        <v>6</v>
      </c>
      <c r="I384">
        <f>SMALL(SimData1!$B$9:$B$508,376)</f>
        <v>12.023860547437678</v>
      </c>
      <c r="J384">
        <f>1/(COUNT(SimData1!$B$9:$B$508)-1)+$J$383</f>
        <v>0.75150300601202469</v>
      </c>
      <c r="K384">
        <f>SMALL(SimData1!$C$9:$C$508,376)</f>
        <v>8.0130981520593849</v>
      </c>
      <c r="L384">
        <f>1/(COUNT(SimData1!$C$9:$C$508)-1)+$L$383</f>
        <v>0.75150300601202469</v>
      </c>
      <c r="M384">
        <f>SMALL(SimData1!$D$9:$D$508,376)</f>
        <v>11.045855815138168</v>
      </c>
      <c r="N384">
        <f>1/(COUNT(SimData1!$D$9:$D$508)-1)+$N$383</f>
        <v>0.75150300601202469</v>
      </c>
      <c r="O384">
        <f>SMALL(SimData1!$E$9:$E$508,376)</f>
        <v>22.757670855102401</v>
      </c>
      <c r="P384">
        <f>1/(COUNT(SimData1!$E$9:$E$508)-1)+$P$383</f>
        <v>0.75150300601202469</v>
      </c>
      <c r="Q384">
        <f>SMALL(SimData1!$F$9:$F$508,376)</f>
        <v>0.23</v>
      </c>
      <c r="R384">
        <f>1/(COUNT(SimData1!$F$9:$F$508)-1)+$R$383</f>
        <v>0.75150300601202469</v>
      </c>
      <c r="S384">
        <f>SMALL(SimData1!$G$9:$G$508,376)</f>
        <v>10</v>
      </c>
      <c r="T384">
        <f>1/(COUNT(SimData1!$G$9:$G$508)-1)+$T$383</f>
        <v>0.75150300601202469</v>
      </c>
    </row>
    <row r="385" spans="1:20">
      <c r="A385">
        <v>377</v>
      </c>
      <c r="B385">
        <v>8.9994273369139606</v>
      </c>
      <c r="C385">
        <v>9.0421222242233625</v>
      </c>
      <c r="D385">
        <v>7.9526618831494496</v>
      </c>
      <c r="E385">
        <v>21.598335407052996</v>
      </c>
      <c r="F385">
        <v>0.23</v>
      </c>
      <c r="G385">
        <v>6</v>
      </c>
      <c r="I385">
        <f>SMALL(SimData1!$B$9:$B$508,377)</f>
        <v>12.048308641942509</v>
      </c>
      <c r="J385">
        <f>1/(COUNT(SimData1!$B$9:$B$508)-1)+$J$384</f>
        <v>0.75350701402805675</v>
      </c>
      <c r="K385">
        <f>SMALL(SimData1!$C$9:$C$508,377)</f>
        <v>8.0251954834110091</v>
      </c>
      <c r="L385">
        <f>1/(COUNT(SimData1!$C$9:$C$508)-1)+$L$384</f>
        <v>0.75350701402805675</v>
      </c>
      <c r="M385">
        <f>SMALL(SimData1!$D$9:$D$508,377)</f>
        <v>11.124249739213905</v>
      </c>
      <c r="N385">
        <f>1/(COUNT(SimData1!$D$9:$D$508)-1)+$N$384</f>
        <v>0.75350701402805675</v>
      </c>
      <c r="O385">
        <f>SMALL(SimData1!$E$9:$E$508,377)</f>
        <v>22.76898310663632</v>
      </c>
      <c r="P385">
        <f>1/(COUNT(SimData1!$E$9:$E$508)-1)+$P$384</f>
        <v>0.75350701402805675</v>
      </c>
      <c r="Q385">
        <f>SMALL(SimData1!$F$9:$F$508,377)</f>
        <v>0.23</v>
      </c>
      <c r="R385">
        <f>1/(COUNT(SimData1!$F$9:$F$508)-1)+$R$384</f>
        <v>0.75350701402805675</v>
      </c>
      <c r="S385">
        <f>SMALL(SimData1!$G$9:$G$508,377)</f>
        <v>10</v>
      </c>
      <c r="T385">
        <f>1/(COUNT(SimData1!$G$9:$G$508)-1)+$T$384</f>
        <v>0.75350701402805675</v>
      </c>
    </row>
    <row r="386" spans="1:20">
      <c r="A386">
        <v>378</v>
      </c>
      <c r="B386">
        <v>7.6532117256912358</v>
      </c>
      <c r="C386">
        <v>6.1967273439254438</v>
      </c>
      <c r="D386">
        <v>10.191817897351417</v>
      </c>
      <c r="E386">
        <v>-1.3358752639362963</v>
      </c>
      <c r="F386">
        <v>0.23</v>
      </c>
      <c r="G386">
        <v>12</v>
      </c>
      <c r="I386">
        <f>SMALL(SimData1!$B$9:$B$508,378)</f>
        <v>12.074046388657209</v>
      </c>
      <c r="J386">
        <f>1/(COUNT(SimData1!$B$9:$B$508)-1)+$J$385</f>
        <v>0.75551102204408882</v>
      </c>
      <c r="K386">
        <f>SMALL(SimData1!$C$9:$C$508,378)</f>
        <v>8.0381684591486504</v>
      </c>
      <c r="L386">
        <f>1/(COUNT(SimData1!$C$9:$C$508)-1)+$L$385</f>
        <v>0.75551102204408882</v>
      </c>
      <c r="M386">
        <f>SMALL(SimData1!$D$9:$D$508,378)</f>
        <v>11.16882772443649</v>
      </c>
      <c r="N386">
        <f>1/(COUNT(SimData1!$D$9:$D$508)-1)+$N$385</f>
        <v>0.75551102204408882</v>
      </c>
      <c r="O386">
        <f>SMALL(SimData1!$E$9:$E$508,378)</f>
        <v>22.771354701140091</v>
      </c>
      <c r="P386">
        <f>1/(COUNT(SimData1!$E$9:$E$508)-1)+$P$385</f>
        <v>0.75551102204408882</v>
      </c>
      <c r="Q386">
        <f>SMALL(SimData1!$F$9:$F$508,378)</f>
        <v>0.23</v>
      </c>
      <c r="R386">
        <f>1/(COUNT(SimData1!$F$9:$F$508)-1)+$R$385</f>
        <v>0.75551102204408882</v>
      </c>
      <c r="S386">
        <f>SMALL(SimData1!$G$9:$G$508,378)</f>
        <v>10</v>
      </c>
      <c r="T386">
        <f>1/(COUNT(SimData1!$G$9:$G$508)-1)+$T$385</f>
        <v>0.75551102204408882</v>
      </c>
    </row>
    <row r="387" spans="1:20">
      <c r="A387">
        <v>379</v>
      </c>
      <c r="B387">
        <v>7.0544984978401786</v>
      </c>
      <c r="C387">
        <v>6.9104451799873372</v>
      </c>
      <c r="D387">
        <v>6.1357731549385406</v>
      </c>
      <c r="E387">
        <v>22.819434480978494</v>
      </c>
      <c r="F387">
        <v>0.23</v>
      </c>
      <c r="G387">
        <v>9</v>
      </c>
      <c r="I387">
        <f>SMALL(SimData1!$B$9:$B$508,379)</f>
        <v>12.099624941028484</v>
      </c>
      <c r="J387">
        <f>1/(COUNT(SimData1!$B$9:$B$508)-1)+$J$386</f>
        <v>0.75751503006012089</v>
      </c>
      <c r="K387">
        <f>SMALL(SimData1!$C$9:$C$508,379)</f>
        <v>8.048504433658092</v>
      </c>
      <c r="L387">
        <f>1/(COUNT(SimData1!$C$9:$C$508)-1)+$L$386</f>
        <v>0.75751503006012089</v>
      </c>
      <c r="M387">
        <f>SMALL(SimData1!$D$9:$D$508,379)</f>
        <v>11.233615144784007</v>
      </c>
      <c r="N387">
        <f>1/(COUNT(SimData1!$D$9:$D$508)-1)+$N$386</f>
        <v>0.75751503006012089</v>
      </c>
      <c r="O387">
        <f>SMALL(SimData1!$E$9:$E$508,379)</f>
        <v>22.782029195644736</v>
      </c>
      <c r="P387">
        <f>1/(COUNT(SimData1!$E$9:$E$508)-1)+$P$386</f>
        <v>0.75751503006012089</v>
      </c>
      <c r="Q387">
        <f>SMALL(SimData1!$F$9:$F$508,379)</f>
        <v>0.23</v>
      </c>
      <c r="R387">
        <f>1/(COUNT(SimData1!$F$9:$F$508)-1)+$R$386</f>
        <v>0.75751503006012089</v>
      </c>
      <c r="S387">
        <f>SMALL(SimData1!$G$9:$G$508,379)</f>
        <v>10</v>
      </c>
      <c r="T387">
        <f>1/(COUNT(SimData1!$G$9:$G$508)-1)+$T$386</f>
        <v>0.75751503006012089</v>
      </c>
    </row>
    <row r="388" spans="1:20">
      <c r="A388">
        <v>380</v>
      </c>
      <c r="B388">
        <v>9.9659770111339476</v>
      </c>
      <c r="C388">
        <v>4.2690275657132801</v>
      </c>
      <c r="D388">
        <v>5.2966802783516886</v>
      </c>
      <c r="E388">
        <v>22.270396596147496</v>
      </c>
      <c r="F388">
        <v>0.23</v>
      </c>
      <c r="G388">
        <v>2</v>
      </c>
      <c r="I388">
        <f>SMALL(SimData1!$B$9:$B$508,380)</f>
        <v>12.118231158058629</v>
      </c>
      <c r="J388">
        <f>1/(COUNT(SimData1!$B$9:$B$508)-1)+$J$387</f>
        <v>0.75951903807615295</v>
      </c>
      <c r="K388">
        <f>SMALL(SimData1!$C$9:$C$508,380)</f>
        <v>8.073874025708502</v>
      </c>
      <c r="L388">
        <f>1/(COUNT(SimData1!$C$9:$C$508)-1)+$L$387</f>
        <v>0.75951903807615295</v>
      </c>
      <c r="M388">
        <f>SMALL(SimData1!$D$9:$D$508,380)</f>
        <v>11.279118531172891</v>
      </c>
      <c r="N388">
        <f>1/(COUNT(SimData1!$D$9:$D$508)-1)+$N$387</f>
        <v>0.75951903807615295</v>
      </c>
      <c r="O388">
        <f>SMALL(SimData1!$E$9:$E$508,380)</f>
        <v>22.799226164740055</v>
      </c>
      <c r="P388">
        <f>1/(COUNT(SimData1!$E$9:$E$508)-1)+$P$387</f>
        <v>0.75951903807615295</v>
      </c>
      <c r="Q388">
        <f>SMALL(SimData1!$F$9:$F$508,380)</f>
        <v>0.23</v>
      </c>
      <c r="R388">
        <f>1/(COUNT(SimData1!$F$9:$F$508)-1)+$R$387</f>
        <v>0.75951903807615295</v>
      </c>
      <c r="S388">
        <f>SMALL(SimData1!$G$9:$G$508,380)</f>
        <v>10</v>
      </c>
      <c r="T388">
        <f>1/(COUNT(SimData1!$G$9:$G$508)-1)+$T$387</f>
        <v>0.75951903807615295</v>
      </c>
    </row>
    <row r="389" spans="1:20">
      <c r="A389">
        <v>381</v>
      </c>
      <c r="B389">
        <v>10.328078412883572</v>
      </c>
      <c r="C389">
        <v>3.4763961968543931</v>
      </c>
      <c r="D389">
        <v>9.1317664841608526</v>
      </c>
      <c r="E389">
        <v>22.872269948802046</v>
      </c>
      <c r="F389">
        <v>0.23</v>
      </c>
      <c r="G389">
        <v>10</v>
      </c>
      <c r="I389">
        <f>SMALL(SimData1!$B$9:$B$508,381)</f>
        <v>12.134859110288446</v>
      </c>
      <c r="J389">
        <f>1/(COUNT(SimData1!$B$9:$B$508)-1)+$J$388</f>
        <v>0.76152304609218502</v>
      </c>
      <c r="K389">
        <f>SMALL(SimData1!$C$9:$C$508,381)</f>
        <v>8.0844630789171124</v>
      </c>
      <c r="L389">
        <f>1/(COUNT(SimData1!$C$9:$C$508)-1)+$L$388</f>
        <v>0.76152304609218502</v>
      </c>
      <c r="M389">
        <f>SMALL(SimData1!$D$9:$D$508,381)</f>
        <v>11.358522008174685</v>
      </c>
      <c r="N389">
        <f>1/(COUNT(SimData1!$D$9:$D$508)-1)+$N$388</f>
        <v>0.76152304609218502</v>
      </c>
      <c r="O389">
        <f>SMALL(SimData1!$E$9:$E$508,381)</f>
        <v>22.805581375882277</v>
      </c>
      <c r="P389">
        <f>1/(COUNT(SimData1!$E$9:$E$508)-1)+$P$388</f>
        <v>0.76152304609218502</v>
      </c>
      <c r="Q389">
        <f>SMALL(SimData1!$F$9:$F$508,381)</f>
        <v>0.23</v>
      </c>
      <c r="R389">
        <f>1/(COUNT(SimData1!$F$9:$F$508)-1)+$R$388</f>
        <v>0.76152304609218502</v>
      </c>
      <c r="S389">
        <f>SMALL(SimData1!$G$9:$G$508,381)</f>
        <v>10</v>
      </c>
      <c r="T389">
        <f>1/(COUNT(SimData1!$G$9:$G$508)-1)+$T$388</f>
        <v>0.76152304609218502</v>
      </c>
    </row>
    <row r="390" spans="1:20">
      <c r="A390">
        <v>382</v>
      </c>
      <c r="B390">
        <v>10.866674820563194</v>
      </c>
      <c r="C390">
        <v>7.4239871218465243</v>
      </c>
      <c r="D390">
        <v>2.7408782866552657</v>
      </c>
      <c r="E390">
        <v>-0.14734887044113032</v>
      </c>
      <c r="F390">
        <v>0.23</v>
      </c>
      <c r="G390">
        <v>2</v>
      </c>
      <c r="I390">
        <f>SMALL(SimData1!$B$9:$B$508,382)</f>
        <v>12.146297362593655</v>
      </c>
      <c r="J390">
        <f>1/(COUNT(SimData1!$B$9:$B$508)-1)+$J$389</f>
        <v>0.76352705410821708</v>
      </c>
      <c r="K390">
        <f>SMALL(SimData1!$C$9:$C$508,382)</f>
        <v>8.0996365609326482</v>
      </c>
      <c r="L390">
        <f>1/(COUNT(SimData1!$C$9:$C$508)-1)+$L$389</f>
        <v>0.76352705410821708</v>
      </c>
      <c r="M390">
        <f>SMALL(SimData1!$D$9:$D$508,382)</f>
        <v>11.388331860632711</v>
      </c>
      <c r="N390">
        <f>1/(COUNT(SimData1!$D$9:$D$508)-1)+$N$389</f>
        <v>0.76352705410821708</v>
      </c>
      <c r="O390">
        <f>SMALL(SimData1!$E$9:$E$508,382)</f>
        <v>22.819434480978494</v>
      </c>
      <c r="P390">
        <f>1/(COUNT(SimData1!$E$9:$E$508)-1)+$P$389</f>
        <v>0.76352705410821708</v>
      </c>
      <c r="Q390">
        <f>SMALL(SimData1!$F$9:$F$508,382)</f>
        <v>0.23</v>
      </c>
      <c r="R390">
        <f>1/(COUNT(SimData1!$F$9:$F$508)-1)+$R$389</f>
        <v>0.76352705410821708</v>
      </c>
      <c r="S390">
        <f>SMALL(SimData1!$G$9:$G$508,382)</f>
        <v>10</v>
      </c>
      <c r="T390">
        <f>1/(COUNT(SimData1!$G$9:$G$508)-1)+$T$389</f>
        <v>0.76352705410821708</v>
      </c>
    </row>
    <row r="391" spans="1:20">
      <c r="A391">
        <v>383</v>
      </c>
      <c r="B391">
        <v>9.5201389906483893</v>
      </c>
      <c r="C391">
        <v>7.5155507624921274</v>
      </c>
      <c r="D391">
        <v>3.8762439111611444</v>
      </c>
      <c r="E391">
        <v>0.14132510873771165</v>
      </c>
      <c r="F391">
        <v>0.23</v>
      </c>
      <c r="G391">
        <v>9</v>
      </c>
      <c r="I391">
        <f>SMALL(SimData1!$B$9:$B$508,383)</f>
        <v>12.176246575130779</v>
      </c>
      <c r="J391">
        <f>1/(COUNT(SimData1!$B$9:$B$508)-1)+$J$390</f>
        <v>0.76553106212424915</v>
      </c>
      <c r="K391">
        <f>SMALL(SimData1!$C$9:$C$508,383)</f>
        <v>8.1184512338727828</v>
      </c>
      <c r="L391">
        <f>1/(COUNT(SimData1!$C$9:$C$508)-1)+$L$390</f>
        <v>0.76553106212424915</v>
      </c>
      <c r="M391">
        <f>SMALL(SimData1!$D$9:$D$508,383)</f>
        <v>11.503615536970926</v>
      </c>
      <c r="N391">
        <f>1/(COUNT(SimData1!$D$9:$D$508)-1)+$N$390</f>
        <v>0.76553106212424915</v>
      </c>
      <c r="O391">
        <f>SMALL(SimData1!$E$9:$E$508,383)</f>
        <v>22.826895886340285</v>
      </c>
      <c r="P391">
        <f>1/(COUNT(SimData1!$E$9:$E$508)-1)+$P$390</f>
        <v>0.76553106212424915</v>
      </c>
      <c r="Q391">
        <f>SMALL(SimData1!$F$9:$F$508,383)</f>
        <v>0.23</v>
      </c>
      <c r="R391">
        <f>1/(COUNT(SimData1!$F$9:$F$508)-1)+$R$390</f>
        <v>0.76553106212424915</v>
      </c>
      <c r="S391">
        <f>SMALL(SimData1!$G$9:$G$508,383)</f>
        <v>10</v>
      </c>
      <c r="T391">
        <f>1/(COUNT(SimData1!$G$9:$G$508)-1)+$T$390</f>
        <v>0.76553106212424915</v>
      </c>
    </row>
    <row r="392" spans="1:20">
      <c r="A392">
        <v>384</v>
      </c>
      <c r="B392">
        <v>11.999201356232149</v>
      </c>
      <c r="C392">
        <v>5.8750012287020219</v>
      </c>
      <c r="D392">
        <v>10.099485522079162</v>
      </c>
      <c r="E392">
        <v>22.221487056883941</v>
      </c>
      <c r="F392">
        <v>0.23</v>
      </c>
      <c r="G392">
        <v>10</v>
      </c>
      <c r="I392">
        <f>SMALL(SimData1!$B$9:$B$508,384)</f>
        <v>12.194221186598837</v>
      </c>
      <c r="J392">
        <f>1/(COUNT(SimData1!$B$9:$B$508)-1)+$J$391</f>
        <v>0.76753507014028122</v>
      </c>
      <c r="K392">
        <f>SMALL(SimData1!$C$9:$C$508,384)</f>
        <v>8.1336477182520674</v>
      </c>
      <c r="L392">
        <f>1/(COUNT(SimData1!$C$9:$C$508)-1)+$L$391</f>
        <v>0.76753507014028122</v>
      </c>
      <c r="M392">
        <f>SMALL(SimData1!$D$9:$D$508,384)</f>
        <v>11.566486233992148</v>
      </c>
      <c r="N392">
        <f>1/(COUNT(SimData1!$D$9:$D$508)-1)+$N$391</f>
        <v>0.76753507014028122</v>
      </c>
      <c r="O392">
        <f>SMALL(SimData1!$E$9:$E$508,384)</f>
        <v>22.838229608994649</v>
      </c>
      <c r="P392">
        <f>1/(COUNT(SimData1!$E$9:$E$508)-1)+$P$391</f>
        <v>0.76753507014028122</v>
      </c>
      <c r="Q392">
        <f>SMALL(SimData1!$F$9:$F$508,384)</f>
        <v>0.23</v>
      </c>
      <c r="R392">
        <f>1/(COUNT(SimData1!$F$9:$F$508)-1)+$R$391</f>
        <v>0.76753507014028122</v>
      </c>
      <c r="S392">
        <f>SMALL(SimData1!$G$9:$G$508,384)</f>
        <v>10</v>
      </c>
      <c r="T392">
        <f>1/(COUNT(SimData1!$G$9:$G$508)-1)+$T$391</f>
        <v>0.76753507014028122</v>
      </c>
    </row>
    <row r="393" spans="1:20">
      <c r="A393">
        <v>385</v>
      </c>
      <c r="B393">
        <v>11.923841333289776</v>
      </c>
      <c r="C393">
        <v>7.5596668529155826</v>
      </c>
      <c r="D393">
        <v>2.2117642111060594</v>
      </c>
      <c r="E393">
        <v>-0.56717262129262658</v>
      </c>
      <c r="F393">
        <v>0.23</v>
      </c>
      <c r="G393">
        <v>9</v>
      </c>
      <c r="I393">
        <f>SMALL(SimData1!$B$9:$B$508,385)</f>
        <v>12.207668497946862</v>
      </c>
      <c r="J393">
        <f>1/(COUNT(SimData1!$B$9:$B$508)-1)+$J$392</f>
        <v>0.76953907815631328</v>
      </c>
      <c r="K393">
        <f>SMALL(SimData1!$C$9:$C$508,385)</f>
        <v>8.1477324336403356</v>
      </c>
      <c r="L393">
        <f>1/(COUNT(SimData1!$C$9:$C$508)-1)+$L$392</f>
        <v>0.76953907815631328</v>
      </c>
      <c r="M393">
        <f>SMALL(SimData1!$D$9:$D$508,385)</f>
        <v>11.593347792987093</v>
      </c>
      <c r="N393">
        <f>1/(COUNT(SimData1!$D$9:$D$508)-1)+$N$392</f>
        <v>0.76953907815631328</v>
      </c>
      <c r="O393">
        <f>SMALL(SimData1!$E$9:$E$508,385)</f>
        <v>22.844507267671979</v>
      </c>
      <c r="P393">
        <f>1/(COUNT(SimData1!$E$9:$E$508)-1)+$P$392</f>
        <v>0.76953907815631328</v>
      </c>
      <c r="Q393">
        <f>SMALL(SimData1!$F$9:$F$508,385)</f>
        <v>0.23</v>
      </c>
      <c r="R393">
        <f>1/(COUNT(SimData1!$F$9:$F$508)-1)+$R$392</f>
        <v>0.76953907815631328</v>
      </c>
      <c r="S393">
        <f>SMALL(SimData1!$G$9:$G$508,385)</f>
        <v>10</v>
      </c>
      <c r="T393">
        <f>1/(COUNT(SimData1!$G$9:$G$508)-1)+$T$392</f>
        <v>0.76953907815631328</v>
      </c>
    </row>
    <row r="394" spans="1:20">
      <c r="A394">
        <v>386</v>
      </c>
      <c r="B394">
        <v>13.081082454161159</v>
      </c>
      <c r="C394">
        <v>4.2287149127136718</v>
      </c>
      <c r="D394">
        <v>17.147880716965506</v>
      </c>
      <c r="E394">
        <v>-0.80859523346077122</v>
      </c>
      <c r="F394">
        <v>0.23</v>
      </c>
      <c r="G394">
        <v>10</v>
      </c>
      <c r="I394">
        <f>SMALL(SimData1!$B$9:$B$508,386)</f>
        <v>12.22708402659714</v>
      </c>
      <c r="J394">
        <f>1/(COUNT(SimData1!$B$9:$B$508)-1)+$J$393</f>
        <v>0.77154308617234535</v>
      </c>
      <c r="K394">
        <f>SMALL(SimData1!$C$9:$C$508,386)</f>
        <v>8.1712760566685532</v>
      </c>
      <c r="L394">
        <f>1/(COUNT(SimData1!$C$9:$C$508)-1)+$L$393</f>
        <v>0.77154308617234535</v>
      </c>
      <c r="M394">
        <f>SMALL(SimData1!$D$9:$D$508,386)</f>
        <v>11.674493081696912</v>
      </c>
      <c r="N394">
        <f>1/(COUNT(SimData1!$D$9:$D$508)-1)+$N$393</f>
        <v>0.77154308617234535</v>
      </c>
      <c r="O394">
        <f>SMALL(SimData1!$E$9:$E$508,386)</f>
        <v>22.856000975875364</v>
      </c>
      <c r="P394">
        <f>1/(COUNT(SimData1!$E$9:$E$508)-1)+$P$393</f>
        <v>0.77154308617234535</v>
      </c>
      <c r="Q394">
        <f>SMALL(SimData1!$F$9:$F$508,386)</f>
        <v>0.23</v>
      </c>
      <c r="R394">
        <f>1/(COUNT(SimData1!$F$9:$F$508)-1)+$R$393</f>
        <v>0.77154308617234535</v>
      </c>
      <c r="S394">
        <f>SMALL(SimData1!$G$9:$G$508,386)</f>
        <v>10</v>
      </c>
      <c r="T394">
        <f>1/(COUNT(SimData1!$G$9:$G$508)-1)+$T$393</f>
        <v>0.77154308617234535</v>
      </c>
    </row>
    <row r="395" spans="1:20">
      <c r="A395">
        <v>387</v>
      </c>
      <c r="B395">
        <v>12.469592024823164</v>
      </c>
      <c r="C395">
        <v>2.2386312260512802</v>
      </c>
      <c r="D395">
        <v>4.510045476339303</v>
      </c>
      <c r="E395">
        <v>21.888676832888901</v>
      </c>
      <c r="F395">
        <v>0.23</v>
      </c>
      <c r="G395">
        <v>10</v>
      </c>
      <c r="I395">
        <f>SMALL(SimData1!$B$9:$B$508,387)</f>
        <v>12.251661512188024</v>
      </c>
      <c r="J395">
        <f>1/(COUNT(SimData1!$B$9:$B$508)-1)+$J$394</f>
        <v>0.77354709418837742</v>
      </c>
      <c r="K395">
        <f>SMALL(SimData1!$C$9:$C$508,387)</f>
        <v>8.1771393387469331</v>
      </c>
      <c r="L395">
        <f>1/(COUNT(SimData1!$C$9:$C$508)-1)+$L$394</f>
        <v>0.77354709418837742</v>
      </c>
      <c r="M395">
        <f>SMALL(SimData1!$D$9:$D$508,387)</f>
        <v>11.732264212048673</v>
      </c>
      <c r="N395">
        <f>1/(COUNT(SimData1!$D$9:$D$508)-1)+$N$394</f>
        <v>0.77354709418837742</v>
      </c>
      <c r="O395">
        <f>SMALL(SimData1!$E$9:$E$508,387)</f>
        <v>22.868303948584138</v>
      </c>
      <c r="P395">
        <f>1/(COUNT(SimData1!$E$9:$E$508)-1)+$P$394</f>
        <v>0.77354709418837742</v>
      </c>
      <c r="Q395">
        <f>SMALL(SimData1!$F$9:$F$508,387)</f>
        <v>0.23</v>
      </c>
      <c r="R395">
        <f>1/(COUNT(SimData1!$F$9:$F$508)-1)+$R$394</f>
        <v>0.77354709418837742</v>
      </c>
      <c r="S395">
        <f>SMALL(SimData1!$G$9:$G$508,387)</f>
        <v>10</v>
      </c>
      <c r="T395">
        <f>1/(COUNT(SimData1!$G$9:$G$508)-1)+$T$394</f>
        <v>0.77354709418837742</v>
      </c>
    </row>
    <row r="396" spans="1:20">
      <c r="A396">
        <v>388</v>
      </c>
      <c r="B396">
        <v>7.8007262943087801</v>
      </c>
      <c r="C396">
        <v>7.8939689745507131</v>
      </c>
      <c r="D396">
        <v>5.0820005909842445</v>
      </c>
      <c r="E396">
        <v>23.923706892193241</v>
      </c>
      <c r="F396">
        <v>0.23</v>
      </c>
      <c r="G396">
        <v>6</v>
      </c>
      <c r="I396">
        <f>SMALL(SimData1!$B$9:$B$508,388)</f>
        <v>12.274926108892572</v>
      </c>
      <c r="J396">
        <f>1/(COUNT(SimData1!$B$9:$B$508)-1)+$J$395</f>
        <v>0.77555110220440948</v>
      </c>
      <c r="K396">
        <f>SMALL(SimData1!$C$9:$C$508,388)</f>
        <v>8.1937767916884674</v>
      </c>
      <c r="L396">
        <f>1/(COUNT(SimData1!$C$9:$C$508)-1)+$L$395</f>
        <v>0.77555110220440948</v>
      </c>
      <c r="M396">
        <f>SMALL(SimData1!$D$9:$D$508,388)</f>
        <v>11.824681206343854</v>
      </c>
      <c r="N396">
        <f>1/(COUNT(SimData1!$D$9:$D$508)-1)+$N$395</f>
        <v>0.77555110220440948</v>
      </c>
      <c r="O396">
        <f>SMALL(SimData1!$E$9:$E$508,388)</f>
        <v>22.872269948802046</v>
      </c>
      <c r="P396">
        <f>1/(COUNT(SimData1!$E$9:$E$508)-1)+$P$395</f>
        <v>0.77555110220440948</v>
      </c>
      <c r="Q396">
        <f>SMALL(SimData1!$F$9:$F$508,388)</f>
        <v>0.23</v>
      </c>
      <c r="R396">
        <f>1/(COUNT(SimData1!$F$9:$F$508)-1)+$R$395</f>
        <v>0.77555110220440948</v>
      </c>
      <c r="S396">
        <f>SMALL(SimData1!$G$9:$G$508,388)</f>
        <v>10</v>
      </c>
      <c r="T396">
        <f>1/(COUNT(SimData1!$G$9:$G$508)-1)+$T$395</f>
        <v>0.77555110220440948</v>
      </c>
    </row>
    <row r="397" spans="1:20">
      <c r="A397">
        <v>389</v>
      </c>
      <c r="B397">
        <v>9.2541651514923018</v>
      </c>
      <c r="C397">
        <v>4.1819468992813373</v>
      </c>
      <c r="D397">
        <v>13.014213140584115</v>
      </c>
      <c r="E397">
        <v>-0.45325409954857521</v>
      </c>
      <c r="F397">
        <v>0.23</v>
      </c>
      <c r="G397">
        <v>12</v>
      </c>
      <c r="I397">
        <f>SMALL(SimData1!$B$9:$B$508,389)</f>
        <v>12.286711862296038</v>
      </c>
      <c r="J397">
        <f>1/(COUNT(SimData1!$B$9:$B$508)-1)+$J$396</f>
        <v>0.77755511022044155</v>
      </c>
      <c r="K397">
        <f>SMALL(SimData1!$C$9:$C$508,389)</f>
        <v>8.209309129879184</v>
      </c>
      <c r="L397">
        <f>1/(COUNT(SimData1!$C$9:$C$508)-1)+$L$396</f>
        <v>0.77755511022044155</v>
      </c>
      <c r="M397">
        <f>SMALL(SimData1!$D$9:$D$508,389)</f>
        <v>11.849741993461208</v>
      </c>
      <c r="N397">
        <f>1/(COUNT(SimData1!$D$9:$D$508)-1)+$N$396</f>
        <v>0.77755511022044155</v>
      </c>
      <c r="O397">
        <f>SMALL(SimData1!$E$9:$E$508,389)</f>
        <v>22.889745348211061</v>
      </c>
      <c r="P397">
        <f>1/(COUNT(SimData1!$E$9:$E$508)-1)+$P$396</f>
        <v>0.77755511022044155</v>
      </c>
      <c r="Q397">
        <f>SMALL(SimData1!$F$9:$F$508,389)</f>
        <v>0.23</v>
      </c>
      <c r="R397">
        <f>1/(COUNT(SimData1!$F$9:$F$508)-1)+$R$396</f>
        <v>0.77755511022044155</v>
      </c>
      <c r="S397">
        <f>SMALL(SimData1!$G$9:$G$508,389)</f>
        <v>10</v>
      </c>
      <c r="T397">
        <f>1/(COUNT(SimData1!$G$9:$G$508)-1)+$T$396</f>
        <v>0.77755511022044155</v>
      </c>
    </row>
    <row r="398" spans="1:20">
      <c r="A398">
        <v>390</v>
      </c>
      <c r="B398">
        <v>9.7681833610217996</v>
      </c>
      <c r="C398">
        <v>7.6064753161125065</v>
      </c>
      <c r="D398">
        <v>6.4309569044203858</v>
      </c>
      <c r="E398">
        <v>23.53596769635195</v>
      </c>
      <c r="F398">
        <v>0.23</v>
      </c>
      <c r="G398">
        <v>6</v>
      </c>
      <c r="I398">
        <f>SMALL(SimData1!$B$9:$B$508,390)</f>
        <v>12.309083542940048</v>
      </c>
      <c r="J398">
        <f>1/(COUNT(SimData1!$B$9:$B$508)-1)+$J$397</f>
        <v>0.77955911823647361</v>
      </c>
      <c r="K398">
        <f>SMALL(SimData1!$C$9:$C$508,390)</f>
        <v>8.2328588534502458</v>
      </c>
      <c r="L398">
        <f>1/(COUNT(SimData1!$C$9:$C$508)-1)+$L$397</f>
        <v>0.77955911823647361</v>
      </c>
      <c r="M398">
        <f>SMALL(SimData1!$D$9:$D$508,390)</f>
        <v>11.937146556386988</v>
      </c>
      <c r="N398">
        <f>1/(COUNT(SimData1!$D$9:$D$508)-1)+$N$397</f>
        <v>0.77955911823647361</v>
      </c>
      <c r="O398">
        <f>SMALL(SimData1!$E$9:$E$508,390)</f>
        <v>22.898208069012327</v>
      </c>
      <c r="P398">
        <f>1/(COUNT(SimData1!$E$9:$E$508)-1)+$P$397</f>
        <v>0.77955911823647361</v>
      </c>
      <c r="Q398">
        <f>SMALL(SimData1!$F$9:$F$508,390)</f>
        <v>0.23</v>
      </c>
      <c r="R398">
        <f>1/(COUNT(SimData1!$F$9:$F$508)-1)+$R$397</f>
        <v>0.77955911823647361</v>
      </c>
      <c r="S398">
        <f>SMALL(SimData1!$G$9:$G$508,390)</f>
        <v>10</v>
      </c>
      <c r="T398">
        <f>1/(COUNT(SimData1!$G$9:$G$508)-1)+$T$397</f>
        <v>0.77955911823647361</v>
      </c>
    </row>
    <row r="399" spans="1:20">
      <c r="A399">
        <v>391</v>
      </c>
      <c r="B399">
        <v>6.1420892397111864</v>
      </c>
      <c r="C399">
        <v>2.9308248041725777</v>
      </c>
      <c r="D399">
        <v>2.2483662824594335</v>
      </c>
      <c r="E399">
        <v>-0.4627177362532493</v>
      </c>
      <c r="F399">
        <v>0.23</v>
      </c>
      <c r="G399">
        <v>10</v>
      </c>
      <c r="I399">
        <f>SMALL(SimData1!$B$9:$B$508,391)</f>
        <v>12.326051483756949</v>
      </c>
      <c r="J399">
        <f>1/(COUNT(SimData1!$B$9:$B$508)-1)+$J$398</f>
        <v>0.78156312625250568</v>
      </c>
      <c r="K399">
        <f>SMALL(SimData1!$C$9:$C$508,391)</f>
        <v>8.2547941300270136</v>
      </c>
      <c r="L399">
        <f>1/(COUNT(SimData1!$C$9:$C$508)-1)+$L$398</f>
        <v>0.78156312625250568</v>
      </c>
      <c r="M399">
        <f>SMALL(SimData1!$D$9:$D$508,391)</f>
        <v>12.003230854387215</v>
      </c>
      <c r="N399">
        <f>1/(COUNT(SimData1!$D$9:$D$508)-1)+$N$398</f>
        <v>0.78156312625250568</v>
      </c>
      <c r="O399">
        <f>SMALL(SimData1!$E$9:$E$508,391)</f>
        <v>22.902397172880434</v>
      </c>
      <c r="P399">
        <f>1/(COUNT(SimData1!$E$9:$E$508)-1)+$P$398</f>
        <v>0.78156312625250568</v>
      </c>
      <c r="Q399">
        <f>SMALL(SimData1!$F$9:$F$508,391)</f>
        <v>0.23</v>
      </c>
      <c r="R399">
        <f>1/(COUNT(SimData1!$F$9:$F$508)-1)+$R$398</f>
        <v>0.78156312625250568</v>
      </c>
      <c r="S399">
        <f>SMALL(SimData1!$G$9:$G$508,391)</f>
        <v>10</v>
      </c>
      <c r="T399">
        <f>1/(COUNT(SimData1!$G$9:$G$508)-1)+$T$398</f>
        <v>0.78156312625250568</v>
      </c>
    </row>
    <row r="400" spans="1:20">
      <c r="A400">
        <v>392</v>
      </c>
      <c r="B400">
        <v>11.486778390723094</v>
      </c>
      <c r="C400">
        <v>2.219302807218233</v>
      </c>
      <c r="D400">
        <v>2.4786828632947717</v>
      </c>
      <c r="E400">
        <v>22.999444579395668</v>
      </c>
      <c r="F400">
        <v>0.23</v>
      </c>
      <c r="G400">
        <v>6</v>
      </c>
      <c r="I400">
        <f>SMALL(SimData1!$B$9:$B$508,392)</f>
        <v>12.346227015216048</v>
      </c>
      <c r="J400">
        <f>1/(COUNT(SimData1!$B$9:$B$508)-1)+$J$399</f>
        <v>0.78356713426853775</v>
      </c>
      <c r="K400">
        <f>SMALL(SimData1!$C$9:$C$508,392)</f>
        <v>8.2681688376991467</v>
      </c>
      <c r="L400">
        <f>1/(COUNT(SimData1!$C$9:$C$508)-1)+$L$399</f>
        <v>0.78356713426853775</v>
      </c>
      <c r="M400">
        <f>SMALL(SimData1!$D$9:$D$508,392)</f>
        <v>12.055657286845069</v>
      </c>
      <c r="N400">
        <f>1/(COUNT(SimData1!$D$9:$D$508)-1)+$N$399</f>
        <v>0.78356713426853775</v>
      </c>
      <c r="O400">
        <f>SMALL(SimData1!$E$9:$E$508,392)</f>
        <v>22.919587352615551</v>
      </c>
      <c r="P400">
        <f>1/(COUNT(SimData1!$E$9:$E$508)-1)+$P$399</f>
        <v>0.78356713426853775</v>
      </c>
      <c r="Q400">
        <f>SMALL(SimData1!$F$9:$F$508,392)</f>
        <v>0.23</v>
      </c>
      <c r="R400">
        <f>1/(COUNT(SimData1!$F$9:$F$508)-1)+$R$399</f>
        <v>0.78356713426853775</v>
      </c>
      <c r="S400">
        <f>SMALL(SimData1!$G$9:$G$508,392)</f>
        <v>10</v>
      </c>
      <c r="T400">
        <f>1/(COUNT(SimData1!$G$9:$G$508)-1)+$T$399</f>
        <v>0.78356713426853775</v>
      </c>
    </row>
    <row r="401" spans="1:20">
      <c r="A401">
        <v>393</v>
      </c>
      <c r="B401">
        <v>8.5387602724146365</v>
      </c>
      <c r="C401">
        <v>7.6966330521443469</v>
      </c>
      <c r="D401">
        <v>2.3874575401515368</v>
      </c>
      <c r="E401">
        <v>22.411257763295225</v>
      </c>
      <c r="F401">
        <v>0.23</v>
      </c>
      <c r="G401">
        <v>12</v>
      </c>
      <c r="I401">
        <f>SMALL(SimData1!$B$9:$B$508,393)</f>
        <v>12.373134901516739</v>
      </c>
      <c r="J401">
        <f>1/(COUNT(SimData1!$B$9:$B$508)-1)+$J$400</f>
        <v>0.78557114228456981</v>
      </c>
      <c r="K401">
        <f>SMALL(SimData1!$C$9:$C$508,393)</f>
        <v>8.2847090908057783</v>
      </c>
      <c r="L401">
        <f>1/(COUNT(SimData1!$C$9:$C$508)-1)+$L$400</f>
        <v>0.78557114228456981</v>
      </c>
      <c r="M401">
        <f>SMALL(SimData1!$D$9:$D$508,393)</f>
        <v>12.135822229098487</v>
      </c>
      <c r="N401">
        <f>1/(COUNT(SimData1!$D$9:$D$508)-1)+$N$400</f>
        <v>0.78557114228456981</v>
      </c>
      <c r="O401">
        <f>SMALL(SimData1!$E$9:$E$508,393)</f>
        <v>22.927012247168438</v>
      </c>
      <c r="P401">
        <f>1/(COUNT(SimData1!$E$9:$E$508)-1)+$P$400</f>
        <v>0.78557114228456981</v>
      </c>
      <c r="Q401">
        <f>SMALL(SimData1!$F$9:$F$508,393)</f>
        <v>0.23</v>
      </c>
      <c r="R401">
        <f>1/(COUNT(SimData1!$F$9:$F$508)-1)+$R$400</f>
        <v>0.78557114228456981</v>
      </c>
      <c r="S401">
        <f>SMALL(SimData1!$G$9:$G$508,393)</f>
        <v>10</v>
      </c>
      <c r="T401">
        <f>1/(COUNT(SimData1!$G$9:$G$508)-1)+$T$400</f>
        <v>0.78557114228456981</v>
      </c>
    </row>
    <row r="402" spans="1:20">
      <c r="A402">
        <v>394</v>
      </c>
      <c r="B402">
        <v>10.7275973942095</v>
      </c>
      <c r="C402">
        <v>3.7740089494767619</v>
      </c>
      <c r="D402">
        <v>10.02656849452913</v>
      </c>
      <c r="E402">
        <v>23.249871388806085</v>
      </c>
      <c r="F402">
        <v>0.23</v>
      </c>
      <c r="G402">
        <v>4</v>
      </c>
      <c r="I402">
        <f>SMALL(SimData1!$B$9:$B$508,394)</f>
        <v>12.379199827904852</v>
      </c>
      <c r="J402">
        <f>1/(COUNT(SimData1!$B$9:$B$508)-1)+$J$401</f>
        <v>0.78757515030060188</v>
      </c>
      <c r="K402">
        <f>SMALL(SimData1!$C$9:$C$508,394)</f>
        <v>8.292458439112746</v>
      </c>
      <c r="L402">
        <f>1/(COUNT(SimData1!$C$9:$C$508)-1)+$L$401</f>
        <v>0.78757515030060188</v>
      </c>
      <c r="M402">
        <f>SMALL(SimData1!$D$9:$D$508,394)</f>
        <v>12.160779311614291</v>
      </c>
      <c r="N402">
        <f>1/(COUNT(SimData1!$D$9:$D$508)-1)+$N$401</f>
        <v>0.78757515030060188</v>
      </c>
      <c r="O402">
        <f>SMALL(SimData1!$E$9:$E$508,394)</f>
        <v>22.938906827872952</v>
      </c>
      <c r="P402">
        <f>1/(COUNT(SimData1!$E$9:$E$508)-1)+$P$401</f>
        <v>0.78757515030060188</v>
      </c>
      <c r="Q402">
        <f>SMALL(SimData1!$F$9:$F$508,394)</f>
        <v>0.23</v>
      </c>
      <c r="R402">
        <f>1/(COUNT(SimData1!$F$9:$F$508)-1)+$R$401</f>
        <v>0.78757515030060188</v>
      </c>
      <c r="S402">
        <f>SMALL(SimData1!$G$9:$G$508,394)</f>
        <v>10</v>
      </c>
      <c r="T402">
        <f>1/(COUNT(SimData1!$G$9:$G$508)-1)+$T$401</f>
        <v>0.78757515030060188</v>
      </c>
    </row>
    <row r="403" spans="1:20">
      <c r="A403">
        <v>395</v>
      </c>
      <c r="B403">
        <v>12.612825520187322</v>
      </c>
      <c r="C403">
        <v>2.8730280890262287</v>
      </c>
      <c r="D403">
        <v>18.935064441397568</v>
      </c>
      <c r="E403">
        <v>-1.1461659036242113</v>
      </c>
      <c r="F403">
        <v>0.23</v>
      </c>
      <c r="G403">
        <v>4</v>
      </c>
      <c r="I403">
        <f>SMALL(SimData1!$B$9:$B$508,395)</f>
        <v>12.40638547116788</v>
      </c>
      <c r="J403">
        <f>1/(COUNT(SimData1!$B$9:$B$508)-1)+$J$402</f>
        <v>0.78957915831663394</v>
      </c>
      <c r="K403">
        <f>SMALL(SimData1!$C$9:$C$508,395)</f>
        <v>8.3140047099352827</v>
      </c>
      <c r="L403">
        <f>1/(COUNT(SimData1!$C$9:$C$508)-1)+$L$402</f>
        <v>0.78957915831663394</v>
      </c>
      <c r="M403">
        <f>SMALL(SimData1!$D$9:$D$508,395)</f>
        <v>12.247275811694394</v>
      </c>
      <c r="N403">
        <f>1/(COUNT(SimData1!$D$9:$D$508)-1)+$N$402</f>
        <v>0.78957915831663394</v>
      </c>
      <c r="O403">
        <f>SMALL(SimData1!$E$9:$E$508,395)</f>
        <v>22.946277011920703</v>
      </c>
      <c r="P403">
        <f>1/(COUNT(SimData1!$E$9:$E$508)-1)+$P$402</f>
        <v>0.78957915831663394</v>
      </c>
      <c r="Q403">
        <f>SMALL(SimData1!$F$9:$F$508,395)</f>
        <v>0.23</v>
      </c>
      <c r="R403">
        <f>1/(COUNT(SimData1!$F$9:$F$508)-1)+$R$402</f>
        <v>0.78957915831663394</v>
      </c>
      <c r="S403">
        <f>SMALL(SimData1!$G$9:$G$508,395)</f>
        <v>10</v>
      </c>
      <c r="T403">
        <f>1/(COUNT(SimData1!$G$9:$G$508)-1)+$T$402</f>
        <v>0.78957915831663394</v>
      </c>
    </row>
    <row r="404" spans="1:20">
      <c r="A404">
        <v>396</v>
      </c>
      <c r="B404">
        <v>5.9203508405163987</v>
      </c>
      <c r="C404">
        <v>6.4886052119342157</v>
      </c>
      <c r="D404">
        <v>14.760224407251975</v>
      </c>
      <c r="E404">
        <v>22.517870903074819</v>
      </c>
      <c r="F404">
        <v>0.23</v>
      </c>
      <c r="G404">
        <v>4</v>
      </c>
      <c r="I404">
        <f>SMALL(SimData1!$B$9:$B$508,396)</f>
        <v>12.427197989752255</v>
      </c>
      <c r="J404">
        <f>1/(COUNT(SimData1!$B$9:$B$508)-1)+$J$403</f>
        <v>0.79158316633266601</v>
      </c>
      <c r="K404">
        <f>SMALL(SimData1!$C$9:$C$508,396)</f>
        <v>8.3215481993596878</v>
      </c>
      <c r="L404">
        <f>1/(COUNT(SimData1!$C$9:$C$508)-1)+$L$403</f>
        <v>0.79158316633266601</v>
      </c>
      <c r="M404">
        <f>SMALL(SimData1!$D$9:$D$508,396)</f>
        <v>12.329754485708136</v>
      </c>
      <c r="N404">
        <f>1/(COUNT(SimData1!$D$9:$D$508)-1)+$N$403</f>
        <v>0.79158316633266601</v>
      </c>
      <c r="O404">
        <f>SMALL(SimData1!$E$9:$E$508,396)</f>
        <v>22.951118521053036</v>
      </c>
      <c r="P404">
        <f>1/(COUNT(SimData1!$E$9:$E$508)-1)+$P$403</f>
        <v>0.79158316633266601</v>
      </c>
      <c r="Q404">
        <f>SMALL(SimData1!$F$9:$F$508,396)</f>
        <v>0.23</v>
      </c>
      <c r="R404">
        <f>1/(COUNT(SimData1!$F$9:$F$508)-1)+$R$403</f>
        <v>0.79158316633266601</v>
      </c>
      <c r="S404">
        <f>SMALL(SimData1!$G$9:$G$508,396)</f>
        <v>10</v>
      </c>
      <c r="T404">
        <f>1/(COUNT(SimData1!$G$9:$G$508)-1)+$T$403</f>
        <v>0.79158316633266601</v>
      </c>
    </row>
    <row r="405" spans="1:20">
      <c r="A405">
        <v>397</v>
      </c>
      <c r="B405">
        <v>10.466058089897381</v>
      </c>
      <c r="C405">
        <v>8.048504433658092</v>
      </c>
      <c r="D405">
        <v>7.1619517330364211</v>
      </c>
      <c r="E405">
        <v>-0.38500094629300219</v>
      </c>
      <c r="F405">
        <v>0.23</v>
      </c>
      <c r="G405">
        <v>6</v>
      </c>
      <c r="I405">
        <f>SMALL(SimData1!$B$9:$B$508,397)</f>
        <v>12.455952698903472</v>
      </c>
      <c r="J405">
        <f>1/(COUNT(SimData1!$B$9:$B$508)-1)+$J$404</f>
        <v>0.79358717434869808</v>
      </c>
      <c r="K405">
        <f>SMALL(SimData1!$C$9:$C$508,397)</f>
        <v>8.3476736984838897</v>
      </c>
      <c r="L405">
        <f>1/(COUNT(SimData1!$C$9:$C$508)-1)+$L$404</f>
        <v>0.79358717434869808</v>
      </c>
      <c r="M405">
        <f>SMALL(SimData1!$D$9:$D$508,397)</f>
        <v>12.383576597312366</v>
      </c>
      <c r="N405">
        <f>1/(COUNT(SimData1!$D$9:$D$508)-1)+$N$404</f>
        <v>0.79358717434869808</v>
      </c>
      <c r="O405">
        <f>SMALL(SimData1!$E$9:$E$508,397)</f>
        <v>22.968625292589216</v>
      </c>
      <c r="P405">
        <f>1/(COUNT(SimData1!$E$9:$E$508)-1)+$P$404</f>
        <v>0.79358717434869808</v>
      </c>
      <c r="Q405">
        <f>SMALL(SimData1!$F$9:$F$508,397)</f>
        <v>0.23</v>
      </c>
      <c r="R405">
        <f>1/(COUNT(SimData1!$F$9:$F$508)-1)+$R$404</f>
        <v>0.79358717434869808</v>
      </c>
      <c r="S405">
        <f>SMALL(SimData1!$G$9:$G$508,397)</f>
        <v>10</v>
      </c>
      <c r="T405">
        <f>1/(COUNT(SimData1!$G$9:$G$508)-1)+$T$404</f>
        <v>0.79358717434869808</v>
      </c>
    </row>
    <row r="406" spans="1:20">
      <c r="A406">
        <v>398</v>
      </c>
      <c r="B406">
        <v>10.877355821797904</v>
      </c>
      <c r="C406">
        <v>3.0652560850962196</v>
      </c>
      <c r="D406">
        <v>4.4436357442484322</v>
      </c>
      <c r="E406">
        <v>23.262048855453102</v>
      </c>
      <c r="F406">
        <v>0.23</v>
      </c>
      <c r="G406">
        <v>6</v>
      </c>
      <c r="I406">
        <f>SMALL(SimData1!$B$9:$B$508,398)</f>
        <v>12.469592024823164</v>
      </c>
      <c r="J406">
        <f>1/(COUNT(SimData1!$B$9:$B$508)-1)+$J$405</f>
        <v>0.79559118236473014</v>
      </c>
      <c r="K406">
        <f>SMALL(SimData1!$C$9:$C$508,398)</f>
        <v>8.353213494729534</v>
      </c>
      <c r="L406">
        <f>1/(COUNT(SimData1!$C$9:$C$508)-1)+$L$405</f>
        <v>0.79559118236473014</v>
      </c>
      <c r="M406">
        <f>SMALL(SimData1!$D$9:$D$508,398)</f>
        <v>12.417959315242701</v>
      </c>
      <c r="N406">
        <f>1/(COUNT(SimData1!$D$9:$D$508)-1)+$N$405</f>
        <v>0.79559118236473014</v>
      </c>
      <c r="O406">
        <f>SMALL(SimData1!$E$9:$E$508,398)</f>
        <v>22.979373154569956</v>
      </c>
      <c r="P406">
        <f>1/(COUNT(SimData1!$E$9:$E$508)-1)+$P$405</f>
        <v>0.79559118236473014</v>
      </c>
      <c r="Q406">
        <f>SMALL(SimData1!$F$9:$F$508,398)</f>
        <v>0.23</v>
      </c>
      <c r="R406">
        <f>1/(COUNT(SimData1!$F$9:$F$508)-1)+$R$405</f>
        <v>0.79559118236473014</v>
      </c>
      <c r="S406">
        <f>SMALL(SimData1!$G$9:$G$508,398)</f>
        <v>10</v>
      </c>
      <c r="T406">
        <f>1/(COUNT(SimData1!$G$9:$G$508)-1)+$T$405</f>
        <v>0.79559118236473014</v>
      </c>
    </row>
    <row r="407" spans="1:20">
      <c r="A407">
        <v>399</v>
      </c>
      <c r="B407">
        <v>12.346227015216048</v>
      </c>
      <c r="C407">
        <v>6.1842356707361139</v>
      </c>
      <c r="D407">
        <v>7.6660065542501403</v>
      </c>
      <c r="E407">
        <v>0.15780490388867974</v>
      </c>
      <c r="F407">
        <v>0.23</v>
      </c>
      <c r="G407">
        <v>4</v>
      </c>
      <c r="I407">
        <f>SMALL(SimData1!$B$9:$B$508,399)</f>
        <v>12.50033211893011</v>
      </c>
      <c r="J407">
        <f>1/(COUNT(SimData1!$B$9:$B$508)-1)+$J$406</f>
        <v>0.79759519038076221</v>
      </c>
      <c r="K407">
        <f>SMALL(SimData1!$C$9:$C$508,399)</f>
        <v>8.377505628029235</v>
      </c>
      <c r="L407">
        <f>1/(COUNT(SimData1!$C$9:$C$508)-1)+$L$406</f>
        <v>0.79759519038076221</v>
      </c>
      <c r="M407">
        <f>SMALL(SimData1!$D$9:$D$508,399)</f>
        <v>12.483166363972046</v>
      </c>
      <c r="N407">
        <f>1/(COUNT(SimData1!$D$9:$D$508)-1)+$N$406</f>
        <v>0.79759519038076221</v>
      </c>
      <c r="O407">
        <f>SMALL(SimData1!$E$9:$E$508,399)</f>
        <v>22.988402468510451</v>
      </c>
      <c r="P407">
        <f>1/(COUNT(SimData1!$E$9:$E$508)-1)+$P$406</f>
        <v>0.79759519038076221</v>
      </c>
      <c r="Q407">
        <f>SMALL(SimData1!$F$9:$F$508,399)</f>
        <v>0.23</v>
      </c>
      <c r="R407">
        <f>1/(COUNT(SimData1!$F$9:$F$508)-1)+$R$406</f>
        <v>0.79759519038076221</v>
      </c>
      <c r="S407">
        <f>SMALL(SimData1!$G$9:$G$508,399)</f>
        <v>10</v>
      </c>
      <c r="T407">
        <f>1/(COUNT(SimData1!$G$9:$G$508)-1)+$T$406</f>
        <v>0.79759519038076221</v>
      </c>
    </row>
    <row r="408" spans="1:20">
      <c r="A408">
        <v>400</v>
      </c>
      <c r="B408">
        <v>7.5724756822760266</v>
      </c>
      <c r="C408">
        <v>8.9453745213154185</v>
      </c>
      <c r="D408">
        <v>10.706359210441438</v>
      </c>
      <c r="E408">
        <v>23.489972603679806</v>
      </c>
      <c r="F408">
        <v>0.23</v>
      </c>
      <c r="G408">
        <v>6</v>
      </c>
      <c r="I408">
        <f>SMALL(SimData1!$B$9:$B$508,400)</f>
        <v>12.520183966571949</v>
      </c>
      <c r="J408">
        <f>1/(COUNT(SimData1!$B$9:$B$508)-1)+$J$407</f>
        <v>0.79959919839679428</v>
      </c>
      <c r="K408">
        <f>SMALL(SimData1!$C$9:$C$508,400)</f>
        <v>8.3980163986193972</v>
      </c>
      <c r="L408">
        <f>1/(COUNT(SimData1!$C$9:$C$508)-1)+$L$407</f>
        <v>0.79959919839679428</v>
      </c>
      <c r="M408">
        <f>SMALL(SimData1!$D$9:$D$508,400)</f>
        <v>12.587934438896351</v>
      </c>
      <c r="N408">
        <f>1/(COUNT(SimData1!$D$9:$D$508)-1)+$N$407</f>
        <v>0.79959919839679428</v>
      </c>
      <c r="O408">
        <f>SMALL(SimData1!$E$9:$E$508,400)</f>
        <v>22.999444579395668</v>
      </c>
      <c r="P408">
        <f>1/(COUNT(SimData1!$E$9:$E$508)-1)+$P$407</f>
        <v>0.79959919839679428</v>
      </c>
      <c r="Q408">
        <f>SMALL(SimData1!$F$9:$F$508,400)</f>
        <v>0.23</v>
      </c>
      <c r="R408">
        <f>1/(COUNT(SimData1!$F$9:$F$508)-1)+$R$407</f>
        <v>0.79959919839679428</v>
      </c>
      <c r="S408">
        <f>SMALL(SimData1!$G$9:$G$508,400)</f>
        <v>10</v>
      </c>
      <c r="T408">
        <f>1/(COUNT(SimData1!$G$9:$G$508)-1)+$T$407</f>
        <v>0.79959919839679428</v>
      </c>
    </row>
    <row r="409" spans="1:20">
      <c r="A409">
        <v>401</v>
      </c>
      <c r="B409">
        <v>8.3669615105954733</v>
      </c>
      <c r="C409">
        <v>4.1324708563956598</v>
      </c>
      <c r="D409">
        <v>16.635551626623503</v>
      </c>
      <c r="E409">
        <v>22.057321611768469</v>
      </c>
      <c r="F409">
        <v>0.23</v>
      </c>
      <c r="G409">
        <v>12</v>
      </c>
      <c r="I409">
        <f>SMALL(SimData1!$B$9:$B$508,401)</f>
        <v>12.544431321600543</v>
      </c>
      <c r="J409">
        <f>1/(COUNT(SimData1!$B$9:$B$508)-1)+$J$408</f>
        <v>0.80160320641282634</v>
      </c>
      <c r="K409">
        <f>SMALL(SimData1!$C$9:$C$508,401)</f>
        <v>8.4056226085474766</v>
      </c>
      <c r="L409">
        <f>1/(COUNT(SimData1!$C$9:$C$508)-1)+$L$408</f>
        <v>0.80160320641282634</v>
      </c>
      <c r="M409">
        <f>SMALL(SimData1!$D$9:$D$508,401)</f>
        <v>12.662110235020076</v>
      </c>
      <c r="N409">
        <f>1/(COUNT(SimData1!$D$9:$D$508)-1)+$N$408</f>
        <v>0.80160320641282634</v>
      </c>
      <c r="O409">
        <f>SMALL(SimData1!$E$9:$E$508,401)</f>
        <v>23.003260829106413</v>
      </c>
      <c r="P409">
        <f>1/(COUNT(SimData1!$E$9:$E$508)-1)+$P$408</f>
        <v>0.80160320641282634</v>
      </c>
      <c r="Q409">
        <f>SMALL(SimData1!$F$9:$F$508,401)</f>
        <v>0.23</v>
      </c>
      <c r="R409">
        <f>1/(COUNT(SimData1!$F$9:$F$508)-1)+$R$408</f>
        <v>0.80160320641282634</v>
      </c>
      <c r="S409">
        <f>SMALL(SimData1!$G$9:$G$508,401)</f>
        <v>10</v>
      </c>
      <c r="T409">
        <f>1/(COUNT(SimData1!$G$9:$G$508)-1)+$T$408</f>
        <v>0.80160320641282634</v>
      </c>
    </row>
    <row r="410" spans="1:20">
      <c r="A410">
        <v>402</v>
      </c>
      <c r="B410">
        <v>14.972449592575899</v>
      </c>
      <c r="C410">
        <v>5.6509686880751904</v>
      </c>
      <c r="D410">
        <v>17.366771571539054</v>
      </c>
      <c r="E410">
        <v>21.869846127232762</v>
      </c>
      <c r="F410">
        <v>0.23</v>
      </c>
      <c r="G410">
        <v>4</v>
      </c>
      <c r="I410">
        <f>SMALL(SimData1!$B$9:$B$508,402)</f>
        <v>12.548563078359415</v>
      </c>
      <c r="J410">
        <f>1/(COUNT(SimData1!$B$9:$B$508)-1)+$J$409</f>
        <v>0.80360721442885841</v>
      </c>
      <c r="K410">
        <f>SMALL(SimData1!$C$9:$C$508,402)</f>
        <v>8.4283780134945125</v>
      </c>
      <c r="L410">
        <f>1/(COUNT(SimData1!$C$9:$C$508)-1)+$L$409</f>
        <v>0.80360721442885841</v>
      </c>
      <c r="M410">
        <f>SMALL(SimData1!$D$9:$D$508,402)</f>
        <v>12.715535705861527</v>
      </c>
      <c r="N410">
        <f>1/(COUNT(SimData1!$D$9:$D$508)-1)+$N$409</f>
        <v>0.80360721442885841</v>
      </c>
      <c r="O410">
        <f>SMALL(SimData1!$E$9:$E$508,402)</f>
        <v>23.014944025190605</v>
      </c>
      <c r="P410">
        <f>1/(COUNT(SimData1!$E$9:$E$508)-1)+$P$409</f>
        <v>0.80360721442885841</v>
      </c>
      <c r="Q410">
        <f>SMALL(SimData1!$F$9:$F$508,402)</f>
        <v>0.23</v>
      </c>
      <c r="R410">
        <f>1/(COUNT(SimData1!$F$9:$F$508)-1)+$R$409</f>
        <v>0.80360721442885841</v>
      </c>
      <c r="S410">
        <f>SMALL(SimData1!$G$9:$G$508,402)</f>
        <v>10</v>
      </c>
      <c r="T410">
        <f>1/(COUNT(SimData1!$G$9:$G$508)-1)+$T$409</f>
        <v>0.80360721442885841</v>
      </c>
    </row>
    <row r="411" spans="1:20">
      <c r="A411">
        <v>403</v>
      </c>
      <c r="B411">
        <v>9.489703030094482</v>
      </c>
      <c r="C411">
        <v>4.3990542608311056</v>
      </c>
      <c r="D411">
        <v>10.113263958508444</v>
      </c>
      <c r="E411">
        <v>22.236071905483062</v>
      </c>
      <c r="F411">
        <v>0.23</v>
      </c>
      <c r="G411">
        <v>6</v>
      </c>
      <c r="I411">
        <f>SMALL(SimData1!$B$9:$B$508,403)</f>
        <v>12.575861745128083</v>
      </c>
      <c r="J411">
        <f>1/(COUNT(SimData1!$B$9:$B$508)-1)+$J$410</f>
        <v>0.80561122244489047</v>
      </c>
      <c r="K411">
        <f>SMALL(SimData1!$C$9:$C$508,403)</f>
        <v>8.4450348837666773</v>
      </c>
      <c r="L411">
        <f>1/(COUNT(SimData1!$C$9:$C$508)-1)+$L$410</f>
        <v>0.80561122244489047</v>
      </c>
      <c r="M411">
        <f>SMALL(SimData1!$D$9:$D$508,403)</f>
        <v>12.778529889893377</v>
      </c>
      <c r="N411">
        <f>1/(COUNT(SimData1!$D$9:$D$508)-1)+$N$410</f>
        <v>0.80561122244489047</v>
      </c>
      <c r="O411">
        <f>SMALL(SimData1!$E$9:$E$508,403)</f>
        <v>23.020006682957089</v>
      </c>
      <c r="P411">
        <f>1/(COUNT(SimData1!$E$9:$E$508)-1)+$P$410</f>
        <v>0.80561122244489047</v>
      </c>
      <c r="Q411">
        <f>SMALL(SimData1!$F$9:$F$508,403)</f>
        <v>0.23</v>
      </c>
      <c r="R411">
        <f>1/(COUNT(SimData1!$F$9:$F$508)-1)+$R$410</f>
        <v>0.80561122244489047</v>
      </c>
      <c r="S411">
        <f>SMALL(SimData1!$G$9:$G$508,403)</f>
        <v>10</v>
      </c>
      <c r="T411">
        <f>1/(COUNT(SimData1!$G$9:$G$508)-1)+$T$410</f>
        <v>0.80561122244489047</v>
      </c>
    </row>
    <row r="412" spans="1:20">
      <c r="A412">
        <v>404</v>
      </c>
      <c r="B412">
        <v>11.60167805321751</v>
      </c>
      <c r="C412">
        <v>6.2785394267678587</v>
      </c>
      <c r="D412">
        <v>2.1705426293915471</v>
      </c>
      <c r="E412">
        <v>-0.24172222633360119</v>
      </c>
      <c r="F412">
        <v>0.23</v>
      </c>
      <c r="G412">
        <v>4</v>
      </c>
      <c r="I412">
        <f>SMALL(SimData1!$B$9:$B$508,404)</f>
        <v>12.593779085732345</v>
      </c>
      <c r="J412">
        <f>1/(COUNT(SimData1!$B$9:$B$508)-1)+$J$411</f>
        <v>0.80761523046092254</v>
      </c>
      <c r="K412">
        <f>SMALL(SimData1!$C$9:$C$508,404)</f>
        <v>8.4591335285704439</v>
      </c>
      <c r="L412">
        <f>1/(COUNT(SimData1!$C$9:$C$508)-1)+$L$411</f>
        <v>0.80761523046092254</v>
      </c>
      <c r="M412">
        <f>SMALL(SimData1!$D$9:$D$508,404)</f>
        <v>12.849754659546946</v>
      </c>
      <c r="N412">
        <f>1/(COUNT(SimData1!$D$9:$D$508)-1)+$N$411</f>
        <v>0.80761523046092254</v>
      </c>
      <c r="O412">
        <f>SMALL(SimData1!$E$9:$E$508,404)</f>
        <v>23.034979945538705</v>
      </c>
      <c r="P412">
        <f>1/(COUNT(SimData1!$E$9:$E$508)-1)+$P$411</f>
        <v>0.80761523046092254</v>
      </c>
      <c r="Q412">
        <f>SMALL(SimData1!$F$9:$F$508,404)</f>
        <v>0.23</v>
      </c>
      <c r="R412">
        <f>1/(COUNT(SimData1!$F$9:$F$508)-1)+$R$411</f>
        <v>0.80761523046092254</v>
      </c>
      <c r="S412">
        <f>SMALL(SimData1!$G$9:$G$508,404)</f>
        <v>10</v>
      </c>
      <c r="T412">
        <f>1/(COUNT(SimData1!$G$9:$G$508)-1)+$T$411</f>
        <v>0.80761523046092254</v>
      </c>
    </row>
    <row r="413" spans="1:20">
      <c r="A413">
        <v>405</v>
      </c>
      <c r="B413">
        <v>8.8812673894292757</v>
      </c>
      <c r="C413">
        <v>8.0251954834110091</v>
      </c>
      <c r="D413">
        <v>11.674493081696912</v>
      </c>
      <c r="E413">
        <v>23.781366547030807</v>
      </c>
      <c r="F413">
        <v>0.23</v>
      </c>
      <c r="G413">
        <v>4</v>
      </c>
      <c r="I413">
        <f>SMALL(SimData1!$B$9:$B$508,405)</f>
        <v>12.612825520187322</v>
      </c>
      <c r="J413">
        <f>1/(COUNT(SimData1!$B$9:$B$508)-1)+$J$412</f>
        <v>0.80961923847695461</v>
      </c>
      <c r="K413">
        <f>SMALL(SimData1!$C$9:$C$508,405)</f>
        <v>8.4659777645957597</v>
      </c>
      <c r="L413">
        <f>1/(COUNT(SimData1!$C$9:$C$508)-1)+$L$412</f>
        <v>0.80961923847695461</v>
      </c>
      <c r="M413">
        <f>SMALL(SimData1!$D$9:$D$508,405)</f>
        <v>12.857869631395179</v>
      </c>
      <c r="N413">
        <f>1/(COUNT(SimData1!$D$9:$D$508)-1)+$N$412</f>
        <v>0.80961923847695461</v>
      </c>
      <c r="O413">
        <f>SMALL(SimData1!$E$9:$E$508,405)</f>
        <v>23.040825324018208</v>
      </c>
      <c r="P413">
        <f>1/(COUNT(SimData1!$E$9:$E$508)-1)+$P$412</f>
        <v>0.80961923847695461</v>
      </c>
      <c r="Q413">
        <f>SMALL(SimData1!$F$9:$F$508,405)</f>
        <v>0.23</v>
      </c>
      <c r="R413">
        <f>1/(COUNT(SimData1!$F$9:$F$508)-1)+$R$412</f>
        <v>0.80961923847695461</v>
      </c>
      <c r="S413">
        <f>SMALL(SimData1!$G$9:$G$508,405)</f>
        <v>10</v>
      </c>
      <c r="T413">
        <f>1/(COUNT(SimData1!$G$9:$G$508)-1)+$T$412</f>
        <v>0.80961923847695461</v>
      </c>
    </row>
    <row r="414" spans="1:20">
      <c r="A414">
        <v>406</v>
      </c>
      <c r="B414">
        <v>12.675576546216679</v>
      </c>
      <c r="C414">
        <v>5.1889962605435862</v>
      </c>
      <c r="D414">
        <v>2.3254002207399811</v>
      </c>
      <c r="E414">
        <v>-0.43689963483005578</v>
      </c>
      <c r="F414">
        <v>0.23</v>
      </c>
      <c r="G414">
        <v>6</v>
      </c>
      <c r="I414">
        <f>SMALL(SimData1!$B$9:$B$508,406)</f>
        <v>12.649460490406272</v>
      </c>
      <c r="J414">
        <f>1/(COUNT(SimData1!$B$9:$B$508)-1)+$J$413</f>
        <v>0.81162324649298667</v>
      </c>
      <c r="K414">
        <f>SMALL(SimData1!$C$9:$C$508,406)</f>
        <v>8.4831020990803605</v>
      </c>
      <c r="L414">
        <f>1/(COUNT(SimData1!$C$9:$C$508)-1)+$L$413</f>
        <v>0.81162324649298667</v>
      </c>
      <c r="M414">
        <f>SMALL(SimData1!$D$9:$D$508,406)</f>
        <v>12.962346109772646</v>
      </c>
      <c r="N414">
        <f>1/(COUNT(SimData1!$D$9:$D$508)-1)+$N$413</f>
        <v>0.81162324649298667</v>
      </c>
      <c r="O414">
        <f>SMALL(SimData1!$E$9:$E$508,406)</f>
        <v>23.052687936802894</v>
      </c>
      <c r="P414">
        <f>1/(COUNT(SimData1!$E$9:$E$508)-1)+$P$413</f>
        <v>0.81162324649298667</v>
      </c>
      <c r="Q414">
        <f>SMALL(SimData1!$F$9:$F$508,406)</f>
        <v>0.23</v>
      </c>
      <c r="R414">
        <f>1/(COUNT(SimData1!$F$9:$F$508)-1)+$R$413</f>
        <v>0.81162324649298667</v>
      </c>
      <c r="S414">
        <f>SMALL(SimData1!$G$9:$G$508,406)</f>
        <v>10</v>
      </c>
      <c r="T414">
        <f>1/(COUNT(SimData1!$G$9:$G$508)-1)+$T$413</f>
        <v>0.81162324649298667</v>
      </c>
    </row>
    <row r="415" spans="1:20">
      <c r="A415">
        <v>407</v>
      </c>
      <c r="B415">
        <v>7.8253632680617109</v>
      </c>
      <c r="C415">
        <v>8.608060644362137</v>
      </c>
      <c r="D415">
        <v>2.1003137238445491</v>
      </c>
      <c r="E415">
        <v>23.69674918867873</v>
      </c>
      <c r="F415">
        <v>0.23</v>
      </c>
      <c r="G415">
        <v>12</v>
      </c>
      <c r="I415">
        <f>SMALL(SimData1!$B$9:$B$508,407)</f>
        <v>12.675576546216679</v>
      </c>
      <c r="J415">
        <f>1/(COUNT(SimData1!$B$9:$B$508)-1)+$J$414</f>
        <v>0.81362725450901874</v>
      </c>
      <c r="K415">
        <f>SMALL(SimData1!$C$9:$C$508,407)</f>
        <v>8.5109457553622647</v>
      </c>
      <c r="L415">
        <f>1/(COUNT(SimData1!$C$9:$C$508)-1)+$L$414</f>
        <v>0.81362725450901874</v>
      </c>
      <c r="M415">
        <f>SMALL(SimData1!$D$9:$D$508,407)</f>
        <v>13.014213140584115</v>
      </c>
      <c r="N415">
        <f>1/(COUNT(SimData1!$D$9:$D$508)-1)+$N$414</f>
        <v>0.81362725450901874</v>
      </c>
      <c r="O415">
        <f>SMALL(SimData1!$E$9:$E$508,407)</f>
        <v>23.064037030377577</v>
      </c>
      <c r="P415">
        <f>1/(COUNT(SimData1!$E$9:$E$508)-1)+$P$414</f>
        <v>0.81362725450901874</v>
      </c>
      <c r="Q415">
        <f>SMALL(SimData1!$F$9:$F$508,407)</f>
        <v>0.23</v>
      </c>
      <c r="R415">
        <f>1/(COUNT(SimData1!$F$9:$F$508)-1)+$R$414</f>
        <v>0.81362725450901874</v>
      </c>
      <c r="S415">
        <f>SMALL(SimData1!$G$9:$G$508,407)</f>
        <v>10</v>
      </c>
      <c r="T415">
        <f>1/(COUNT(SimData1!$G$9:$G$508)-1)+$T$414</f>
        <v>0.81362725450901874</v>
      </c>
    </row>
    <row r="416" spans="1:20">
      <c r="A416">
        <v>408</v>
      </c>
      <c r="B416">
        <v>11.90087799716971</v>
      </c>
      <c r="C416">
        <v>3.0391858907749842</v>
      </c>
      <c r="D416">
        <v>5.8925103316243064</v>
      </c>
      <c r="E416">
        <v>22.546791916439687</v>
      </c>
      <c r="F416">
        <v>0.23</v>
      </c>
      <c r="G416">
        <v>4</v>
      </c>
      <c r="I416">
        <f>SMALL(SimData1!$B$9:$B$508,408)</f>
        <v>12.699767377584099</v>
      </c>
      <c r="J416">
        <f>1/(COUNT(SimData1!$B$9:$B$508)-1)+$J$415</f>
        <v>0.8156312625250508</v>
      </c>
      <c r="K416">
        <f>SMALL(SimData1!$C$9:$C$508,408)</f>
        <v>8.5143911209708065</v>
      </c>
      <c r="L416">
        <f>1/(COUNT(SimData1!$C$9:$C$508)-1)+$L$415</f>
        <v>0.8156312625250508</v>
      </c>
      <c r="M416">
        <f>SMALL(SimData1!$D$9:$D$508,408)</f>
        <v>13.111422477230295</v>
      </c>
      <c r="N416">
        <f>1/(COUNT(SimData1!$D$9:$D$508)-1)+$N$415</f>
        <v>0.8156312625250508</v>
      </c>
      <c r="O416">
        <f>SMALL(SimData1!$E$9:$E$508,408)</f>
        <v>23.070969630673723</v>
      </c>
      <c r="P416">
        <f>1/(COUNT(SimData1!$E$9:$E$508)-1)+$P$415</f>
        <v>0.8156312625250508</v>
      </c>
      <c r="Q416">
        <f>SMALL(SimData1!$F$9:$F$508,408)</f>
        <v>0.23</v>
      </c>
      <c r="R416">
        <f>1/(COUNT(SimData1!$F$9:$F$508)-1)+$R$415</f>
        <v>0.8156312625250508</v>
      </c>
      <c r="S416">
        <f>SMALL(SimData1!$G$9:$G$508,408)</f>
        <v>10</v>
      </c>
      <c r="T416">
        <f>1/(COUNT(SimData1!$G$9:$G$508)-1)+$T$415</f>
        <v>0.8156312625250508</v>
      </c>
    </row>
    <row r="417" spans="1:20">
      <c r="A417">
        <v>409</v>
      </c>
      <c r="B417">
        <v>8.3767181469941558</v>
      </c>
      <c r="C417">
        <v>6.0732353075019168</v>
      </c>
      <c r="D417">
        <v>16.328150473762339</v>
      </c>
      <c r="E417">
        <v>22.181174039789891</v>
      </c>
      <c r="F417">
        <v>0.23</v>
      </c>
      <c r="G417">
        <v>6</v>
      </c>
      <c r="I417">
        <f>SMALL(SimData1!$B$9:$B$508,409)</f>
        <v>12.716404725437799</v>
      </c>
      <c r="J417">
        <f>1/(COUNT(SimData1!$B$9:$B$508)-1)+$J$416</f>
        <v>0.81763527054108287</v>
      </c>
      <c r="K417">
        <f>SMALL(SimData1!$C$9:$C$508,409)</f>
        <v>8.5434857174119649</v>
      </c>
      <c r="L417">
        <f>1/(COUNT(SimData1!$C$9:$C$508)-1)+$L$416</f>
        <v>0.81763527054108287</v>
      </c>
      <c r="M417">
        <f>SMALL(SimData1!$D$9:$D$508,409)</f>
        <v>13.117932190851761</v>
      </c>
      <c r="N417">
        <f>1/(COUNT(SimData1!$D$9:$D$508)-1)+$N$416</f>
        <v>0.81763527054108287</v>
      </c>
      <c r="O417">
        <f>SMALL(SimData1!$E$9:$E$508,409)</f>
        <v>23.086135649994567</v>
      </c>
      <c r="P417">
        <f>1/(COUNT(SimData1!$E$9:$E$508)-1)+$P$416</f>
        <v>0.81763527054108287</v>
      </c>
      <c r="Q417">
        <f>SMALL(SimData1!$F$9:$F$508,409)</f>
        <v>0.23</v>
      </c>
      <c r="R417">
        <f>1/(COUNT(SimData1!$F$9:$F$508)-1)+$R$416</f>
        <v>0.81763527054108287</v>
      </c>
      <c r="S417">
        <f>SMALL(SimData1!$G$9:$G$508,409)</f>
        <v>10</v>
      </c>
      <c r="T417">
        <f>1/(COUNT(SimData1!$G$9:$G$508)-1)+$T$416</f>
        <v>0.81763527054108287</v>
      </c>
    </row>
    <row r="418" spans="1:20">
      <c r="A418">
        <v>410</v>
      </c>
      <c r="B418">
        <v>11.344104753549711</v>
      </c>
      <c r="C418">
        <v>7.2841563426005083</v>
      </c>
      <c r="D418">
        <v>7.8778937328881335</v>
      </c>
      <c r="E418">
        <v>-1.4763245873125399</v>
      </c>
      <c r="F418">
        <v>0.23</v>
      </c>
      <c r="G418">
        <v>6</v>
      </c>
      <c r="I418">
        <f>SMALL(SimData1!$B$9:$B$508,410)</f>
        <v>12.741392051923597</v>
      </c>
      <c r="J418">
        <f>1/(COUNT(SimData1!$B$9:$B$508)-1)+$J$417</f>
        <v>0.81963927855711494</v>
      </c>
      <c r="K418">
        <f>SMALL(SimData1!$C$9:$C$508,410)</f>
        <v>8.5566551410026506</v>
      </c>
      <c r="L418">
        <f>1/(COUNT(SimData1!$C$9:$C$508)-1)+$L$417</f>
        <v>0.81963927855711494</v>
      </c>
      <c r="M418">
        <f>SMALL(SimData1!$D$9:$D$508,410)</f>
        <v>13.228963118654903</v>
      </c>
      <c r="N418">
        <f>1/(COUNT(SimData1!$D$9:$D$508)-1)+$N$417</f>
        <v>0.81963927855711494</v>
      </c>
      <c r="O418">
        <f>SMALL(SimData1!$E$9:$E$508,410)</f>
        <v>23.093625038314524</v>
      </c>
      <c r="P418">
        <f>1/(COUNT(SimData1!$E$9:$E$508)-1)+$P$417</f>
        <v>0.81963927855711494</v>
      </c>
      <c r="Q418">
        <f>SMALL(SimData1!$F$9:$F$508,410)</f>
        <v>0.23</v>
      </c>
      <c r="R418">
        <f>1/(COUNT(SimData1!$F$9:$F$508)-1)+$R$417</f>
        <v>0.81963927855711494</v>
      </c>
      <c r="S418">
        <f>SMALL(SimData1!$G$9:$G$508,410)</f>
        <v>10</v>
      </c>
      <c r="T418">
        <f>1/(COUNT(SimData1!$G$9:$G$508)-1)+$T$417</f>
        <v>0.81963927855711494</v>
      </c>
    </row>
    <row r="419" spans="1:20">
      <c r="A419">
        <v>411</v>
      </c>
      <c r="B419">
        <v>4.8163394916423394</v>
      </c>
      <c r="C419">
        <v>5.1462608893574826</v>
      </c>
      <c r="D419">
        <v>3.2686425251859808</v>
      </c>
      <c r="E419">
        <v>23.631276492760293</v>
      </c>
      <c r="F419">
        <v>0.23</v>
      </c>
      <c r="G419">
        <v>2</v>
      </c>
      <c r="I419">
        <f>SMALL(SimData1!$B$9:$B$508,411)</f>
        <v>12.754987487444176</v>
      </c>
      <c r="J419">
        <f>1/(COUNT(SimData1!$B$9:$B$508)-1)+$J$418</f>
        <v>0.821643286573147</v>
      </c>
      <c r="K419">
        <f>SMALL(SimData1!$C$9:$C$508,411)</f>
        <v>8.5656818638159145</v>
      </c>
      <c r="L419">
        <f>1/(COUNT(SimData1!$C$9:$C$508)-1)+$L$418</f>
        <v>0.821643286573147</v>
      </c>
      <c r="M419">
        <f>SMALL(SimData1!$D$9:$D$508,411)</f>
        <v>13.281582693333174</v>
      </c>
      <c r="N419">
        <f>1/(COUNT(SimData1!$D$9:$D$508)-1)+$N$418</f>
        <v>0.821643286573147</v>
      </c>
      <c r="O419">
        <f>SMALL(SimData1!$E$9:$E$508,411)</f>
        <v>23.108869860705823</v>
      </c>
      <c r="P419">
        <f>1/(COUNT(SimData1!$E$9:$E$508)-1)+$P$418</f>
        <v>0.821643286573147</v>
      </c>
      <c r="Q419">
        <f>SMALL(SimData1!$F$9:$F$508,411)</f>
        <v>0.23</v>
      </c>
      <c r="R419">
        <f>1/(COUNT(SimData1!$F$9:$F$508)-1)+$R$418</f>
        <v>0.821643286573147</v>
      </c>
      <c r="S419">
        <f>SMALL(SimData1!$G$9:$G$508,411)</f>
        <v>10</v>
      </c>
      <c r="T419">
        <f>1/(COUNT(SimData1!$G$9:$G$508)-1)+$T$418</f>
        <v>0.821643286573147</v>
      </c>
    </row>
    <row r="420" spans="1:20">
      <c r="A420">
        <v>412</v>
      </c>
      <c r="B420">
        <v>9.1142076365022575</v>
      </c>
      <c r="C420">
        <v>7.7365856863466522</v>
      </c>
      <c r="D420">
        <v>7.0346785298536254</v>
      </c>
      <c r="E420">
        <v>23.525891101995615</v>
      </c>
      <c r="F420">
        <v>0.23</v>
      </c>
      <c r="G420">
        <v>10</v>
      </c>
      <c r="I420">
        <f>SMALL(SimData1!$B$9:$B$508,412)</f>
        <v>12.786419093031311</v>
      </c>
      <c r="J420">
        <f>1/(COUNT(SimData1!$B$9:$B$508)-1)+$J$419</f>
        <v>0.82364729458917907</v>
      </c>
      <c r="K420">
        <f>SMALL(SimData1!$C$9:$C$508,412)</f>
        <v>8.5839393264409019</v>
      </c>
      <c r="L420">
        <f>1/(COUNT(SimData1!$C$9:$C$508)-1)+$L$419</f>
        <v>0.82364729458917907</v>
      </c>
      <c r="M420">
        <f>SMALL(SimData1!$D$9:$D$508,412)</f>
        <v>13.304482383519524</v>
      </c>
      <c r="N420">
        <f>1/(COUNT(SimData1!$D$9:$D$508)-1)+$N$419</f>
        <v>0.82364729458917907</v>
      </c>
      <c r="O420">
        <f>SMALL(SimData1!$E$9:$E$508,412)</f>
        <v>23.119573490831662</v>
      </c>
      <c r="P420">
        <f>1/(COUNT(SimData1!$E$9:$E$508)-1)+$P$419</f>
        <v>0.82364729458917907</v>
      </c>
      <c r="Q420">
        <f>SMALL(SimData1!$F$9:$F$508,412)</f>
        <v>0.23</v>
      </c>
      <c r="R420">
        <f>1/(COUNT(SimData1!$F$9:$F$508)-1)+$R$419</f>
        <v>0.82364729458917907</v>
      </c>
      <c r="S420">
        <f>SMALL(SimData1!$G$9:$G$508,412)</f>
        <v>10</v>
      </c>
      <c r="T420">
        <f>1/(COUNT(SimData1!$G$9:$G$508)-1)+$T$419</f>
        <v>0.82364729458917907</v>
      </c>
    </row>
    <row r="421" spans="1:20">
      <c r="A421">
        <v>413</v>
      </c>
      <c r="B421">
        <v>7.1774664134735726</v>
      </c>
      <c r="C421">
        <v>7.0358271442679285</v>
      </c>
      <c r="D421">
        <v>10.914889296001498</v>
      </c>
      <c r="E421">
        <v>23.064037030377577</v>
      </c>
      <c r="F421">
        <v>0.23</v>
      </c>
      <c r="G421">
        <v>9</v>
      </c>
      <c r="I421">
        <f>SMALL(SimData1!$B$9:$B$508,413)</f>
        <v>12.793920271718633</v>
      </c>
      <c r="J421">
        <f>1/(COUNT(SimData1!$B$9:$B$508)-1)+$J$420</f>
        <v>0.82565130260521113</v>
      </c>
      <c r="K421">
        <f>SMALL(SimData1!$C$9:$C$508,413)</f>
        <v>8.602027774887631</v>
      </c>
      <c r="L421">
        <f>1/(COUNT(SimData1!$C$9:$C$508)-1)+$L$420</f>
        <v>0.82565130260521113</v>
      </c>
      <c r="M421">
        <f>SMALL(SimData1!$D$9:$D$508,413)</f>
        <v>13.41993905774968</v>
      </c>
      <c r="N421">
        <f>1/(COUNT(SimData1!$D$9:$D$508)-1)+$N$420</f>
        <v>0.82565130260521113</v>
      </c>
      <c r="O421">
        <f>SMALL(SimData1!$E$9:$E$508,413)</f>
        <v>23.122753641483854</v>
      </c>
      <c r="P421">
        <f>1/(COUNT(SimData1!$E$9:$E$508)-1)+$P$420</f>
        <v>0.82565130260521113</v>
      </c>
      <c r="Q421">
        <f>SMALL(SimData1!$F$9:$F$508,413)</f>
        <v>0.23</v>
      </c>
      <c r="R421">
        <f>1/(COUNT(SimData1!$F$9:$F$508)-1)+$R$420</f>
        <v>0.82565130260521113</v>
      </c>
      <c r="S421">
        <f>SMALL(SimData1!$G$9:$G$508,413)</f>
        <v>10</v>
      </c>
      <c r="T421">
        <f>1/(COUNT(SimData1!$G$9:$G$508)-1)+$T$420</f>
        <v>0.82565130260521113</v>
      </c>
    </row>
    <row r="422" spans="1:20">
      <c r="A422">
        <v>414</v>
      </c>
      <c r="B422">
        <v>12.251661512188024</v>
      </c>
      <c r="C422">
        <v>2.240893467158287</v>
      </c>
      <c r="D422">
        <v>4.9840956178549902</v>
      </c>
      <c r="E422">
        <v>-0.85257193485955318</v>
      </c>
      <c r="F422">
        <v>0.23</v>
      </c>
      <c r="G422">
        <v>2</v>
      </c>
      <c r="I422">
        <f>SMALL(SimData1!$B$9:$B$508,414)</f>
        <v>12.831949211357056</v>
      </c>
      <c r="J422">
        <f>1/(COUNT(SimData1!$B$9:$B$508)-1)+$J$421</f>
        <v>0.8276553106212432</v>
      </c>
      <c r="K422">
        <f>SMALL(SimData1!$C$9:$C$508,414)</f>
        <v>8.608060644362137</v>
      </c>
      <c r="L422">
        <f>1/(COUNT(SimData1!$C$9:$C$508)-1)+$L$421</f>
        <v>0.8276553106212432</v>
      </c>
      <c r="M422">
        <f>SMALL(SimData1!$D$9:$D$508,414)</f>
        <v>13.470298565888381</v>
      </c>
      <c r="N422">
        <f>1/(COUNT(SimData1!$D$9:$D$508)-1)+$N$421</f>
        <v>0.8276553106212432</v>
      </c>
      <c r="O422">
        <f>SMALL(SimData1!$E$9:$E$508,414)</f>
        <v>23.136353280321455</v>
      </c>
      <c r="P422">
        <f>1/(COUNT(SimData1!$E$9:$E$508)-1)+$P$421</f>
        <v>0.8276553106212432</v>
      </c>
      <c r="Q422">
        <f>SMALL(SimData1!$F$9:$F$508,414)</f>
        <v>0.23</v>
      </c>
      <c r="R422">
        <f>1/(COUNT(SimData1!$F$9:$F$508)-1)+$R$421</f>
        <v>0.8276553106212432</v>
      </c>
      <c r="S422">
        <f>SMALL(SimData1!$G$9:$G$508,414)</f>
        <v>10</v>
      </c>
      <c r="T422">
        <f>1/(COUNT(SimData1!$G$9:$G$508)-1)+$T$421</f>
        <v>0.8276553106212432</v>
      </c>
    </row>
    <row r="423" spans="1:20">
      <c r="A423">
        <v>415</v>
      </c>
      <c r="B423">
        <v>9.6942931684435596</v>
      </c>
      <c r="C423">
        <v>6.126929926737894</v>
      </c>
      <c r="D423">
        <v>6.3563948013885865</v>
      </c>
      <c r="E423">
        <v>-1.425572852100268</v>
      </c>
      <c r="F423">
        <v>0.23</v>
      </c>
      <c r="G423">
        <v>4</v>
      </c>
      <c r="I423">
        <f>SMALL(SimData1!$B$9:$B$508,415)</f>
        <v>12.847024472081884</v>
      </c>
      <c r="J423">
        <f>1/(COUNT(SimData1!$B$9:$B$508)-1)+$J$422</f>
        <v>0.82965931863727527</v>
      </c>
      <c r="K423">
        <f>SMALL(SimData1!$C$9:$C$508,415)</f>
        <v>8.6352947444457779</v>
      </c>
      <c r="L423">
        <f>1/(COUNT(SimData1!$C$9:$C$508)-1)+$L$422</f>
        <v>0.82965931863727527</v>
      </c>
      <c r="M423">
        <f>SMALL(SimData1!$D$9:$D$508,415)</f>
        <v>13.50731004368032</v>
      </c>
      <c r="N423">
        <f>1/(COUNT(SimData1!$D$9:$D$508)-1)+$N$422</f>
        <v>0.82965931863727527</v>
      </c>
      <c r="O423">
        <f>SMALL(SimData1!$E$9:$E$508,415)</f>
        <v>23.143369800530284</v>
      </c>
      <c r="P423">
        <f>1/(COUNT(SimData1!$E$9:$E$508)-1)+$P$422</f>
        <v>0.82965931863727527</v>
      </c>
      <c r="Q423">
        <f>SMALL(SimData1!$F$9:$F$508,415)</f>
        <v>0.23</v>
      </c>
      <c r="R423">
        <f>1/(COUNT(SimData1!$F$9:$F$508)-1)+$R$422</f>
        <v>0.82965931863727527</v>
      </c>
      <c r="S423">
        <f>SMALL(SimData1!$G$9:$G$508,415)</f>
        <v>10</v>
      </c>
      <c r="T423">
        <f>1/(COUNT(SimData1!$G$9:$G$508)-1)+$T$422</f>
        <v>0.82965931863727527</v>
      </c>
    </row>
    <row r="424" spans="1:20">
      <c r="A424">
        <v>416</v>
      </c>
      <c r="B424">
        <v>11.304943084727702</v>
      </c>
      <c r="C424">
        <v>2.54010944655447</v>
      </c>
      <c r="D424">
        <v>10.796926461790903</v>
      </c>
      <c r="E424">
        <v>-1.0916976349186975</v>
      </c>
      <c r="F424">
        <v>0.23</v>
      </c>
      <c r="G424">
        <v>2</v>
      </c>
      <c r="I424">
        <f>SMALL(SimData1!$B$9:$B$508,416)</f>
        <v>12.867146847567886</v>
      </c>
      <c r="J424">
        <f>1/(COUNT(SimData1!$B$9:$B$508)-1)+$J$423</f>
        <v>0.83166332665330733</v>
      </c>
      <c r="K424">
        <f>SMALL(SimData1!$C$9:$C$508,416)</f>
        <v>8.6492012015677062</v>
      </c>
      <c r="L424">
        <f>1/(COUNT(SimData1!$C$9:$C$508)-1)+$L$423</f>
        <v>0.83166332665330733</v>
      </c>
      <c r="M424">
        <f>SMALL(SimData1!$D$9:$D$508,416)</f>
        <v>13.613519097161831</v>
      </c>
      <c r="N424">
        <f>1/(COUNT(SimData1!$D$9:$D$508)-1)+$N$423</f>
        <v>0.83166332665330733</v>
      </c>
      <c r="O424">
        <f>SMALL(SimData1!$E$9:$E$508,416)</f>
        <v>23.15854468002571</v>
      </c>
      <c r="P424">
        <f>1/(COUNT(SimData1!$E$9:$E$508)-1)+$P$423</f>
        <v>0.83166332665330733</v>
      </c>
      <c r="Q424">
        <f>SMALL(SimData1!$F$9:$F$508,416)</f>
        <v>0.23</v>
      </c>
      <c r="R424">
        <f>1/(COUNT(SimData1!$F$9:$F$508)-1)+$R$423</f>
        <v>0.83166332665330733</v>
      </c>
      <c r="S424">
        <f>SMALL(SimData1!$G$9:$G$508,416)</f>
        <v>10</v>
      </c>
      <c r="T424">
        <f>1/(COUNT(SimData1!$G$9:$G$508)-1)+$T$423</f>
        <v>0.83166332665330733</v>
      </c>
    </row>
    <row r="425" spans="1:20">
      <c r="A425">
        <v>417</v>
      </c>
      <c r="B425">
        <v>9.7369597156056518</v>
      </c>
      <c r="C425">
        <v>8.5109457553622647</v>
      </c>
      <c r="D425">
        <v>4.3902034111670689</v>
      </c>
      <c r="E425">
        <v>-0.49032913359464092</v>
      </c>
      <c r="F425">
        <v>0.23</v>
      </c>
      <c r="G425">
        <v>9</v>
      </c>
      <c r="I425">
        <f>SMALL(SimData1!$B$9:$B$508,417)</f>
        <v>12.897303147181702</v>
      </c>
      <c r="J425">
        <f>1/(COUNT(SimData1!$B$9:$B$508)-1)+$J$424</f>
        <v>0.8336673346693394</v>
      </c>
      <c r="K425">
        <f>SMALL(SimData1!$C$9:$C$508,417)</f>
        <v>8.6660057095536036</v>
      </c>
      <c r="L425">
        <f>1/(COUNT(SimData1!$C$9:$C$508)-1)+$L$424</f>
        <v>0.8336673346693394</v>
      </c>
      <c r="M425">
        <f>SMALL(SimData1!$D$9:$D$508,417)</f>
        <v>13.628724208415655</v>
      </c>
      <c r="N425">
        <f>1/(COUNT(SimData1!$D$9:$D$508)-1)+$N$424</f>
        <v>0.8336673346693394</v>
      </c>
      <c r="O425">
        <f>SMALL(SimData1!$E$9:$E$508,417)</f>
        <v>23.162040940549797</v>
      </c>
      <c r="P425">
        <f>1/(COUNT(SimData1!$E$9:$E$508)-1)+$P$424</f>
        <v>0.8336673346693394</v>
      </c>
      <c r="Q425">
        <f>SMALL(SimData1!$F$9:$F$508,417)</f>
        <v>0.23</v>
      </c>
      <c r="R425">
        <f>1/(COUNT(SimData1!$F$9:$F$508)-1)+$R$424</f>
        <v>0.8336673346693394</v>
      </c>
      <c r="S425">
        <f>SMALL(SimData1!$G$9:$G$508,417)</f>
        <v>10</v>
      </c>
      <c r="T425">
        <f>1/(COUNT(SimData1!$G$9:$G$508)-1)+$T$424</f>
        <v>0.8336673346693394</v>
      </c>
    </row>
    <row r="426" spans="1:20">
      <c r="A426">
        <v>418</v>
      </c>
      <c r="B426">
        <v>10.407943785561592</v>
      </c>
      <c r="C426">
        <v>2.8817129641514532</v>
      </c>
      <c r="D426">
        <v>9.7943608289273349</v>
      </c>
      <c r="E426">
        <v>-1.3070579419640951</v>
      </c>
      <c r="F426">
        <v>0.23</v>
      </c>
      <c r="G426">
        <v>6</v>
      </c>
      <c r="I426">
        <f>SMALL(SimData1!$B$9:$B$508,418)</f>
        <v>12.915211328739355</v>
      </c>
      <c r="J426">
        <f>1/(COUNT(SimData1!$B$9:$B$508)-1)+$J$425</f>
        <v>0.83567134268537147</v>
      </c>
      <c r="K426">
        <f>SMALL(SimData1!$C$9:$C$508,418)</f>
        <v>8.6789842976459735</v>
      </c>
      <c r="L426">
        <f>1/(COUNT(SimData1!$C$9:$C$508)-1)+$L$425</f>
        <v>0.83567134268537147</v>
      </c>
      <c r="M426">
        <f>SMALL(SimData1!$D$9:$D$508,418)</f>
        <v>13.750852213054628</v>
      </c>
      <c r="N426">
        <f>1/(COUNT(SimData1!$D$9:$D$508)-1)+$N$425</f>
        <v>0.83567134268537147</v>
      </c>
      <c r="O426">
        <f>SMALL(SimData1!$E$9:$E$508,418)</f>
        <v>23.176221816859339</v>
      </c>
      <c r="P426">
        <f>1/(COUNT(SimData1!$E$9:$E$508)-1)+$P$425</f>
        <v>0.83567134268537147</v>
      </c>
      <c r="Q426">
        <f>SMALL(SimData1!$F$9:$F$508,418)</f>
        <v>0.23</v>
      </c>
      <c r="R426">
        <f>1/(COUNT(SimData1!$F$9:$F$508)-1)+$R$425</f>
        <v>0.83567134268537147</v>
      </c>
      <c r="S426">
        <f>SMALL(SimData1!$G$9:$G$508,418)</f>
        <v>12</v>
      </c>
      <c r="T426">
        <f>1/(COUNT(SimData1!$G$9:$G$508)-1)+$T$425</f>
        <v>0.83567134268537147</v>
      </c>
    </row>
    <row r="427" spans="1:20">
      <c r="A427">
        <v>419</v>
      </c>
      <c r="B427">
        <v>12.048308641942509</v>
      </c>
      <c r="C427">
        <v>6.4328753075825222</v>
      </c>
      <c r="D427">
        <v>15.517031063073556</v>
      </c>
      <c r="E427">
        <v>-0.90992720243940528</v>
      </c>
      <c r="F427">
        <v>0.23</v>
      </c>
      <c r="G427">
        <v>9</v>
      </c>
      <c r="I427">
        <f>SMALL(SimData1!$B$9:$B$508,419)</f>
        <v>12.958674923460674</v>
      </c>
      <c r="J427">
        <f>1/(COUNT(SimData1!$B$9:$B$508)-1)+$J$426</f>
        <v>0.83767535070140353</v>
      </c>
      <c r="K427">
        <f>SMALL(SimData1!$C$9:$C$508,419)</f>
        <v>8.6926275582808614</v>
      </c>
      <c r="L427">
        <f>1/(COUNT(SimData1!$C$9:$C$508)-1)+$L$426</f>
        <v>0.83767535070140353</v>
      </c>
      <c r="M427">
        <f>SMALL(SimData1!$D$9:$D$508,419)</f>
        <v>13.773683753659409</v>
      </c>
      <c r="N427">
        <f>1/(COUNT(SimData1!$D$9:$D$508)-1)+$N$426</f>
        <v>0.83767535070140353</v>
      </c>
      <c r="O427">
        <f>SMALL(SimData1!$E$9:$E$508,419)</f>
        <v>23.184414328729662</v>
      </c>
      <c r="P427">
        <f>1/(COUNT(SimData1!$E$9:$E$508)-1)+$P$426</f>
        <v>0.83767535070140353</v>
      </c>
      <c r="Q427">
        <f>SMALL(SimData1!$F$9:$F$508,419)</f>
        <v>0.23</v>
      </c>
      <c r="R427">
        <f>1/(COUNT(SimData1!$F$9:$F$508)-1)+$R$426</f>
        <v>0.83767535070140353</v>
      </c>
      <c r="S427">
        <f>SMALL(SimData1!$G$9:$G$508,419)</f>
        <v>12</v>
      </c>
      <c r="T427">
        <f>1/(COUNT(SimData1!$G$9:$G$508)-1)+$T$426</f>
        <v>0.83767535070140353</v>
      </c>
    </row>
    <row r="428" spans="1:20">
      <c r="A428">
        <v>420</v>
      </c>
      <c r="B428">
        <v>8.9424831638756519</v>
      </c>
      <c r="C428">
        <v>7.6435424106632226</v>
      </c>
      <c r="D428">
        <v>10.055934181537463</v>
      </c>
      <c r="E428">
        <v>-0.83901472753351158</v>
      </c>
      <c r="F428">
        <v>0.23</v>
      </c>
      <c r="G428">
        <v>12</v>
      </c>
      <c r="I428">
        <f>SMALL(SimData1!$B$9:$B$508,420)</f>
        <v>12.974674058480732</v>
      </c>
      <c r="J428">
        <f>1/(COUNT(SimData1!$B$9:$B$508)-1)+$J$427</f>
        <v>0.8396793587174356</v>
      </c>
      <c r="K428">
        <f>SMALL(SimData1!$C$9:$C$508,420)</f>
        <v>8.7087503755923237</v>
      </c>
      <c r="L428">
        <f>1/(COUNT(SimData1!$C$9:$C$508)-1)+$L$427</f>
        <v>0.8396793587174356</v>
      </c>
      <c r="M428">
        <f>SMALL(SimData1!$D$9:$D$508,420)</f>
        <v>13.854918289834384</v>
      </c>
      <c r="N428">
        <f>1/(COUNT(SimData1!$D$9:$D$508)-1)+$N$427</f>
        <v>0.8396793587174356</v>
      </c>
      <c r="O428">
        <f>SMALL(SimData1!$E$9:$E$508,420)</f>
        <v>23.195644419228088</v>
      </c>
      <c r="P428">
        <f>1/(COUNT(SimData1!$E$9:$E$508)-1)+$P$427</f>
        <v>0.8396793587174356</v>
      </c>
      <c r="Q428">
        <f>SMALL(SimData1!$F$9:$F$508,420)</f>
        <v>0.23</v>
      </c>
      <c r="R428">
        <f>1/(COUNT(SimData1!$F$9:$F$508)-1)+$R$427</f>
        <v>0.8396793587174356</v>
      </c>
      <c r="S428">
        <f>SMALL(SimData1!$G$9:$G$508,420)</f>
        <v>12</v>
      </c>
      <c r="T428">
        <f>1/(COUNT(SimData1!$G$9:$G$508)-1)+$T$427</f>
        <v>0.8396793587174356</v>
      </c>
    </row>
    <row r="429" spans="1:20">
      <c r="A429">
        <v>421</v>
      </c>
      <c r="B429">
        <v>10.224477052427989</v>
      </c>
      <c r="C429">
        <v>8.9708677960249759</v>
      </c>
      <c r="D429">
        <v>10.390062404237236</v>
      </c>
      <c r="E429">
        <v>22.582504026957864</v>
      </c>
      <c r="F429">
        <v>0.23</v>
      </c>
      <c r="G429">
        <v>2</v>
      </c>
      <c r="I429">
        <f>SMALL(SimData1!$B$9:$B$508,421)</f>
        <v>13.005509084738231</v>
      </c>
      <c r="J429">
        <f>1/(COUNT(SimData1!$B$9:$B$508)-1)+$J$428</f>
        <v>0.84168336673346766</v>
      </c>
      <c r="K429">
        <f>SMALL(SimData1!$C$9:$C$508,421)</f>
        <v>8.7331709527292212</v>
      </c>
      <c r="L429">
        <f>1/(COUNT(SimData1!$C$9:$C$508)-1)+$L$428</f>
        <v>0.84168336673346766</v>
      </c>
      <c r="M429">
        <f>SMALL(SimData1!$D$9:$D$508,421)</f>
        <v>13.920328275883648</v>
      </c>
      <c r="N429">
        <f>1/(COUNT(SimData1!$D$9:$D$508)-1)+$N$428</f>
        <v>0.84168336673346766</v>
      </c>
      <c r="O429">
        <f>SMALL(SimData1!$E$9:$E$508,421)</f>
        <v>23.209701987744072</v>
      </c>
      <c r="P429">
        <f>1/(COUNT(SimData1!$E$9:$E$508)-1)+$P$428</f>
        <v>0.84168336673346766</v>
      </c>
      <c r="Q429">
        <f>SMALL(SimData1!$F$9:$F$508,421)</f>
        <v>0.23</v>
      </c>
      <c r="R429">
        <f>1/(COUNT(SimData1!$F$9:$F$508)-1)+$R$428</f>
        <v>0.84168336673346766</v>
      </c>
      <c r="S429">
        <f>SMALL(SimData1!$G$9:$G$508,421)</f>
        <v>12</v>
      </c>
      <c r="T429">
        <f>1/(COUNT(SimData1!$G$9:$G$508)-1)+$T$428</f>
        <v>0.84168336673346766</v>
      </c>
    </row>
    <row r="430" spans="1:20">
      <c r="A430">
        <v>422</v>
      </c>
      <c r="B430">
        <v>15.609349421668593</v>
      </c>
      <c r="C430">
        <v>6.6064544068757565</v>
      </c>
      <c r="D430">
        <v>10.459430541616733</v>
      </c>
      <c r="E430">
        <v>21.799807959874435</v>
      </c>
      <c r="F430">
        <v>0.23</v>
      </c>
      <c r="G430">
        <v>10</v>
      </c>
      <c r="I430">
        <f>SMALL(SimData1!$B$9:$B$508,422)</f>
        <v>13.022531363783344</v>
      </c>
      <c r="J430">
        <f>1/(COUNT(SimData1!$B$9:$B$508)-1)+$J$429</f>
        <v>0.84368737474949973</v>
      </c>
      <c r="K430">
        <f>SMALL(SimData1!$C$9:$C$508,422)</f>
        <v>8.7512624122573204</v>
      </c>
      <c r="L430">
        <f>1/(COUNT(SimData1!$C$9:$C$508)-1)+$L$429</f>
        <v>0.84368737474949973</v>
      </c>
      <c r="M430">
        <f>SMALL(SimData1!$D$9:$D$508,422)</f>
        <v>13.992859235149076</v>
      </c>
      <c r="N430">
        <f>1/(COUNT(SimData1!$D$9:$D$508)-1)+$N$429</f>
        <v>0.84368737474949973</v>
      </c>
      <c r="O430">
        <f>SMALL(SimData1!$E$9:$E$508,422)</f>
        <v>23.21486370318928</v>
      </c>
      <c r="P430">
        <f>1/(COUNT(SimData1!$E$9:$E$508)-1)+$P$429</f>
        <v>0.84368737474949973</v>
      </c>
      <c r="Q430">
        <f>SMALL(SimData1!$F$9:$F$508,422)</f>
        <v>0.23</v>
      </c>
      <c r="R430">
        <f>1/(COUNT(SimData1!$F$9:$F$508)-1)+$R$429</f>
        <v>0.84368737474949973</v>
      </c>
      <c r="S430">
        <f>SMALL(SimData1!$G$9:$G$508,422)</f>
        <v>12</v>
      </c>
      <c r="T430">
        <f>1/(COUNT(SimData1!$G$9:$G$508)-1)+$T$429</f>
        <v>0.84368737474949973</v>
      </c>
    </row>
    <row r="431" spans="1:20">
      <c r="A431">
        <v>423</v>
      </c>
      <c r="B431">
        <v>5.5574951292501602</v>
      </c>
      <c r="C431">
        <v>2.2733057607787908</v>
      </c>
      <c r="D431">
        <v>10.774092523496154</v>
      </c>
      <c r="E431">
        <v>22.486626849273275</v>
      </c>
      <c r="F431">
        <v>0.23</v>
      </c>
      <c r="G431">
        <v>9</v>
      </c>
      <c r="I431">
        <f>SMALL(SimData1!$B$9:$B$508,423)</f>
        <v>13.039592693633997</v>
      </c>
      <c r="J431">
        <f>1/(COUNT(SimData1!$B$9:$B$508)-1)+$J$430</f>
        <v>0.8456913827655318</v>
      </c>
      <c r="K431">
        <f>SMALL(SimData1!$C$9:$C$508,423)</f>
        <v>8.7570030180562775</v>
      </c>
      <c r="L431">
        <f>1/(COUNT(SimData1!$C$9:$C$508)-1)+$L$430</f>
        <v>0.8456913827655318</v>
      </c>
      <c r="M431">
        <f>SMALL(SimData1!$D$9:$D$508,423)</f>
        <v>14.044803059169276</v>
      </c>
      <c r="N431">
        <f>1/(COUNT(SimData1!$D$9:$D$508)-1)+$N$430</f>
        <v>0.8456913827655318</v>
      </c>
      <c r="O431">
        <f>SMALL(SimData1!$E$9:$E$508,423)</f>
        <v>23.224475525489161</v>
      </c>
      <c r="P431">
        <f>1/(COUNT(SimData1!$E$9:$E$508)-1)+$P$430</f>
        <v>0.8456913827655318</v>
      </c>
      <c r="Q431">
        <f>SMALL(SimData1!$F$9:$F$508,423)</f>
        <v>0.23</v>
      </c>
      <c r="R431">
        <f>1/(COUNT(SimData1!$F$9:$F$508)-1)+$R$430</f>
        <v>0.8456913827655318</v>
      </c>
      <c r="S431">
        <f>SMALL(SimData1!$G$9:$G$508,423)</f>
        <v>12</v>
      </c>
      <c r="T431">
        <f>1/(COUNT(SimData1!$G$9:$G$508)-1)+$T$430</f>
        <v>0.8456913827655318</v>
      </c>
    </row>
    <row r="432" spans="1:20">
      <c r="A432">
        <v>424</v>
      </c>
      <c r="B432">
        <v>9.2166238408898327</v>
      </c>
      <c r="C432">
        <v>9.5620935935178046</v>
      </c>
      <c r="D432">
        <v>2.0686895689416418</v>
      </c>
      <c r="E432">
        <v>23.836557688575645</v>
      </c>
      <c r="F432">
        <v>0.23</v>
      </c>
      <c r="G432">
        <v>6</v>
      </c>
      <c r="I432">
        <f>SMALL(SimData1!$B$9:$B$508,424)</f>
        <v>13.081082454161159</v>
      </c>
      <c r="J432">
        <f>1/(COUNT(SimData1!$B$9:$B$508)-1)+$J$431</f>
        <v>0.84769539078156386</v>
      </c>
      <c r="K432">
        <f>SMALL(SimData1!$C$9:$C$508,424)</f>
        <v>8.7785691517876856</v>
      </c>
      <c r="L432">
        <f>1/(COUNT(SimData1!$C$9:$C$508)-1)+$L$431</f>
        <v>0.84769539078156386</v>
      </c>
      <c r="M432">
        <f>SMALL(SimData1!$D$9:$D$508,424)</f>
        <v>14.088447033066409</v>
      </c>
      <c r="N432">
        <f>1/(COUNT(SimData1!$D$9:$D$508)-1)+$N$431</f>
        <v>0.84769539078156386</v>
      </c>
      <c r="O432">
        <f>SMALL(SimData1!$E$9:$E$508,424)</f>
        <v>23.233509778920123</v>
      </c>
      <c r="P432">
        <f>1/(COUNT(SimData1!$E$9:$E$508)-1)+$P$431</f>
        <v>0.84769539078156386</v>
      </c>
      <c r="Q432">
        <f>SMALL(SimData1!$F$9:$F$508,424)</f>
        <v>0.23</v>
      </c>
      <c r="R432">
        <f>1/(COUNT(SimData1!$F$9:$F$508)-1)+$R$431</f>
        <v>0.84769539078156386</v>
      </c>
      <c r="S432">
        <f>SMALL(SimData1!$G$9:$G$508,424)</f>
        <v>12</v>
      </c>
      <c r="T432">
        <f>1/(COUNT(SimData1!$G$9:$G$508)-1)+$T$431</f>
        <v>0.84769539078156386</v>
      </c>
    </row>
    <row r="433" spans="1:20">
      <c r="A433">
        <v>425</v>
      </c>
      <c r="B433">
        <v>9.8433593604322649</v>
      </c>
      <c r="C433">
        <v>4.9141412488823146</v>
      </c>
      <c r="D433">
        <v>2.4173345787416527</v>
      </c>
      <c r="E433">
        <v>-0.7298499864276361</v>
      </c>
      <c r="F433">
        <v>0.23</v>
      </c>
      <c r="G433">
        <v>6</v>
      </c>
      <c r="I433">
        <f>SMALL(SimData1!$B$9:$B$508,425)</f>
        <v>13.106311309323916</v>
      </c>
      <c r="J433">
        <f>1/(COUNT(SimData1!$B$9:$B$508)-1)+$J$432</f>
        <v>0.84969939879759593</v>
      </c>
      <c r="K433">
        <f>SMALL(SimData1!$C$9:$C$508,425)</f>
        <v>8.7995003869122606</v>
      </c>
      <c r="L433">
        <f>1/(COUNT(SimData1!$C$9:$C$508)-1)+$L$432</f>
        <v>0.84969939879759593</v>
      </c>
      <c r="M433">
        <f>SMALL(SimData1!$D$9:$D$508,425)</f>
        <v>14.153579251755396</v>
      </c>
      <c r="N433">
        <f>1/(COUNT(SimData1!$D$9:$D$508)-1)+$N$432</f>
        <v>0.84969939879759593</v>
      </c>
      <c r="O433">
        <f>SMALL(SimData1!$E$9:$E$508,425)</f>
        <v>23.249871388806085</v>
      </c>
      <c r="P433">
        <f>1/(COUNT(SimData1!$E$9:$E$508)-1)+$P$432</f>
        <v>0.84969939879759593</v>
      </c>
      <c r="Q433">
        <f>SMALL(SimData1!$F$9:$F$508,425)</f>
        <v>0.23</v>
      </c>
      <c r="R433">
        <f>1/(COUNT(SimData1!$F$9:$F$508)-1)+$R$432</f>
        <v>0.84969939879759593</v>
      </c>
      <c r="S433">
        <f>SMALL(SimData1!$G$9:$G$508,425)</f>
        <v>12</v>
      </c>
      <c r="T433">
        <f>1/(COUNT(SimData1!$G$9:$G$508)-1)+$T$432</f>
        <v>0.84969939879759593</v>
      </c>
    </row>
    <row r="434" spans="1:20">
      <c r="A434">
        <v>426</v>
      </c>
      <c r="B434">
        <v>7.972167737043069</v>
      </c>
      <c r="C434">
        <v>7.8769529615838438</v>
      </c>
      <c r="D434">
        <v>18.534019993122204</v>
      </c>
      <c r="E434">
        <v>-0.27980451651907812</v>
      </c>
      <c r="F434">
        <v>0.23</v>
      </c>
      <c r="G434">
        <v>12</v>
      </c>
      <c r="I434">
        <f>SMALL(SimData1!$B$9:$B$508,426)</f>
        <v>13.133965369310852</v>
      </c>
      <c r="J434">
        <f>1/(COUNT(SimData1!$B$9:$B$508)-1)+$J$433</f>
        <v>0.85170340681362799</v>
      </c>
      <c r="K434">
        <f>SMALL(SimData1!$C$9:$C$508,426)</f>
        <v>8.8072030965814374</v>
      </c>
      <c r="L434">
        <f>1/(COUNT(SimData1!$C$9:$C$508)-1)+$L$433</f>
        <v>0.85170340681362799</v>
      </c>
      <c r="M434">
        <f>SMALL(SimData1!$D$9:$D$508,426)</f>
        <v>14.255784394783849</v>
      </c>
      <c r="N434">
        <f>1/(COUNT(SimData1!$D$9:$D$508)-1)+$N$433</f>
        <v>0.85170340681362799</v>
      </c>
      <c r="O434">
        <f>SMALL(SimData1!$E$9:$E$508,426)</f>
        <v>23.25378603158747</v>
      </c>
      <c r="P434">
        <f>1/(COUNT(SimData1!$E$9:$E$508)-1)+$P$433</f>
        <v>0.85170340681362799</v>
      </c>
      <c r="Q434">
        <f>SMALL(SimData1!$F$9:$F$508,426)</f>
        <v>0.23</v>
      </c>
      <c r="R434">
        <f>1/(COUNT(SimData1!$F$9:$F$508)-1)+$R$433</f>
        <v>0.85170340681362799</v>
      </c>
      <c r="S434">
        <f>SMALL(SimData1!$G$9:$G$508,426)</f>
        <v>12</v>
      </c>
      <c r="T434">
        <f>1/(COUNT(SimData1!$G$9:$G$508)-1)+$T$433</f>
        <v>0.85170340681362799</v>
      </c>
    </row>
    <row r="435" spans="1:20">
      <c r="A435">
        <v>427</v>
      </c>
      <c r="B435">
        <v>10.889798224802419</v>
      </c>
      <c r="C435">
        <v>9.9045863183179375</v>
      </c>
      <c r="D435">
        <v>4.1989778472760175</v>
      </c>
      <c r="E435">
        <v>-0.6803955388174463</v>
      </c>
      <c r="F435">
        <v>0.23</v>
      </c>
      <c r="G435">
        <v>2</v>
      </c>
      <c r="I435">
        <f>SMALL(SimData1!$B$9:$B$508,427)</f>
        <v>13.14268702945119</v>
      </c>
      <c r="J435">
        <f>1/(COUNT(SimData1!$B$9:$B$508)-1)+$J$434</f>
        <v>0.85370741482966006</v>
      </c>
      <c r="K435">
        <f>SMALL(SimData1!$C$9:$C$508,427)</f>
        <v>8.8232984498346454</v>
      </c>
      <c r="L435">
        <f>1/(COUNT(SimData1!$C$9:$C$508)-1)+$L$434</f>
        <v>0.85370741482966006</v>
      </c>
      <c r="M435">
        <f>SMALL(SimData1!$D$9:$D$508,427)</f>
        <v>14.301250511148304</v>
      </c>
      <c r="N435">
        <f>1/(COUNT(SimData1!$D$9:$D$508)-1)+$N$434</f>
        <v>0.85370741482966006</v>
      </c>
      <c r="O435">
        <f>SMALL(SimData1!$E$9:$E$508,427)</f>
        <v>23.262048855453102</v>
      </c>
      <c r="P435">
        <f>1/(COUNT(SimData1!$E$9:$E$508)-1)+$P$434</f>
        <v>0.85370741482966006</v>
      </c>
      <c r="Q435">
        <f>SMALL(SimData1!$F$9:$F$508,427)</f>
        <v>0.23</v>
      </c>
      <c r="R435">
        <f>1/(COUNT(SimData1!$F$9:$F$508)-1)+$R$434</f>
        <v>0.85370741482966006</v>
      </c>
      <c r="S435">
        <f>SMALL(SimData1!$G$9:$G$508,427)</f>
        <v>12</v>
      </c>
      <c r="T435">
        <f>1/(COUNT(SimData1!$G$9:$G$508)-1)+$T$434</f>
        <v>0.85370741482966006</v>
      </c>
    </row>
    <row r="436" spans="1:20">
      <c r="A436">
        <v>428</v>
      </c>
      <c r="B436">
        <v>11.420040439725993</v>
      </c>
      <c r="C436">
        <v>9.3070825139496201</v>
      </c>
      <c r="D436">
        <v>3.8324252968822665</v>
      </c>
      <c r="E436">
        <v>22.745600490684314</v>
      </c>
      <c r="F436">
        <v>0.23</v>
      </c>
      <c r="G436">
        <v>12</v>
      </c>
      <c r="I436">
        <f>SMALL(SimData1!$B$9:$B$508,428)</f>
        <v>13.176358339256515</v>
      </c>
      <c r="J436">
        <f>1/(COUNT(SimData1!$B$9:$B$508)-1)+$J$435</f>
        <v>0.85571142284569213</v>
      </c>
      <c r="K436">
        <f>SMALL(SimData1!$C$9:$C$508,428)</f>
        <v>8.8430801186736403</v>
      </c>
      <c r="L436">
        <f>1/(COUNT(SimData1!$C$9:$C$508)-1)+$L$435</f>
        <v>0.85571142284569213</v>
      </c>
      <c r="M436">
        <f>SMALL(SimData1!$D$9:$D$508,428)</f>
        <v>14.368589217895781</v>
      </c>
      <c r="N436">
        <f>1/(COUNT(SimData1!$D$9:$D$508)-1)+$N$435</f>
        <v>0.85571142284569213</v>
      </c>
      <c r="O436">
        <f>SMALL(SimData1!$E$9:$E$508,428)</f>
        <v>23.27055973077011</v>
      </c>
      <c r="P436">
        <f>1/(COUNT(SimData1!$E$9:$E$508)-1)+$P$435</f>
        <v>0.85571142284569213</v>
      </c>
      <c r="Q436">
        <f>SMALL(SimData1!$F$9:$F$508,428)</f>
        <v>0.23</v>
      </c>
      <c r="R436">
        <f>1/(COUNT(SimData1!$F$9:$F$508)-1)+$R$435</f>
        <v>0.85571142284569213</v>
      </c>
      <c r="S436">
        <f>SMALL(SimData1!$G$9:$G$508,428)</f>
        <v>12</v>
      </c>
      <c r="T436">
        <f>1/(COUNT(SimData1!$G$9:$G$508)-1)+$T$435</f>
        <v>0.85571142284569213</v>
      </c>
    </row>
    <row r="437" spans="1:20">
      <c r="A437">
        <v>429</v>
      </c>
      <c r="B437">
        <v>8.3385720733203286</v>
      </c>
      <c r="C437">
        <v>5.9312996530968931</v>
      </c>
      <c r="D437">
        <v>9.9667745057509229</v>
      </c>
      <c r="E437">
        <v>-0.60223842875366351</v>
      </c>
      <c r="F437">
        <v>0.23</v>
      </c>
      <c r="G437">
        <v>10</v>
      </c>
      <c r="I437">
        <f>SMALL(SimData1!$B$9:$B$508,429)</f>
        <v>13.200912148358533</v>
      </c>
      <c r="J437">
        <f>1/(COUNT(SimData1!$B$9:$B$508)-1)+$J$436</f>
        <v>0.85771543086172419</v>
      </c>
      <c r="K437">
        <f>SMALL(SimData1!$C$9:$C$508,429)</f>
        <v>8.8619214849504466</v>
      </c>
      <c r="L437">
        <f>1/(COUNT(SimData1!$C$9:$C$508)-1)+$L$436</f>
        <v>0.85771543086172419</v>
      </c>
      <c r="M437">
        <f>SMALL(SimData1!$D$9:$D$508,429)</f>
        <v>14.434610144386674</v>
      </c>
      <c r="N437">
        <f>1/(COUNT(SimData1!$D$9:$D$508)-1)+$N$436</f>
        <v>0.85771543086172419</v>
      </c>
      <c r="O437">
        <f>SMALL(SimData1!$E$9:$E$508,429)</f>
        <v>23.28152455408652</v>
      </c>
      <c r="P437">
        <f>1/(COUNT(SimData1!$E$9:$E$508)-1)+$P$436</f>
        <v>0.85771543086172419</v>
      </c>
      <c r="Q437">
        <f>SMALL(SimData1!$F$9:$F$508,429)</f>
        <v>0.23</v>
      </c>
      <c r="R437">
        <f>1/(COUNT(SimData1!$F$9:$F$508)-1)+$R$436</f>
        <v>0.85771543086172419</v>
      </c>
      <c r="S437">
        <f>SMALL(SimData1!$G$9:$G$508,429)</f>
        <v>12</v>
      </c>
      <c r="T437">
        <f>1/(COUNT(SimData1!$G$9:$G$508)-1)+$T$436</f>
        <v>0.85771543086172419</v>
      </c>
    </row>
    <row r="438" spans="1:20">
      <c r="A438">
        <v>430</v>
      </c>
      <c r="B438">
        <v>7.0159277498354289</v>
      </c>
      <c r="C438">
        <v>7.2405249678177119</v>
      </c>
      <c r="D438">
        <v>3.0679756758334058</v>
      </c>
      <c r="E438">
        <v>22.313431714086388</v>
      </c>
      <c r="F438">
        <v>0.23</v>
      </c>
      <c r="G438">
        <v>12</v>
      </c>
      <c r="I438">
        <f>SMALL(SimData1!$B$9:$B$508,430)</f>
        <v>13.227664208121258</v>
      </c>
      <c r="J438">
        <f>1/(COUNT(SimData1!$B$9:$B$508)-1)+$J$437</f>
        <v>0.85971943887775626</v>
      </c>
      <c r="K438">
        <f>SMALL(SimData1!$C$9:$C$508,430)</f>
        <v>8.8683228671225542</v>
      </c>
      <c r="L438">
        <f>1/(COUNT(SimData1!$C$9:$C$508)-1)+$L$437</f>
        <v>0.85971943887775626</v>
      </c>
      <c r="M438">
        <f>SMALL(SimData1!$D$9:$D$508,430)</f>
        <v>14.50479083914701</v>
      </c>
      <c r="N438">
        <f>1/(COUNT(SimData1!$D$9:$D$508)-1)+$N$437</f>
        <v>0.85971943887775626</v>
      </c>
      <c r="O438">
        <f>SMALL(SimData1!$E$9:$E$508,430)</f>
        <v>23.29560458268508</v>
      </c>
      <c r="P438">
        <f>1/(COUNT(SimData1!$E$9:$E$508)-1)+$P$437</f>
        <v>0.85971943887775626</v>
      </c>
      <c r="Q438">
        <f>SMALL(SimData1!$F$9:$F$508,430)</f>
        <v>0.23</v>
      </c>
      <c r="R438">
        <f>1/(COUNT(SimData1!$F$9:$F$508)-1)+$R$437</f>
        <v>0.85971943887775626</v>
      </c>
      <c r="S438">
        <f>SMALL(SimData1!$G$9:$G$508,430)</f>
        <v>12</v>
      </c>
      <c r="T438">
        <f>1/(COUNT(SimData1!$G$9:$G$508)-1)+$T$437</f>
        <v>0.85971943887775626</v>
      </c>
    </row>
    <row r="439" spans="1:20">
      <c r="A439">
        <v>431</v>
      </c>
      <c r="B439">
        <v>6.9440819377379857</v>
      </c>
      <c r="C439">
        <v>8.6660057095536036</v>
      </c>
      <c r="D439">
        <v>5.5871271820429547</v>
      </c>
      <c r="E439">
        <v>22.392113842580851</v>
      </c>
      <c r="F439">
        <v>0.23</v>
      </c>
      <c r="G439">
        <v>12</v>
      </c>
      <c r="I439">
        <f>SMALL(SimData1!$B$9:$B$508,431)</f>
        <v>13.253522554674248</v>
      </c>
      <c r="J439">
        <f>1/(COUNT(SimData1!$B$9:$B$508)-1)+$J$438</f>
        <v>0.86172344689378833</v>
      </c>
      <c r="K439">
        <f>SMALL(SimData1!$C$9:$C$508,431)</f>
        <v>8.8865100242212662</v>
      </c>
      <c r="L439">
        <f>1/(COUNT(SimData1!$C$9:$C$508)-1)+$L$438</f>
        <v>0.86172344689378833</v>
      </c>
      <c r="M439">
        <f>SMALL(SimData1!$D$9:$D$508,431)</f>
        <v>14.539910909448729</v>
      </c>
      <c r="N439">
        <f>1/(COUNT(SimData1!$D$9:$D$508)-1)+$N$438</f>
        <v>0.86172344689378833</v>
      </c>
      <c r="O439">
        <f>SMALL(SimData1!$E$9:$E$508,431)</f>
        <v>23.306592481155104</v>
      </c>
      <c r="P439">
        <f>1/(COUNT(SimData1!$E$9:$E$508)-1)+$P$438</f>
        <v>0.86172344689378833</v>
      </c>
      <c r="Q439">
        <f>SMALL(SimData1!$F$9:$F$508,431)</f>
        <v>0.23</v>
      </c>
      <c r="R439">
        <f>1/(COUNT(SimData1!$F$9:$F$508)-1)+$R$438</f>
        <v>0.86172344689378833</v>
      </c>
      <c r="S439">
        <f>SMALL(SimData1!$G$9:$G$508,431)</f>
        <v>12</v>
      </c>
      <c r="T439">
        <f>1/(COUNT(SimData1!$G$9:$G$508)-1)+$T$438</f>
        <v>0.86172344689378833</v>
      </c>
    </row>
    <row r="440" spans="1:20">
      <c r="A440">
        <v>432</v>
      </c>
      <c r="B440">
        <v>8.3989269755673384</v>
      </c>
      <c r="C440">
        <v>2.9901351030911636</v>
      </c>
      <c r="D440">
        <v>7.7153828420386139</v>
      </c>
      <c r="E440">
        <v>22.067382298881423</v>
      </c>
      <c r="F440">
        <v>0.23</v>
      </c>
      <c r="G440">
        <v>4</v>
      </c>
      <c r="I440">
        <f>SMALL(SimData1!$B$9:$B$508,432)</f>
        <v>13.27276782072472</v>
      </c>
      <c r="J440">
        <f>1/(COUNT(SimData1!$B$9:$B$508)-1)+$J$439</f>
        <v>0.86372745490982039</v>
      </c>
      <c r="K440">
        <f>SMALL(SimData1!$C$9:$C$508,432)</f>
        <v>8.9112452447263628</v>
      </c>
      <c r="L440">
        <f>1/(COUNT(SimData1!$C$9:$C$508)-1)+$L$439</f>
        <v>0.86372745490982039</v>
      </c>
      <c r="M440">
        <f>SMALL(SimData1!$D$9:$D$508,432)</f>
        <v>14.634958452579323</v>
      </c>
      <c r="N440">
        <f>1/(COUNT(SimData1!$D$9:$D$508)-1)+$N$439</f>
        <v>0.86372745490982039</v>
      </c>
      <c r="O440">
        <f>SMALL(SimData1!$E$9:$E$508,432)</f>
        <v>23.310800182783009</v>
      </c>
      <c r="P440">
        <f>1/(COUNT(SimData1!$E$9:$E$508)-1)+$P$439</f>
        <v>0.86372745490982039</v>
      </c>
      <c r="Q440">
        <f>SMALL(SimData1!$F$9:$F$508,432)</f>
        <v>0.23</v>
      </c>
      <c r="R440">
        <f>1/(COUNT(SimData1!$F$9:$F$508)-1)+$R$439</f>
        <v>0.86372745490982039</v>
      </c>
      <c r="S440">
        <f>SMALL(SimData1!$G$9:$G$508,432)</f>
        <v>12</v>
      </c>
      <c r="T440">
        <f>1/(COUNT(SimData1!$G$9:$G$508)-1)+$T$439</f>
        <v>0.86372745490982039</v>
      </c>
    </row>
    <row r="441" spans="1:20">
      <c r="A441">
        <v>433</v>
      </c>
      <c r="B441">
        <v>8.6639412815774719</v>
      </c>
      <c r="C441">
        <v>2.4695416827922552</v>
      </c>
      <c r="D441">
        <v>3.4172667260321941</v>
      </c>
      <c r="E441">
        <v>-0.86976597414116974</v>
      </c>
      <c r="F441">
        <v>0.23</v>
      </c>
      <c r="G441">
        <v>10</v>
      </c>
      <c r="I441">
        <f>SMALL(SimData1!$B$9:$B$508,433)</f>
        <v>13.313330941286306</v>
      </c>
      <c r="J441">
        <f>1/(COUNT(SimData1!$B$9:$B$508)-1)+$J$440</f>
        <v>0.86573146292585246</v>
      </c>
      <c r="K441">
        <f>SMALL(SimData1!$C$9:$C$508,433)</f>
        <v>8.9217037278846156</v>
      </c>
      <c r="L441">
        <f>1/(COUNT(SimData1!$C$9:$C$508)-1)+$L$440</f>
        <v>0.86573146292585246</v>
      </c>
      <c r="M441">
        <f>SMALL(SimData1!$D$9:$D$508,433)</f>
        <v>14.692550988639834</v>
      </c>
      <c r="N441">
        <f>1/(COUNT(SimData1!$D$9:$D$508)-1)+$N$440</f>
        <v>0.86573146292585246</v>
      </c>
      <c r="O441">
        <f>SMALL(SimData1!$E$9:$E$508,433)</f>
        <v>23.327317188783738</v>
      </c>
      <c r="P441">
        <f>1/(COUNT(SimData1!$E$9:$E$508)-1)+$P$440</f>
        <v>0.86573146292585246</v>
      </c>
      <c r="Q441">
        <f>SMALL(SimData1!$F$9:$F$508,433)</f>
        <v>0.23</v>
      </c>
      <c r="R441">
        <f>1/(COUNT(SimData1!$F$9:$F$508)-1)+$R$440</f>
        <v>0.86573146292585246</v>
      </c>
      <c r="S441">
        <f>SMALL(SimData1!$G$9:$G$508,433)</f>
        <v>12</v>
      </c>
      <c r="T441">
        <f>1/(COUNT(SimData1!$G$9:$G$508)-1)+$T$440</f>
        <v>0.86573146292585246</v>
      </c>
    </row>
    <row r="442" spans="1:20">
      <c r="A442">
        <v>434</v>
      </c>
      <c r="B442">
        <v>12.754987487444176</v>
      </c>
      <c r="C442">
        <v>9.8737936612483566</v>
      </c>
      <c r="D442">
        <v>16.176363015381703</v>
      </c>
      <c r="E442">
        <v>-0.40269953759513055</v>
      </c>
      <c r="F442">
        <v>0.23</v>
      </c>
      <c r="G442">
        <v>9</v>
      </c>
      <c r="I442">
        <f>SMALL(SimData1!$B$9:$B$508,434)</f>
        <v>13.338440066067466</v>
      </c>
      <c r="J442">
        <f>1/(COUNT(SimData1!$B$9:$B$508)-1)+$J$441</f>
        <v>0.86773547094188452</v>
      </c>
      <c r="K442">
        <f>SMALL(SimData1!$C$9:$C$508,434)</f>
        <v>8.9319014838458735</v>
      </c>
      <c r="L442">
        <f>1/(COUNT(SimData1!$C$9:$C$508)-1)+$L$441</f>
        <v>0.86773547094188452</v>
      </c>
      <c r="M442">
        <f>SMALL(SimData1!$D$9:$D$508,434)</f>
        <v>14.760224407251975</v>
      </c>
      <c r="N442">
        <f>1/(COUNT(SimData1!$D$9:$D$508)-1)+$N$441</f>
        <v>0.86773547094188452</v>
      </c>
      <c r="O442">
        <f>SMALL(SimData1!$E$9:$E$508,434)</f>
        <v>23.336122825849642</v>
      </c>
      <c r="P442">
        <f>1/(COUNT(SimData1!$E$9:$E$508)-1)+$P$441</f>
        <v>0.86773547094188452</v>
      </c>
      <c r="Q442">
        <f>SMALL(SimData1!$F$9:$F$508,434)</f>
        <v>0.23</v>
      </c>
      <c r="R442">
        <f>1/(COUNT(SimData1!$F$9:$F$508)-1)+$R$441</f>
        <v>0.86773547094188452</v>
      </c>
      <c r="S442">
        <f>SMALL(SimData1!$G$9:$G$508,434)</f>
        <v>12</v>
      </c>
      <c r="T442">
        <f>1/(COUNT(SimData1!$G$9:$G$508)-1)+$T$441</f>
        <v>0.86773547094188452</v>
      </c>
    </row>
    <row r="443" spans="1:20">
      <c r="A443">
        <v>435</v>
      </c>
      <c r="B443">
        <v>6.6100827589969784</v>
      </c>
      <c r="C443">
        <v>2.743792931454208</v>
      </c>
      <c r="D443">
        <v>2.1084919227018233</v>
      </c>
      <c r="E443">
        <v>22.307060209343948</v>
      </c>
      <c r="F443">
        <v>0.23</v>
      </c>
      <c r="G443">
        <v>2</v>
      </c>
      <c r="I443">
        <f>SMALL(SimData1!$B$9:$B$508,435)</f>
        <v>13.362554478162195</v>
      </c>
      <c r="J443">
        <f>1/(COUNT(SimData1!$B$9:$B$508)-1)+$J$442</f>
        <v>0.86973947895791659</v>
      </c>
      <c r="K443">
        <f>SMALL(SimData1!$C$9:$C$508,435)</f>
        <v>8.9453745213154185</v>
      </c>
      <c r="L443">
        <f>1/(COUNT(SimData1!$C$9:$C$508)-1)+$L$442</f>
        <v>0.86973947895791659</v>
      </c>
      <c r="M443">
        <f>SMALL(SimData1!$D$9:$D$508,435)</f>
        <v>14.780481514872164</v>
      </c>
      <c r="N443">
        <f>1/(COUNT(SimData1!$D$9:$D$508)-1)+$N$442</f>
        <v>0.86973947895791659</v>
      </c>
      <c r="O443">
        <f>SMALL(SimData1!$E$9:$E$508,435)</f>
        <v>23.343759627052439</v>
      </c>
      <c r="P443">
        <f>1/(COUNT(SimData1!$E$9:$E$508)-1)+$P$442</f>
        <v>0.86973947895791659</v>
      </c>
      <c r="Q443">
        <f>SMALL(SimData1!$F$9:$F$508,435)</f>
        <v>0.23</v>
      </c>
      <c r="R443">
        <f>1/(COUNT(SimData1!$F$9:$F$508)-1)+$R$442</f>
        <v>0.86973947895791659</v>
      </c>
      <c r="S443">
        <f>SMALL(SimData1!$G$9:$G$508,435)</f>
        <v>12</v>
      </c>
      <c r="T443">
        <f>1/(COUNT(SimData1!$G$9:$G$508)-1)+$T$442</f>
        <v>0.86973947895791659</v>
      </c>
    </row>
    <row r="444" spans="1:20">
      <c r="A444">
        <v>436</v>
      </c>
      <c r="B444">
        <v>9.6074171490744007</v>
      </c>
      <c r="C444">
        <v>4.7955970552069136</v>
      </c>
      <c r="D444">
        <v>2.0297660871031149</v>
      </c>
      <c r="E444">
        <v>-0.19276734236415116</v>
      </c>
      <c r="F444">
        <v>0.23</v>
      </c>
      <c r="G444">
        <v>10</v>
      </c>
      <c r="I444">
        <f>SMALL(SimData1!$B$9:$B$508,436)</f>
        <v>13.402049985529843</v>
      </c>
      <c r="J444">
        <f>1/(COUNT(SimData1!$B$9:$B$508)-1)+$J$443</f>
        <v>0.87174348697394866</v>
      </c>
      <c r="K444">
        <f>SMALL(SimData1!$C$9:$C$508,436)</f>
        <v>8.9708677960249759</v>
      </c>
      <c r="L444">
        <f>1/(COUNT(SimData1!$C$9:$C$508)-1)+$L$443</f>
        <v>0.87174348697394866</v>
      </c>
      <c r="M444">
        <f>SMALL(SimData1!$D$9:$D$508,436)</f>
        <v>14.85724666035577</v>
      </c>
      <c r="N444">
        <f>1/(COUNT(SimData1!$D$9:$D$508)-1)+$N$443</f>
        <v>0.87174348697394866</v>
      </c>
      <c r="O444">
        <f>SMALL(SimData1!$E$9:$E$508,436)</f>
        <v>23.354749352605062</v>
      </c>
      <c r="P444">
        <f>1/(COUNT(SimData1!$E$9:$E$508)-1)+$P$443</f>
        <v>0.87174348697394866</v>
      </c>
      <c r="Q444">
        <f>SMALL(SimData1!$F$9:$F$508,436)</f>
        <v>0.23</v>
      </c>
      <c r="R444">
        <f>1/(COUNT(SimData1!$F$9:$F$508)-1)+$R$443</f>
        <v>0.87174348697394866</v>
      </c>
      <c r="S444">
        <f>SMALL(SimData1!$G$9:$G$508,436)</f>
        <v>12</v>
      </c>
      <c r="T444">
        <f>1/(COUNT(SimData1!$G$9:$G$508)-1)+$T$443</f>
        <v>0.87174348697394866</v>
      </c>
    </row>
    <row r="445" spans="1:20">
      <c r="A445">
        <v>437</v>
      </c>
      <c r="B445">
        <v>5.8468907066187068</v>
      </c>
      <c r="C445">
        <v>6.8126537873066617</v>
      </c>
      <c r="D445">
        <v>6.7026594681159271</v>
      </c>
      <c r="E445">
        <v>23.29560458268508</v>
      </c>
      <c r="F445">
        <v>0.23</v>
      </c>
      <c r="G445">
        <v>6</v>
      </c>
      <c r="I445">
        <f>SMALL(SimData1!$B$9:$B$508,437)</f>
        <v>13.420995305428356</v>
      </c>
      <c r="J445">
        <f>1/(COUNT(SimData1!$B$9:$B$508)-1)+$J$444</f>
        <v>0.87374749498998072</v>
      </c>
      <c r="K445">
        <f>SMALL(SimData1!$C$9:$C$508,437)</f>
        <v>8.976807295993158</v>
      </c>
      <c r="L445">
        <f>1/(COUNT(SimData1!$C$9:$C$508)-1)+$L$444</f>
        <v>0.87374749498998072</v>
      </c>
      <c r="M445">
        <f>SMALL(SimData1!$D$9:$D$508,437)</f>
        <v>14.960817460654493</v>
      </c>
      <c r="N445">
        <f>1/(COUNT(SimData1!$D$9:$D$508)-1)+$N$444</f>
        <v>0.87374749498998072</v>
      </c>
      <c r="O445">
        <f>SMALL(SimData1!$E$9:$E$508,437)</f>
        <v>23.369751908904533</v>
      </c>
      <c r="P445">
        <f>1/(COUNT(SimData1!$E$9:$E$508)-1)+$P$444</f>
        <v>0.87374749498998072</v>
      </c>
      <c r="Q445">
        <f>SMALL(SimData1!$F$9:$F$508,437)</f>
        <v>0.23</v>
      </c>
      <c r="R445">
        <f>1/(COUNT(SimData1!$F$9:$F$508)-1)+$R$444</f>
        <v>0.87374749498998072</v>
      </c>
      <c r="S445">
        <f>SMALL(SimData1!$G$9:$G$508,437)</f>
        <v>12</v>
      </c>
      <c r="T445">
        <f>1/(COUNT(SimData1!$G$9:$G$508)-1)+$T$444</f>
        <v>0.87374749498998072</v>
      </c>
    </row>
    <row r="446" spans="1:20">
      <c r="A446">
        <v>438</v>
      </c>
      <c r="B446">
        <v>6.4040008557390173</v>
      </c>
      <c r="C446">
        <v>4.7384230704760233</v>
      </c>
      <c r="D446">
        <v>10.789111836086287</v>
      </c>
      <c r="E446">
        <v>21.665735694436055</v>
      </c>
      <c r="F446">
        <v>0.23</v>
      </c>
      <c r="G446">
        <v>6</v>
      </c>
      <c r="I446">
        <f>SMALL(SimData1!$B$9:$B$508,438)</f>
        <v>13.437720576700757</v>
      </c>
      <c r="J446">
        <f>1/(COUNT(SimData1!$B$9:$B$508)-1)+$J$445</f>
        <v>0.87575150300601279</v>
      </c>
      <c r="K446">
        <f>SMALL(SimData1!$C$9:$C$508,438)</f>
        <v>8.9968891310107182</v>
      </c>
      <c r="L446">
        <f>1/(COUNT(SimData1!$C$9:$C$508)-1)+$L$445</f>
        <v>0.87575150300601279</v>
      </c>
      <c r="M446">
        <f>SMALL(SimData1!$D$9:$D$508,438)</f>
        <v>15.003925192483681</v>
      </c>
      <c r="N446">
        <f>1/(COUNT(SimData1!$D$9:$D$508)-1)+$N$445</f>
        <v>0.87575150300601279</v>
      </c>
      <c r="O446">
        <f>SMALL(SimData1!$E$9:$E$508,438)</f>
        <v>23.376988758230212</v>
      </c>
      <c r="P446">
        <f>1/(COUNT(SimData1!$E$9:$E$508)-1)+$P$445</f>
        <v>0.87575150300601279</v>
      </c>
      <c r="Q446">
        <f>SMALL(SimData1!$F$9:$F$508,438)</f>
        <v>0.23</v>
      </c>
      <c r="R446">
        <f>1/(COUNT(SimData1!$F$9:$F$508)-1)+$R$445</f>
        <v>0.87575150300601279</v>
      </c>
      <c r="S446">
        <f>SMALL(SimData1!$G$9:$G$508,438)</f>
        <v>12</v>
      </c>
      <c r="T446">
        <f>1/(COUNT(SimData1!$G$9:$G$508)-1)+$T$445</f>
        <v>0.87575150300601279</v>
      </c>
    </row>
    <row r="447" spans="1:20">
      <c r="A447">
        <v>439</v>
      </c>
      <c r="B447">
        <v>8.3155144035147543</v>
      </c>
      <c r="C447">
        <v>9.4533294911266594</v>
      </c>
      <c r="D447">
        <v>15.380721514902245</v>
      </c>
      <c r="E447">
        <v>-0.79611313464801881</v>
      </c>
      <c r="F447">
        <v>0.23</v>
      </c>
      <c r="G447">
        <v>2</v>
      </c>
      <c r="I447">
        <f>SMALL(SimData1!$B$9:$B$508,439)</f>
        <v>13.491293116631006</v>
      </c>
      <c r="J447">
        <f>1/(COUNT(SimData1!$B$9:$B$508)-1)+$J$446</f>
        <v>0.87775551102204485</v>
      </c>
      <c r="K447">
        <f>SMALL(SimData1!$C$9:$C$508,439)</f>
        <v>9.0177114907525748</v>
      </c>
      <c r="L447">
        <f>1/(COUNT(SimData1!$C$9:$C$508)-1)+$L$446</f>
        <v>0.87775551102204485</v>
      </c>
      <c r="M447">
        <f>SMALL(SimData1!$D$9:$D$508,439)</f>
        <v>15.081788387712507</v>
      </c>
      <c r="N447">
        <f>1/(COUNT(SimData1!$D$9:$D$508)-1)+$N$446</f>
        <v>0.87775551102204485</v>
      </c>
      <c r="O447">
        <f>SMALL(SimData1!$E$9:$E$508,439)</f>
        <v>23.387412666302598</v>
      </c>
      <c r="P447">
        <f>1/(COUNT(SimData1!$E$9:$E$508)-1)+$P$446</f>
        <v>0.87775551102204485</v>
      </c>
      <c r="Q447">
        <f>SMALL(SimData1!$F$9:$F$508,439)</f>
        <v>0.23</v>
      </c>
      <c r="R447">
        <f>1/(COUNT(SimData1!$F$9:$F$508)-1)+$R$446</f>
        <v>0.87775551102204485</v>
      </c>
      <c r="S447">
        <f>SMALL(SimData1!$G$9:$G$508,439)</f>
        <v>12</v>
      </c>
      <c r="T447">
        <f>1/(COUNT(SimData1!$G$9:$G$508)-1)+$T$446</f>
        <v>0.87775551102204485</v>
      </c>
    </row>
    <row r="448" spans="1:20">
      <c r="A448">
        <v>440</v>
      </c>
      <c r="B448">
        <v>5.2335964368841719</v>
      </c>
      <c r="C448">
        <v>3.9127018741799291</v>
      </c>
      <c r="D448">
        <v>17.301168027303454</v>
      </c>
      <c r="E448">
        <v>-5.0044347502418596E-2</v>
      </c>
      <c r="F448">
        <v>0.23</v>
      </c>
      <c r="G448">
        <v>12</v>
      </c>
      <c r="I448">
        <f>SMALL(SimData1!$B$9:$B$508,440)</f>
        <v>13.503811169175366</v>
      </c>
      <c r="J448">
        <f>1/(COUNT(SimData1!$B$9:$B$508)-1)+$J$447</f>
        <v>0.87975951903807692</v>
      </c>
      <c r="K448">
        <f>SMALL(SimData1!$C$9:$C$508,440)</f>
        <v>9.0290208534125753</v>
      </c>
      <c r="L448">
        <f>1/(COUNT(SimData1!$C$9:$C$508)-1)+$L$447</f>
        <v>0.87975951903807692</v>
      </c>
      <c r="M448">
        <f>SMALL(SimData1!$D$9:$D$508,440)</f>
        <v>15.10799928891938</v>
      </c>
      <c r="N448">
        <f>1/(COUNT(SimData1!$D$9:$D$508)-1)+$N$447</f>
        <v>0.87975951903807692</v>
      </c>
      <c r="O448">
        <f>SMALL(SimData1!$E$9:$E$508,440)</f>
        <v>23.396615874279878</v>
      </c>
      <c r="P448">
        <f>1/(COUNT(SimData1!$E$9:$E$508)-1)+$P$447</f>
        <v>0.87975951903807692</v>
      </c>
      <c r="Q448">
        <f>SMALL(SimData1!$F$9:$F$508,440)</f>
        <v>0.23</v>
      </c>
      <c r="R448">
        <f>1/(COUNT(SimData1!$F$9:$F$508)-1)+$R$447</f>
        <v>0.87975951903807692</v>
      </c>
      <c r="S448">
        <f>SMALL(SimData1!$G$9:$G$508,440)</f>
        <v>12</v>
      </c>
      <c r="T448">
        <f>1/(COUNT(SimData1!$G$9:$G$508)-1)+$T$447</f>
        <v>0.87975951903807692</v>
      </c>
    </row>
    <row r="449" spans="1:20">
      <c r="A449">
        <v>441</v>
      </c>
      <c r="B449">
        <v>6.6446073543192004</v>
      </c>
      <c r="C449">
        <v>2.0898302312292696</v>
      </c>
      <c r="D449">
        <v>17.267046116067807</v>
      </c>
      <c r="E449">
        <v>7.2695710655737544E-2</v>
      </c>
      <c r="F449">
        <v>0.23</v>
      </c>
      <c r="G449">
        <v>4</v>
      </c>
      <c r="I449">
        <f>SMALL(SimData1!$B$9:$B$508,441)</f>
        <v>13.542814715343802</v>
      </c>
      <c r="J449">
        <f>1/(COUNT(SimData1!$B$9:$B$508)-1)+$J$448</f>
        <v>0.88176352705410899</v>
      </c>
      <c r="K449">
        <f>SMALL(SimData1!$C$9:$C$508,441)</f>
        <v>9.0421222242233625</v>
      </c>
      <c r="L449">
        <f>1/(COUNT(SimData1!$C$9:$C$508)-1)+$L$448</f>
        <v>0.88176352705410899</v>
      </c>
      <c r="M449">
        <f>SMALL(SimData1!$D$9:$D$508,441)</f>
        <v>15.220744680478411</v>
      </c>
      <c r="N449">
        <f>1/(COUNT(SimData1!$D$9:$D$508)-1)+$N$448</f>
        <v>0.88176352705410899</v>
      </c>
      <c r="O449">
        <f>SMALL(SimData1!$E$9:$E$508,441)</f>
        <v>23.408234576606311</v>
      </c>
      <c r="P449">
        <f>1/(COUNT(SimData1!$E$9:$E$508)-1)+$P$448</f>
        <v>0.88176352705410899</v>
      </c>
      <c r="Q449">
        <f>SMALL(SimData1!$F$9:$F$508,441)</f>
        <v>0.23</v>
      </c>
      <c r="R449">
        <f>1/(COUNT(SimData1!$F$9:$F$508)-1)+$R$448</f>
        <v>0.88176352705410899</v>
      </c>
      <c r="S449">
        <f>SMALL(SimData1!$G$9:$G$508,441)</f>
        <v>12</v>
      </c>
      <c r="T449">
        <f>1/(COUNT(SimData1!$G$9:$G$508)-1)+$T$448</f>
        <v>0.88176352705410899</v>
      </c>
    </row>
    <row r="450" spans="1:20">
      <c r="A450">
        <v>442</v>
      </c>
      <c r="B450">
        <v>8.7683197788759788</v>
      </c>
      <c r="C450">
        <v>3.5314600716855979</v>
      </c>
      <c r="D450">
        <v>13.992859235149076</v>
      </c>
      <c r="E450">
        <v>21.765316230620073</v>
      </c>
      <c r="F450">
        <v>0.23</v>
      </c>
      <c r="G450">
        <v>6</v>
      </c>
      <c r="I450">
        <f>SMALL(SimData1!$B$9:$B$508,442)</f>
        <v>13.56451814608277</v>
      </c>
      <c r="J450">
        <f>1/(COUNT(SimData1!$B$9:$B$508)-1)+$J$449</f>
        <v>0.88376753507014105</v>
      </c>
      <c r="K450">
        <f>SMALL(SimData1!$C$9:$C$508,442)</f>
        <v>9.0561925815456057</v>
      </c>
      <c r="L450">
        <f>1/(COUNT(SimData1!$C$9:$C$508)-1)+$L$449</f>
        <v>0.88376753507014105</v>
      </c>
      <c r="M450">
        <f>SMALL(SimData1!$D$9:$D$508,442)</f>
        <v>15.278588702065544</v>
      </c>
      <c r="N450">
        <f>1/(COUNT(SimData1!$D$9:$D$508)-1)+$N$449</f>
        <v>0.88376753507014105</v>
      </c>
      <c r="O450">
        <f>SMALL(SimData1!$E$9:$E$508,442)</f>
        <v>23.41927711575789</v>
      </c>
      <c r="P450">
        <f>1/(COUNT(SimData1!$E$9:$E$508)-1)+$P$449</f>
        <v>0.88376753507014105</v>
      </c>
      <c r="Q450">
        <f>SMALL(SimData1!$F$9:$F$508,442)</f>
        <v>0.23</v>
      </c>
      <c r="R450">
        <f>1/(COUNT(SimData1!$F$9:$F$508)-1)+$R$449</f>
        <v>0.88376753507014105</v>
      </c>
      <c r="S450">
        <f>SMALL(SimData1!$G$9:$G$508,442)</f>
        <v>12</v>
      </c>
      <c r="T450">
        <f>1/(COUNT(SimData1!$G$9:$G$508)-1)+$T$449</f>
        <v>0.88376753507014105</v>
      </c>
    </row>
    <row r="451" spans="1:20">
      <c r="A451">
        <v>443</v>
      </c>
      <c r="B451">
        <v>4.9529736784674592</v>
      </c>
      <c r="C451">
        <v>7.0891119384730965</v>
      </c>
      <c r="D451">
        <v>6.8909790283560248</v>
      </c>
      <c r="E451">
        <v>-0.57630791799406922</v>
      </c>
      <c r="F451">
        <v>0.23</v>
      </c>
      <c r="G451">
        <v>12</v>
      </c>
      <c r="I451">
        <f>SMALL(SimData1!$B$9:$B$508,443)</f>
        <v>13.594841019538336</v>
      </c>
      <c r="J451">
        <f>1/(COUNT(SimData1!$B$9:$B$508)-1)+$J$450</f>
        <v>0.88577154308617312</v>
      </c>
      <c r="K451">
        <f>SMALL(SimData1!$C$9:$C$508,443)</f>
        <v>9.0769810867246647</v>
      </c>
      <c r="L451">
        <f>1/(COUNT(SimData1!$C$9:$C$508)-1)+$L$450</f>
        <v>0.88577154308617312</v>
      </c>
      <c r="M451">
        <f>SMALL(SimData1!$D$9:$D$508,443)</f>
        <v>15.305928916845918</v>
      </c>
      <c r="N451">
        <f>1/(COUNT(SimData1!$D$9:$D$508)-1)+$N$450</f>
        <v>0.88577154308617312</v>
      </c>
      <c r="O451">
        <f>SMALL(SimData1!$E$9:$E$508,443)</f>
        <v>23.428563025261386</v>
      </c>
      <c r="P451">
        <f>1/(COUNT(SimData1!$E$9:$E$508)-1)+$P$450</f>
        <v>0.88577154308617312</v>
      </c>
      <c r="Q451">
        <f>SMALL(SimData1!$F$9:$F$508,443)</f>
        <v>0.23</v>
      </c>
      <c r="R451">
        <f>1/(COUNT(SimData1!$F$9:$F$508)-1)+$R$450</f>
        <v>0.88577154308617312</v>
      </c>
      <c r="S451">
        <f>SMALL(SimData1!$G$9:$G$508,443)</f>
        <v>12</v>
      </c>
      <c r="T451">
        <f>1/(COUNT(SimData1!$G$9:$G$508)-1)+$T$450</f>
        <v>0.88577154308617312</v>
      </c>
    </row>
    <row r="452" spans="1:20">
      <c r="A452">
        <v>444</v>
      </c>
      <c r="B452">
        <v>3.9051369072441418</v>
      </c>
      <c r="C452">
        <v>4.4581931285360348</v>
      </c>
      <c r="D452">
        <v>2.4148849716724095</v>
      </c>
      <c r="E452">
        <v>-1.3622056227290054</v>
      </c>
      <c r="F452">
        <v>0.23</v>
      </c>
      <c r="G452">
        <v>4</v>
      </c>
      <c r="I452">
        <f>SMALL(SimData1!$B$9:$B$508,444)</f>
        <v>13.636466401649649</v>
      </c>
      <c r="J452">
        <f>1/(COUNT(SimData1!$B$9:$B$508)-1)+$J$451</f>
        <v>0.88777555110220518</v>
      </c>
      <c r="K452">
        <f>SMALL(SimData1!$C$9:$C$508,444)</f>
        <v>9.0962413477507056</v>
      </c>
      <c r="L452">
        <f>1/(COUNT(SimData1!$C$9:$C$508)-1)+$L$451</f>
        <v>0.88777555110220518</v>
      </c>
      <c r="M452">
        <f>SMALL(SimData1!$D$9:$D$508,444)</f>
        <v>15.380721514902245</v>
      </c>
      <c r="N452">
        <f>1/(COUNT(SimData1!$D$9:$D$508)-1)+$N$451</f>
        <v>0.88777555110220518</v>
      </c>
      <c r="O452">
        <f>SMALL(SimData1!$E$9:$E$508,444)</f>
        <v>23.439613802794682</v>
      </c>
      <c r="P452">
        <f>1/(COUNT(SimData1!$E$9:$E$508)-1)+$P$451</f>
        <v>0.88777555110220518</v>
      </c>
      <c r="Q452">
        <f>SMALL(SimData1!$F$9:$F$508,444)</f>
        <v>0.23</v>
      </c>
      <c r="R452">
        <f>1/(COUNT(SimData1!$F$9:$F$508)-1)+$R$451</f>
        <v>0.88777555110220518</v>
      </c>
      <c r="S452">
        <f>SMALL(SimData1!$G$9:$G$508,444)</f>
        <v>12</v>
      </c>
      <c r="T452">
        <f>1/(COUNT(SimData1!$G$9:$G$508)-1)+$T$451</f>
        <v>0.88777555110220518</v>
      </c>
    </row>
    <row r="453" spans="1:20">
      <c r="A453">
        <v>445</v>
      </c>
      <c r="B453">
        <v>16.0604111320215</v>
      </c>
      <c r="C453">
        <v>7.9323311925745408</v>
      </c>
      <c r="D453">
        <v>9.833378900155747</v>
      </c>
      <c r="E453">
        <v>-0.68509068566950959</v>
      </c>
      <c r="F453">
        <v>0.23</v>
      </c>
      <c r="G453">
        <v>4</v>
      </c>
      <c r="I453">
        <f>SMALL(SimData1!$B$9:$B$508,445)</f>
        <v>13.670553683362002</v>
      </c>
      <c r="J453">
        <f>1/(COUNT(SimData1!$B$9:$B$508)-1)+$J$452</f>
        <v>0.88977955911823725</v>
      </c>
      <c r="K453">
        <f>SMALL(SimData1!$C$9:$C$508,445)</f>
        <v>9.1134127335570323</v>
      </c>
      <c r="L453">
        <f>1/(COUNT(SimData1!$C$9:$C$508)-1)+$L$452</f>
        <v>0.88977955911823725</v>
      </c>
      <c r="M453">
        <f>SMALL(SimData1!$D$9:$D$508,445)</f>
        <v>15.427779279011251</v>
      </c>
      <c r="N453">
        <f>1/(COUNT(SimData1!$D$9:$D$508)-1)+$N$452</f>
        <v>0.88977955911823725</v>
      </c>
      <c r="O453">
        <f>SMALL(SimData1!$E$9:$E$508,445)</f>
        <v>23.440381690724191</v>
      </c>
      <c r="P453">
        <f>1/(COUNT(SimData1!$E$9:$E$508)-1)+$P$452</f>
        <v>0.88977955911823725</v>
      </c>
      <c r="Q453">
        <f>SMALL(SimData1!$F$9:$F$508,445)</f>
        <v>0.23</v>
      </c>
      <c r="R453">
        <f>1/(COUNT(SimData1!$F$9:$F$508)-1)+$R$452</f>
        <v>0.88977955911823725</v>
      </c>
      <c r="S453">
        <f>SMALL(SimData1!$G$9:$G$508,445)</f>
        <v>12</v>
      </c>
      <c r="T453">
        <f>1/(COUNT(SimData1!$G$9:$G$508)-1)+$T$452</f>
        <v>0.88977955911823725</v>
      </c>
    </row>
    <row r="454" spans="1:20">
      <c r="A454">
        <v>446</v>
      </c>
      <c r="B454">
        <v>10.30327305375442</v>
      </c>
      <c r="C454">
        <v>4.0625735225115376</v>
      </c>
      <c r="D454">
        <v>9.6716745591423638</v>
      </c>
      <c r="E454">
        <v>21.98437891766611</v>
      </c>
      <c r="F454">
        <v>0.23</v>
      </c>
      <c r="G454">
        <v>9</v>
      </c>
      <c r="I454">
        <f>SMALL(SimData1!$B$9:$B$508,446)</f>
        <v>13.709565278851652</v>
      </c>
      <c r="J454">
        <f>1/(COUNT(SimData1!$B$9:$B$508)-1)+$J$453</f>
        <v>0.89178356713426932</v>
      </c>
      <c r="K454">
        <f>SMALL(SimData1!$C$9:$C$508,446)</f>
        <v>9.127054355384562</v>
      </c>
      <c r="L454">
        <f>1/(COUNT(SimData1!$C$9:$C$508)-1)+$L$453</f>
        <v>0.89178356713426932</v>
      </c>
      <c r="M454">
        <f>SMALL(SimData1!$D$9:$D$508,446)</f>
        <v>15.517031063073556</v>
      </c>
      <c r="N454">
        <f>1/(COUNT(SimData1!$D$9:$D$508)-1)+$N$453</f>
        <v>0.89178356713426932</v>
      </c>
      <c r="O454">
        <f>SMALL(SimData1!$E$9:$E$508,446)</f>
        <v>23.454539144915891</v>
      </c>
      <c r="P454">
        <f>1/(COUNT(SimData1!$E$9:$E$508)-1)+$P$453</f>
        <v>0.89178356713426932</v>
      </c>
      <c r="Q454">
        <f>SMALL(SimData1!$F$9:$F$508,446)</f>
        <v>0.23</v>
      </c>
      <c r="R454">
        <f>1/(COUNT(SimData1!$F$9:$F$508)-1)+$R$453</f>
        <v>0.89178356713426932</v>
      </c>
      <c r="S454">
        <f>SMALL(SimData1!$G$9:$G$508,446)</f>
        <v>12</v>
      </c>
      <c r="T454">
        <f>1/(COUNT(SimData1!$G$9:$G$508)-1)+$T$453</f>
        <v>0.89178356713426932</v>
      </c>
    </row>
    <row r="455" spans="1:20">
      <c r="A455">
        <v>447</v>
      </c>
      <c r="B455">
        <v>9.1546161321966473</v>
      </c>
      <c r="C455">
        <v>4.6383322422649549</v>
      </c>
      <c r="D455">
        <v>12.715535705861527</v>
      </c>
      <c r="E455">
        <v>22.641796119487591</v>
      </c>
      <c r="F455">
        <v>0.23</v>
      </c>
      <c r="G455">
        <v>6</v>
      </c>
      <c r="I455">
        <f>SMALL(SimData1!$B$9:$B$508,447)</f>
        <v>13.740406454626616</v>
      </c>
      <c r="J455">
        <f>1/(COUNT(SimData1!$B$9:$B$508)-1)+$J$454</f>
        <v>0.89378757515030138</v>
      </c>
      <c r="K455">
        <f>SMALL(SimData1!$C$9:$C$508,447)</f>
        <v>9.1447104585824324</v>
      </c>
      <c r="L455">
        <f>1/(COUNT(SimData1!$C$9:$C$508)-1)+$L$454</f>
        <v>0.89378757515030138</v>
      </c>
      <c r="M455">
        <f>SMALL(SimData1!$D$9:$D$508,447)</f>
        <v>15.568084471872094</v>
      </c>
      <c r="N455">
        <f>1/(COUNT(SimData1!$D$9:$D$508)-1)+$N$454</f>
        <v>0.89378757515030138</v>
      </c>
      <c r="O455">
        <f>SMALL(SimData1!$E$9:$E$508,447)</f>
        <v>23.462882792491353</v>
      </c>
      <c r="P455">
        <f>1/(COUNT(SimData1!$E$9:$E$508)-1)+$P$454</f>
        <v>0.89378757515030138</v>
      </c>
      <c r="Q455">
        <f>SMALL(SimData1!$F$9:$F$508,447)</f>
        <v>0.23</v>
      </c>
      <c r="R455">
        <f>1/(COUNT(SimData1!$F$9:$F$508)-1)+$R$454</f>
        <v>0.89378757515030138</v>
      </c>
      <c r="S455">
        <f>SMALL(SimData1!$G$9:$G$508,447)</f>
        <v>12</v>
      </c>
      <c r="T455">
        <f>1/(COUNT(SimData1!$G$9:$G$508)-1)+$T$454</f>
        <v>0.89378757515030138</v>
      </c>
    </row>
    <row r="456" spans="1:20">
      <c r="A456">
        <v>448</v>
      </c>
      <c r="B456">
        <v>8.1020504394547999</v>
      </c>
      <c r="C456">
        <v>6.7236862251655403</v>
      </c>
      <c r="D456">
        <v>18.348921061721846</v>
      </c>
      <c r="E456">
        <v>-0.12225764595163491</v>
      </c>
      <c r="F456">
        <v>0.23</v>
      </c>
      <c r="G456">
        <v>12</v>
      </c>
      <c r="I456">
        <f>SMALL(SimData1!$B$9:$B$508,448)</f>
        <v>13.764537991885106</v>
      </c>
      <c r="J456">
        <f>1/(COUNT(SimData1!$B$9:$B$508)-1)+$J$455</f>
        <v>0.89579158316633345</v>
      </c>
      <c r="K456">
        <f>SMALL(SimData1!$C$9:$C$508,448)</f>
        <v>9.1599648101273843</v>
      </c>
      <c r="L456">
        <f>1/(COUNT(SimData1!$C$9:$C$508)-1)+$L$455</f>
        <v>0.89579158316633345</v>
      </c>
      <c r="M456">
        <f>SMALL(SimData1!$D$9:$D$508,448)</f>
        <v>15.648519902641073</v>
      </c>
      <c r="N456">
        <f>1/(COUNT(SimData1!$D$9:$D$508)-1)+$N$455</f>
        <v>0.89579158316633345</v>
      </c>
      <c r="O456">
        <f>SMALL(SimData1!$E$9:$E$508,448)</f>
        <v>23.477816120510404</v>
      </c>
      <c r="P456">
        <f>1/(COUNT(SimData1!$E$9:$E$508)-1)+$P$455</f>
        <v>0.89579158316633345</v>
      </c>
      <c r="Q456">
        <f>SMALL(SimData1!$F$9:$F$508,448)</f>
        <v>0.23</v>
      </c>
      <c r="R456">
        <f>1/(COUNT(SimData1!$F$9:$F$508)-1)+$R$455</f>
        <v>0.89579158316633345</v>
      </c>
      <c r="S456">
        <f>SMALL(SimData1!$G$9:$G$508,448)</f>
        <v>12</v>
      </c>
      <c r="T456">
        <f>1/(COUNT(SimData1!$G$9:$G$508)-1)+$T$455</f>
        <v>0.89579158316633345</v>
      </c>
    </row>
    <row r="457" spans="1:20">
      <c r="A457">
        <v>449</v>
      </c>
      <c r="B457">
        <v>14.215363354120241</v>
      </c>
      <c r="C457">
        <v>2.6049017982661962</v>
      </c>
      <c r="D457">
        <v>2.4859323074105037</v>
      </c>
      <c r="E457">
        <v>-1.2304123177578981</v>
      </c>
      <c r="F457">
        <v>0.23</v>
      </c>
      <c r="G457">
        <v>6</v>
      </c>
      <c r="I457">
        <f>SMALL(SimData1!$B$9:$B$508,449)</f>
        <v>13.797121268433045</v>
      </c>
      <c r="J457">
        <f>1/(COUNT(SimData1!$B$9:$B$508)-1)+$J$456</f>
        <v>0.89779559118236552</v>
      </c>
      <c r="K457">
        <f>SMALL(SimData1!$C$9:$C$508,449)</f>
        <v>9.1710277411460481</v>
      </c>
      <c r="L457">
        <f>1/(COUNT(SimData1!$C$9:$C$508)-1)+$L$456</f>
        <v>0.89779559118236552</v>
      </c>
      <c r="M457">
        <f>SMALL(SimData1!$D$9:$D$508,449)</f>
        <v>15.683998509663159</v>
      </c>
      <c r="N457">
        <f>1/(COUNT(SimData1!$D$9:$D$508)-1)+$N$456</f>
        <v>0.89779559118236552</v>
      </c>
      <c r="O457">
        <f>SMALL(SimData1!$E$9:$E$508,449)</f>
        <v>23.489972603679806</v>
      </c>
      <c r="P457">
        <f>1/(COUNT(SimData1!$E$9:$E$508)-1)+$P$456</f>
        <v>0.89779559118236552</v>
      </c>
      <c r="Q457">
        <f>SMALL(SimData1!$F$9:$F$508,449)</f>
        <v>0.23</v>
      </c>
      <c r="R457">
        <f>1/(COUNT(SimData1!$F$9:$F$508)-1)+$R$456</f>
        <v>0.89779559118236552</v>
      </c>
      <c r="S457">
        <f>SMALL(SimData1!$G$9:$G$508,449)</f>
        <v>12</v>
      </c>
      <c r="T457">
        <f>1/(COUNT(SimData1!$G$9:$G$508)-1)+$T$456</f>
        <v>0.89779559118236552</v>
      </c>
    </row>
    <row r="458" spans="1:20">
      <c r="A458">
        <v>450</v>
      </c>
      <c r="B458">
        <v>4.0048878256542233</v>
      </c>
      <c r="C458">
        <v>4.6482069508526962</v>
      </c>
      <c r="D458">
        <v>17.81511573418209</v>
      </c>
      <c r="E458">
        <v>4.4097423033834682E-2</v>
      </c>
      <c r="F458">
        <v>0.23</v>
      </c>
      <c r="G458">
        <v>4</v>
      </c>
      <c r="I458">
        <f>SMALL(SimData1!$B$9:$B$508,450)</f>
        <v>13.827349715535716</v>
      </c>
      <c r="J458">
        <f>1/(COUNT(SimData1!$B$9:$B$508)-1)+$J$457</f>
        <v>0.89979959919839758</v>
      </c>
      <c r="K458">
        <f>SMALL(SimData1!$C$9:$C$508,450)</f>
        <v>9.1969869813129748</v>
      </c>
      <c r="L458">
        <f>1/(COUNT(SimData1!$C$9:$C$508)-1)+$L$457</f>
        <v>0.89979959919839758</v>
      </c>
      <c r="M458">
        <f>SMALL(SimData1!$D$9:$D$508,450)</f>
        <v>15.75851928753185</v>
      </c>
      <c r="N458">
        <f>1/(COUNT(SimData1!$D$9:$D$508)-1)+$N$457</f>
        <v>0.89979959919839758</v>
      </c>
      <c r="O458">
        <f>SMALL(SimData1!$E$9:$E$508,450)</f>
        <v>23.497153348804051</v>
      </c>
      <c r="P458">
        <f>1/(COUNT(SimData1!$E$9:$E$508)-1)+$P$457</f>
        <v>0.89979959919839758</v>
      </c>
      <c r="Q458">
        <f>SMALL(SimData1!$F$9:$F$508,450)</f>
        <v>0.23</v>
      </c>
      <c r="R458">
        <f>1/(COUNT(SimData1!$F$9:$F$508)-1)+$R$457</f>
        <v>0.89979959919839758</v>
      </c>
      <c r="S458">
        <f>SMALL(SimData1!$G$9:$G$508,450)</f>
        <v>12</v>
      </c>
      <c r="T458">
        <f>1/(COUNT(SimData1!$G$9:$G$508)-1)+$T$457</f>
        <v>0.89979959919839758</v>
      </c>
    </row>
    <row r="459" spans="1:20">
      <c r="A459">
        <v>451</v>
      </c>
      <c r="B459">
        <v>11.509186397556045</v>
      </c>
      <c r="C459">
        <v>6.7550444606288904</v>
      </c>
      <c r="D459">
        <v>10.280359063372099</v>
      </c>
      <c r="E459">
        <v>-2.3388842393191611E-2</v>
      </c>
      <c r="F459">
        <v>0.23</v>
      </c>
      <c r="G459">
        <v>12</v>
      </c>
      <c r="I459">
        <f>SMALL(SimData1!$B$9:$B$508,451)</f>
        <v>13.864698511778737</v>
      </c>
      <c r="J459">
        <f>1/(COUNT(SimData1!$B$9:$B$508)-1)+$J$458</f>
        <v>0.90180360721442965</v>
      </c>
      <c r="K459">
        <f>SMALL(SimData1!$C$9:$C$508,451)</f>
        <v>9.202228285648447</v>
      </c>
      <c r="L459">
        <f>1/(COUNT(SimData1!$C$9:$C$508)-1)+$L$458</f>
        <v>0.90180360721442965</v>
      </c>
      <c r="M459">
        <f>SMALL(SimData1!$D$9:$D$508,451)</f>
        <v>15.803616325260048</v>
      </c>
      <c r="N459">
        <f>1/(COUNT(SimData1!$D$9:$D$508)-1)+$N$458</f>
        <v>0.90180360721442965</v>
      </c>
      <c r="O459">
        <f>SMALL(SimData1!$E$9:$E$508,451)</f>
        <v>23.505441116480142</v>
      </c>
      <c r="P459">
        <f>1/(COUNT(SimData1!$E$9:$E$508)-1)+$P$458</f>
        <v>0.90180360721442965</v>
      </c>
      <c r="Q459">
        <f>SMALL(SimData1!$F$9:$F$508,451)</f>
        <v>0.23</v>
      </c>
      <c r="R459">
        <f>1/(COUNT(SimData1!$F$9:$F$508)-1)+$R$458</f>
        <v>0.90180360721442965</v>
      </c>
      <c r="S459">
        <f>SMALL(SimData1!$G$9:$G$508,451)</f>
        <v>12</v>
      </c>
      <c r="T459">
        <f>1/(COUNT(SimData1!$G$9:$G$508)-1)+$T$458</f>
        <v>0.90180360721442965</v>
      </c>
    </row>
    <row r="460" spans="1:20">
      <c r="A460">
        <v>452</v>
      </c>
      <c r="B460">
        <v>6.8823355885645974</v>
      </c>
      <c r="C460">
        <v>8.3215481993596878</v>
      </c>
      <c r="D460">
        <v>14.088447033066409</v>
      </c>
      <c r="E460">
        <v>22.661553328190404</v>
      </c>
      <c r="F460">
        <v>0.23</v>
      </c>
      <c r="G460">
        <v>9</v>
      </c>
      <c r="I460">
        <f>SMALL(SimData1!$B$9:$B$508,452)</f>
        <v>13.880466121834875</v>
      </c>
      <c r="J460">
        <f>1/(COUNT(SimData1!$B$9:$B$508)-1)+$J$459</f>
        <v>0.90380761523046171</v>
      </c>
      <c r="K460">
        <f>SMALL(SimData1!$C$9:$C$508,452)</f>
        <v>9.2258632507384437</v>
      </c>
      <c r="L460">
        <f>1/(COUNT(SimData1!$C$9:$C$508)-1)+$L$459</f>
        <v>0.90380761523046171</v>
      </c>
      <c r="M460">
        <f>SMALL(SimData1!$D$9:$D$508,452)</f>
        <v>15.911265528928318</v>
      </c>
      <c r="N460">
        <f>1/(COUNT(SimData1!$D$9:$D$508)-1)+$N$459</f>
        <v>0.90380761523046171</v>
      </c>
      <c r="O460">
        <f>SMALL(SimData1!$E$9:$E$508,452)</f>
        <v>23.516314032854471</v>
      </c>
      <c r="P460">
        <f>1/(COUNT(SimData1!$E$9:$E$508)-1)+$P$459</f>
        <v>0.90380761523046171</v>
      </c>
      <c r="Q460">
        <f>SMALL(SimData1!$F$9:$F$508,452)</f>
        <v>0.23</v>
      </c>
      <c r="R460">
        <f>1/(COUNT(SimData1!$F$9:$F$508)-1)+$R$459</f>
        <v>0.90380761523046171</v>
      </c>
      <c r="S460">
        <f>SMALL(SimData1!$G$9:$G$508,452)</f>
        <v>12</v>
      </c>
      <c r="T460">
        <f>1/(COUNT(SimData1!$G$9:$G$508)-1)+$T$459</f>
        <v>0.90380761523046171</v>
      </c>
    </row>
    <row r="461" spans="1:20">
      <c r="A461">
        <v>453</v>
      </c>
      <c r="B461">
        <v>13.740406454626616</v>
      </c>
      <c r="C461">
        <v>3.4308542442933785</v>
      </c>
      <c r="D461">
        <v>15.911265528928318</v>
      </c>
      <c r="E461">
        <v>21.636271244501792</v>
      </c>
      <c r="F461">
        <v>0.23</v>
      </c>
      <c r="G461">
        <v>12</v>
      </c>
      <c r="I461">
        <f>SMALL(SimData1!$B$9:$B$508,453)</f>
        <v>13.942236952978915</v>
      </c>
      <c r="J461">
        <f>1/(COUNT(SimData1!$B$9:$B$508)-1)+$J$460</f>
        <v>0.90581162324649378</v>
      </c>
      <c r="K461">
        <f>SMALL(SimData1!$C$9:$C$508,453)</f>
        <v>9.2356585435093521</v>
      </c>
      <c r="L461">
        <f>1/(COUNT(SimData1!$C$9:$C$508)-1)+$L$460</f>
        <v>0.90581162324649378</v>
      </c>
      <c r="M461">
        <f>SMALL(SimData1!$D$9:$D$508,453)</f>
        <v>15.957705472342134</v>
      </c>
      <c r="N461">
        <f>1/(COUNT(SimData1!$D$9:$D$508)-1)+$N$460</f>
        <v>0.90581162324649378</v>
      </c>
      <c r="O461">
        <f>SMALL(SimData1!$E$9:$E$508,453)</f>
        <v>23.525891101995615</v>
      </c>
      <c r="P461">
        <f>1/(COUNT(SimData1!$E$9:$E$508)-1)+$P$460</f>
        <v>0.90581162324649378</v>
      </c>
      <c r="Q461">
        <f>SMALL(SimData1!$F$9:$F$508,453)</f>
        <v>0.23</v>
      </c>
      <c r="R461">
        <f>1/(COUNT(SimData1!$F$9:$F$508)-1)+$R$460</f>
        <v>0.90581162324649378</v>
      </c>
      <c r="S461">
        <f>SMALL(SimData1!$G$9:$G$508,453)</f>
        <v>12</v>
      </c>
      <c r="T461">
        <f>1/(COUNT(SimData1!$G$9:$G$508)-1)+$T$460</f>
        <v>0.90581162324649378</v>
      </c>
    </row>
    <row r="462" spans="1:20">
      <c r="A462">
        <v>454</v>
      </c>
      <c r="B462">
        <v>12.22708402659714</v>
      </c>
      <c r="C462">
        <v>2.0341698242505477</v>
      </c>
      <c r="D462">
        <v>10.206894421292212</v>
      </c>
      <c r="E462">
        <v>22.475352822244666</v>
      </c>
      <c r="F462">
        <v>0.23</v>
      </c>
      <c r="G462">
        <v>6</v>
      </c>
      <c r="I462">
        <f>SMALL(SimData1!$B$9:$B$508,454)</f>
        <v>13.980433259851255</v>
      </c>
      <c r="J462">
        <f>1/(COUNT(SimData1!$B$9:$B$508)-1)+$J$461</f>
        <v>0.90781563126252585</v>
      </c>
      <c r="K462">
        <f>SMALL(SimData1!$C$9:$C$508,454)</f>
        <v>9.2588837166118623</v>
      </c>
      <c r="L462">
        <f>1/(COUNT(SimData1!$C$9:$C$508)-1)+$L$461</f>
        <v>0.90781563126252585</v>
      </c>
      <c r="M462">
        <f>SMALL(SimData1!$D$9:$D$508,454)</f>
        <v>16.016620186006797</v>
      </c>
      <c r="N462">
        <f>1/(COUNT(SimData1!$D$9:$D$508)-1)+$N$461</f>
        <v>0.90781563126252585</v>
      </c>
      <c r="O462">
        <f>SMALL(SimData1!$E$9:$E$508,454)</f>
        <v>23.53596769635195</v>
      </c>
      <c r="P462">
        <f>1/(COUNT(SimData1!$E$9:$E$508)-1)+$P$461</f>
        <v>0.90781563126252585</v>
      </c>
      <c r="Q462">
        <f>SMALL(SimData1!$F$9:$F$508,454)</f>
        <v>0.23</v>
      </c>
      <c r="R462">
        <f>1/(COUNT(SimData1!$F$9:$F$508)-1)+$R$461</f>
        <v>0.90781563126252585</v>
      </c>
      <c r="S462">
        <f>SMALL(SimData1!$G$9:$G$508,454)</f>
        <v>12</v>
      </c>
      <c r="T462">
        <f>1/(COUNT(SimData1!$G$9:$G$508)-1)+$T$461</f>
        <v>0.90781563126252585</v>
      </c>
    </row>
    <row r="463" spans="1:20">
      <c r="A463">
        <v>455</v>
      </c>
      <c r="B463">
        <v>10.006030195586909</v>
      </c>
      <c r="C463">
        <v>9.3291151573511577</v>
      </c>
      <c r="D463">
        <v>9.8814044852483569</v>
      </c>
      <c r="E463">
        <v>22.659503483946075</v>
      </c>
      <c r="F463">
        <v>0.23</v>
      </c>
      <c r="G463">
        <v>2</v>
      </c>
      <c r="I463">
        <f>SMALL(SimData1!$B$9:$B$508,455)</f>
        <v>13.989809821600138</v>
      </c>
      <c r="J463">
        <f>1/(COUNT(SimData1!$B$9:$B$508)-1)+$J$462</f>
        <v>0.90981963927855791</v>
      </c>
      <c r="K463">
        <f>SMALL(SimData1!$C$9:$C$508,455)</f>
        <v>9.267821781662251</v>
      </c>
      <c r="L463">
        <f>1/(COUNT(SimData1!$C$9:$C$508)-1)+$L$462</f>
        <v>0.90981963927855791</v>
      </c>
      <c r="M463">
        <f>SMALL(SimData1!$D$9:$D$508,455)</f>
        <v>16.11112765888663</v>
      </c>
      <c r="N463">
        <f>1/(COUNT(SimData1!$D$9:$D$508)-1)+$N$462</f>
        <v>0.90981963927855791</v>
      </c>
      <c r="O463">
        <f>SMALL(SimData1!$E$9:$E$508,455)</f>
        <v>23.540877507420053</v>
      </c>
      <c r="P463">
        <f>1/(COUNT(SimData1!$E$9:$E$508)-1)+$P$462</f>
        <v>0.90981963927855791</v>
      </c>
      <c r="Q463">
        <f>SMALL(SimData1!$F$9:$F$508,455)</f>
        <v>0.23</v>
      </c>
      <c r="R463">
        <f>1/(COUNT(SimData1!$F$9:$F$508)-1)+$R$462</f>
        <v>0.90981963927855791</v>
      </c>
      <c r="S463">
        <f>SMALL(SimData1!$G$9:$G$508,455)</f>
        <v>12</v>
      </c>
      <c r="T463">
        <f>1/(COUNT(SimData1!$G$9:$G$508)-1)+$T$462</f>
        <v>0.90981963927855791</v>
      </c>
    </row>
    <row r="464" spans="1:20">
      <c r="A464">
        <v>456</v>
      </c>
      <c r="B464">
        <v>10.682306754413762</v>
      </c>
      <c r="C464">
        <v>6.260265684706221</v>
      </c>
      <c r="D464">
        <v>7.4368647771414516</v>
      </c>
      <c r="E464">
        <v>23.034979945538705</v>
      </c>
      <c r="F464">
        <v>0.23</v>
      </c>
      <c r="G464">
        <v>9</v>
      </c>
      <c r="I464">
        <f>SMALL(SimData1!$B$9:$B$508,456)</f>
        <v>14.031963760483118</v>
      </c>
      <c r="J464">
        <f>1/(COUNT(SimData1!$B$9:$B$508)-1)+$J$463</f>
        <v>0.91182364729458998</v>
      </c>
      <c r="K464">
        <f>SMALL(SimData1!$C$9:$C$508,456)</f>
        <v>9.285539457404413</v>
      </c>
      <c r="L464">
        <f>1/(COUNT(SimData1!$C$9:$C$508)-1)+$L$463</f>
        <v>0.91182364729458998</v>
      </c>
      <c r="M464">
        <f>SMALL(SimData1!$D$9:$D$508,456)</f>
        <v>16.176363015381703</v>
      </c>
      <c r="N464">
        <f>1/(COUNT(SimData1!$D$9:$D$508)-1)+$N$463</f>
        <v>0.91182364729458998</v>
      </c>
      <c r="O464">
        <f>SMALL(SimData1!$E$9:$E$508,456)</f>
        <v>23.556956132920384</v>
      </c>
      <c r="P464">
        <f>1/(COUNT(SimData1!$E$9:$E$508)-1)+$P$463</f>
        <v>0.91182364729458998</v>
      </c>
      <c r="Q464">
        <f>SMALL(SimData1!$F$9:$F$508,456)</f>
        <v>0.23</v>
      </c>
      <c r="R464">
        <f>1/(COUNT(SimData1!$F$9:$F$508)-1)+$R$463</f>
        <v>0.91182364729458998</v>
      </c>
      <c r="S464">
        <f>SMALL(SimData1!$G$9:$G$508,456)</f>
        <v>12</v>
      </c>
      <c r="T464">
        <f>1/(COUNT(SimData1!$G$9:$G$508)-1)+$T$463</f>
        <v>0.91182364729458998</v>
      </c>
    </row>
    <row r="465" spans="1:20">
      <c r="A465">
        <v>457</v>
      </c>
      <c r="B465">
        <v>7.7558357589001226</v>
      </c>
      <c r="C465">
        <v>5.371716267104194</v>
      </c>
      <c r="D465">
        <v>10.298596645337202</v>
      </c>
      <c r="E465">
        <v>-1.4422057625217704</v>
      </c>
      <c r="F465">
        <v>0.23</v>
      </c>
      <c r="G465">
        <v>9</v>
      </c>
      <c r="I465">
        <f>SMALL(SimData1!$B$9:$B$508,457)</f>
        <v>14.096828838426442</v>
      </c>
      <c r="J465">
        <f>1/(COUNT(SimData1!$B$9:$B$508)-1)+$J$464</f>
        <v>0.91382765531062204</v>
      </c>
      <c r="K465">
        <f>SMALL(SimData1!$C$9:$C$508,457)</f>
        <v>9.3070825139496201</v>
      </c>
      <c r="L465">
        <f>1/(COUNT(SimData1!$C$9:$C$508)-1)+$L$464</f>
        <v>0.91382765531062204</v>
      </c>
      <c r="M465">
        <f>SMALL(SimData1!$D$9:$D$508,457)</f>
        <v>16.221741474711742</v>
      </c>
      <c r="N465">
        <f>1/(COUNT(SimData1!$D$9:$D$508)-1)+$N$464</f>
        <v>0.91382765531062204</v>
      </c>
      <c r="O465">
        <f>SMALL(SimData1!$E$9:$E$508,457)</f>
        <v>23.56880316853638</v>
      </c>
      <c r="P465">
        <f>1/(COUNT(SimData1!$E$9:$E$508)-1)+$P$464</f>
        <v>0.91382765531062204</v>
      </c>
      <c r="Q465">
        <f>SMALL(SimData1!$F$9:$F$508,457)</f>
        <v>0.23</v>
      </c>
      <c r="R465">
        <f>1/(COUNT(SimData1!$F$9:$F$508)-1)+$R$464</f>
        <v>0.91382765531062204</v>
      </c>
      <c r="S465">
        <f>SMALL(SimData1!$G$9:$G$508,457)</f>
        <v>12</v>
      </c>
      <c r="T465">
        <f>1/(COUNT(SimData1!$G$9:$G$508)-1)+$T$464</f>
        <v>0.91382765531062204</v>
      </c>
    </row>
    <row r="466" spans="1:20">
      <c r="A466">
        <v>458</v>
      </c>
      <c r="B466">
        <v>9.3130390824720113</v>
      </c>
      <c r="C466">
        <v>3.9313483047735289</v>
      </c>
      <c r="D466">
        <v>10.56852706479666</v>
      </c>
      <c r="E466">
        <v>-0.66008798697997606</v>
      </c>
      <c r="F466">
        <v>0.23</v>
      </c>
      <c r="G466">
        <v>12</v>
      </c>
      <c r="I466">
        <f>SMALL(SimData1!$B$9:$B$508,458)</f>
        <v>14.102835411028632</v>
      </c>
      <c r="J466">
        <f>1/(COUNT(SimData1!$B$9:$B$508)-1)+$J$465</f>
        <v>0.91583166332665411</v>
      </c>
      <c r="K466">
        <f>SMALL(SimData1!$C$9:$C$508,458)</f>
        <v>9.3229673839162501</v>
      </c>
      <c r="L466">
        <f>1/(COUNT(SimData1!$C$9:$C$508)-1)+$L$465</f>
        <v>0.91583166332665411</v>
      </c>
      <c r="M466">
        <f>SMALL(SimData1!$D$9:$D$508,458)</f>
        <v>16.300813490671295</v>
      </c>
      <c r="N466">
        <f>1/(COUNT(SimData1!$D$9:$D$508)-1)+$N$465</f>
        <v>0.91583166332665411</v>
      </c>
      <c r="O466">
        <f>SMALL(SimData1!$E$9:$E$508,458)</f>
        <v>23.578758781987656</v>
      </c>
      <c r="P466">
        <f>1/(COUNT(SimData1!$E$9:$E$508)-1)+$P$465</f>
        <v>0.91583166332665411</v>
      </c>
      <c r="Q466">
        <f>SMALL(SimData1!$F$9:$F$508,458)</f>
        <v>0.23</v>
      </c>
      <c r="R466">
        <f>1/(COUNT(SimData1!$F$9:$F$508)-1)+$R$465</f>
        <v>0.91583166332665411</v>
      </c>
      <c r="S466">
        <f>SMALL(SimData1!$G$9:$G$508,458)</f>
        <v>12</v>
      </c>
      <c r="T466">
        <f>1/(COUNT(SimData1!$G$9:$G$508)-1)+$T$465</f>
        <v>0.91583166332665411</v>
      </c>
    </row>
    <row r="467" spans="1:20">
      <c r="A467">
        <v>459</v>
      </c>
      <c r="B467">
        <v>15.133644101718946</v>
      </c>
      <c r="C467">
        <v>8.6492012015677062</v>
      </c>
      <c r="D467">
        <v>10.269880984043208</v>
      </c>
      <c r="E467">
        <v>-0.96678168723652325</v>
      </c>
      <c r="F467">
        <v>0.23</v>
      </c>
      <c r="G467">
        <v>12</v>
      </c>
      <c r="I467">
        <f>SMALL(SimData1!$B$9:$B$508,459)</f>
        <v>14.163262940351238</v>
      </c>
      <c r="J467">
        <f>1/(COUNT(SimData1!$B$9:$B$508)-1)+$J$466</f>
        <v>0.91783567134268618</v>
      </c>
      <c r="K467">
        <f>SMALL(SimData1!$C$9:$C$508,459)</f>
        <v>9.3291151573511577</v>
      </c>
      <c r="L467">
        <f>1/(COUNT(SimData1!$C$9:$C$508)-1)+$L$466</f>
        <v>0.91783567134268618</v>
      </c>
      <c r="M467">
        <f>SMALL(SimData1!$D$9:$D$508,459)</f>
        <v>16.328150473762339</v>
      </c>
      <c r="N467">
        <f>1/(COUNT(SimData1!$D$9:$D$508)-1)+$N$466</f>
        <v>0.91783567134268618</v>
      </c>
      <c r="O467">
        <f>SMALL(SimData1!$E$9:$E$508,459)</f>
        <v>23.582271111933309</v>
      </c>
      <c r="P467">
        <f>1/(COUNT(SimData1!$E$9:$E$508)-1)+$P$466</f>
        <v>0.91783567134268618</v>
      </c>
      <c r="Q467">
        <f>SMALL(SimData1!$F$9:$F$508,459)</f>
        <v>0.23</v>
      </c>
      <c r="R467">
        <f>1/(COUNT(SimData1!$F$9:$F$508)-1)+$R$466</f>
        <v>0.91783567134268618</v>
      </c>
      <c r="S467">
        <f>SMALL(SimData1!$G$9:$G$508,459)</f>
        <v>12</v>
      </c>
      <c r="T467">
        <f>1/(COUNT(SimData1!$G$9:$G$508)-1)+$T$466</f>
        <v>0.91783567134268618</v>
      </c>
    </row>
    <row r="468" spans="1:20">
      <c r="A468">
        <v>460</v>
      </c>
      <c r="B468">
        <v>6.1803421048245601</v>
      </c>
      <c r="C468">
        <v>9.1710277411460481</v>
      </c>
      <c r="D468">
        <v>9.7233545969732464</v>
      </c>
      <c r="E468">
        <v>-0.58874951954761778</v>
      </c>
      <c r="F468">
        <v>0.23</v>
      </c>
      <c r="G468">
        <v>9</v>
      </c>
      <c r="I468">
        <f>SMALL(SimData1!$B$9:$B$508,460)</f>
        <v>14.209816973254723</v>
      </c>
      <c r="J468">
        <f>1/(COUNT(SimData1!$B$9:$B$508)-1)+$J$467</f>
        <v>0.91983967935871824</v>
      </c>
      <c r="K468">
        <f>SMALL(SimData1!$C$9:$C$508,460)</f>
        <v>9.3566038823194351</v>
      </c>
      <c r="L468">
        <f>1/(COUNT(SimData1!$C$9:$C$508)-1)+$L$467</f>
        <v>0.91983967935871824</v>
      </c>
      <c r="M468">
        <f>SMALL(SimData1!$D$9:$D$508,460)</f>
        <v>16.394398036871664</v>
      </c>
      <c r="N468">
        <f>1/(COUNT(SimData1!$D$9:$D$508)-1)+$N$467</f>
        <v>0.91983967935871824</v>
      </c>
      <c r="O468">
        <f>SMALL(SimData1!$E$9:$E$508,460)</f>
        <v>23.599139336396945</v>
      </c>
      <c r="P468">
        <f>1/(COUNT(SimData1!$E$9:$E$508)-1)+$P$467</f>
        <v>0.91983967935871824</v>
      </c>
      <c r="Q468">
        <f>SMALL(SimData1!$F$9:$F$508,460)</f>
        <v>0.23</v>
      </c>
      <c r="R468">
        <f>1/(COUNT(SimData1!$F$9:$F$508)-1)+$R$467</f>
        <v>0.91983967935871824</v>
      </c>
      <c r="S468">
        <f>SMALL(SimData1!$G$9:$G$508,460)</f>
        <v>12</v>
      </c>
      <c r="T468">
        <f>1/(COUNT(SimData1!$G$9:$G$508)-1)+$T$467</f>
        <v>0.91983967935871824</v>
      </c>
    </row>
    <row r="469" spans="1:20">
      <c r="A469">
        <v>461</v>
      </c>
      <c r="B469">
        <v>12.118231158058629</v>
      </c>
      <c r="C469">
        <v>2.1350129277573462</v>
      </c>
      <c r="D469">
        <v>5.8372253010471411</v>
      </c>
      <c r="E469">
        <v>2.1482164719964558E-2</v>
      </c>
      <c r="F469">
        <v>0.23</v>
      </c>
      <c r="G469">
        <v>2</v>
      </c>
      <c r="I469">
        <f>SMALL(SimData1!$B$9:$B$508,461)</f>
        <v>14.215363354120241</v>
      </c>
      <c r="J469">
        <f>1/(COUNT(SimData1!$B$9:$B$508)-1)+$J$468</f>
        <v>0.92184368737475031</v>
      </c>
      <c r="K469">
        <f>SMALL(SimData1!$C$9:$C$508,461)</f>
        <v>9.3663147667772861</v>
      </c>
      <c r="L469">
        <f>1/(COUNT(SimData1!$C$9:$C$508)-1)+$L$468</f>
        <v>0.92184368737475031</v>
      </c>
      <c r="M469">
        <f>SMALL(SimData1!$D$9:$D$508,461)</f>
        <v>16.480161650458388</v>
      </c>
      <c r="N469">
        <f>1/(COUNT(SimData1!$D$9:$D$508)-1)+$N$468</f>
        <v>0.92184368737475031</v>
      </c>
      <c r="O469">
        <f>SMALL(SimData1!$E$9:$E$508,461)</f>
        <v>23.608864112800358</v>
      </c>
      <c r="P469">
        <f>1/(COUNT(SimData1!$E$9:$E$508)-1)+$P$468</f>
        <v>0.92184368737475031</v>
      </c>
      <c r="Q469">
        <f>SMALL(SimData1!$F$9:$F$508,461)</f>
        <v>0.23</v>
      </c>
      <c r="R469">
        <f>1/(COUNT(SimData1!$F$9:$F$508)-1)+$R$468</f>
        <v>0.92184368737475031</v>
      </c>
      <c r="S469">
        <f>SMALL(SimData1!$G$9:$G$508,461)</f>
        <v>12</v>
      </c>
      <c r="T469">
        <f>1/(COUNT(SimData1!$G$9:$G$508)-1)+$T$468</f>
        <v>0.92184368737475031</v>
      </c>
    </row>
    <row r="470" spans="1:20">
      <c r="A470">
        <v>462</v>
      </c>
      <c r="B470">
        <v>9.2647729271452821</v>
      </c>
      <c r="C470">
        <v>3.3065014988245682</v>
      </c>
      <c r="D470">
        <v>2.9906220742386354</v>
      </c>
      <c r="E470">
        <v>21.673177226026006</v>
      </c>
      <c r="F470">
        <v>0.23</v>
      </c>
      <c r="G470">
        <v>10</v>
      </c>
      <c r="I470">
        <f>SMALL(SimData1!$B$9:$B$508,462)</f>
        <v>14.261836786250317</v>
      </c>
      <c r="J470">
        <f>1/(COUNT(SimData1!$B$9:$B$508)-1)+$J$469</f>
        <v>0.92384769539078238</v>
      </c>
      <c r="K470">
        <f>SMALL(SimData1!$C$9:$C$508,462)</f>
        <v>9.3833181735033442</v>
      </c>
      <c r="L470">
        <f>1/(COUNT(SimData1!$C$9:$C$508)-1)+$L$469</f>
        <v>0.92384769539078238</v>
      </c>
      <c r="M470">
        <f>SMALL(SimData1!$D$9:$D$508,462)</f>
        <v>16.525474227433435</v>
      </c>
      <c r="N470">
        <f>1/(COUNT(SimData1!$D$9:$D$508)-1)+$N$469</f>
        <v>0.92384769539078238</v>
      </c>
      <c r="O470">
        <f>SMALL(SimData1!$E$9:$E$508,462)</f>
        <v>23.611186139767149</v>
      </c>
      <c r="P470">
        <f>1/(COUNT(SimData1!$E$9:$E$508)-1)+$P$469</f>
        <v>0.92384769539078238</v>
      </c>
      <c r="Q470">
        <f>SMALL(SimData1!$F$9:$F$508,462)</f>
        <v>0.23</v>
      </c>
      <c r="R470">
        <f>1/(COUNT(SimData1!$F$9:$F$508)-1)+$R$469</f>
        <v>0.92384769539078238</v>
      </c>
      <c r="S470">
        <f>SMALL(SimData1!$G$9:$G$508,462)</f>
        <v>12</v>
      </c>
      <c r="T470">
        <f>1/(COUNT(SimData1!$G$9:$G$508)-1)+$T$469</f>
        <v>0.92384769539078238</v>
      </c>
    </row>
    <row r="471" spans="1:20">
      <c r="A471">
        <v>463</v>
      </c>
      <c r="B471">
        <v>12.593779085732345</v>
      </c>
      <c r="C471">
        <v>2.5564860582194493</v>
      </c>
      <c r="D471">
        <v>2.6099974895291957</v>
      </c>
      <c r="E471">
        <v>-0.84570537964541281</v>
      </c>
      <c r="F471">
        <v>0.23</v>
      </c>
      <c r="G471">
        <v>6</v>
      </c>
      <c r="I471">
        <f>SMALL(SimData1!$B$9:$B$508,463)</f>
        <v>14.327332311284149</v>
      </c>
      <c r="J471">
        <f>1/(COUNT(SimData1!$B$9:$B$508)-1)+$J$470</f>
        <v>0.92585170340681444</v>
      </c>
      <c r="K471">
        <f>SMALL(SimData1!$C$9:$C$508,463)</f>
        <v>9.4045151352464487</v>
      </c>
      <c r="L471">
        <f>1/(COUNT(SimData1!$C$9:$C$508)-1)+$L$470</f>
        <v>0.92585170340681444</v>
      </c>
      <c r="M471">
        <f>SMALL(SimData1!$D$9:$D$508,463)</f>
        <v>16.574807259143984</v>
      </c>
      <c r="N471">
        <f>1/(COUNT(SimData1!$D$9:$D$508)-1)+$N$470</f>
        <v>0.92585170340681444</v>
      </c>
      <c r="O471">
        <f>SMALL(SimData1!$E$9:$E$508,463)</f>
        <v>23.620368381868808</v>
      </c>
      <c r="P471">
        <f>1/(COUNT(SimData1!$E$9:$E$508)-1)+$P$470</f>
        <v>0.92585170340681444</v>
      </c>
      <c r="Q471">
        <f>SMALL(SimData1!$F$9:$F$508,463)</f>
        <v>0.23</v>
      </c>
      <c r="R471">
        <f>1/(COUNT(SimData1!$F$9:$F$508)-1)+$R$470</f>
        <v>0.92585170340681444</v>
      </c>
      <c r="S471">
        <f>SMALL(SimData1!$G$9:$G$508,463)</f>
        <v>12</v>
      </c>
      <c r="T471">
        <f>1/(COUNT(SimData1!$G$9:$G$508)-1)+$T$470</f>
        <v>0.92585170340681444</v>
      </c>
    </row>
    <row r="472" spans="1:20">
      <c r="A472">
        <v>464</v>
      </c>
      <c r="B472">
        <v>9.8205061341773092</v>
      </c>
      <c r="C472">
        <v>7.0061161337788489</v>
      </c>
      <c r="D472">
        <v>2.4291219936360422</v>
      </c>
      <c r="E472">
        <v>1.7640493689339953E-2</v>
      </c>
      <c r="F472">
        <v>0.23</v>
      </c>
      <c r="G472">
        <v>4</v>
      </c>
      <c r="I472">
        <f>SMALL(SimData1!$B$9:$B$508,464)</f>
        <v>14.362484460368652</v>
      </c>
      <c r="J472">
        <f>1/(COUNT(SimData1!$B$9:$B$508)-1)+$J$471</f>
        <v>0.92785571142284651</v>
      </c>
      <c r="K472">
        <f>SMALL(SimData1!$C$9:$C$508,464)</f>
        <v>9.4216509972991531</v>
      </c>
      <c r="L472">
        <f>1/(COUNT(SimData1!$C$9:$C$508)-1)+$L$471</f>
        <v>0.92785571142284651</v>
      </c>
      <c r="M472">
        <f>SMALL(SimData1!$D$9:$D$508,464)</f>
        <v>16.635551626623503</v>
      </c>
      <c r="N472">
        <f>1/(COUNT(SimData1!$D$9:$D$508)-1)+$N$471</f>
        <v>0.92785571142284651</v>
      </c>
      <c r="O472">
        <f>SMALL(SimData1!$E$9:$E$508,464)</f>
        <v>23.631276492760293</v>
      </c>
      <c r="P472">
        <f>1/(COUNT(SimData1!$E$9:$E$508)-1)+$P$471</f>
        <v>0.92785571142284651</v>
      </c>
      <c r="Q472">
        <f>SMALL(SimData1!$F$9:$F$508,464)</f>
        <v>0.23</v>
      </c>
      <c r="R472">
        <f>1/(COUNT(SimData1!$F$9:$F$508)-1)+$R$471</f>
        <v>0.92785571142284651</v>
      </c>
      <c r="S472">
        <f>SMALL(SimData1!$G$9:$G$508,464)</f>
        <v>12</v>
      </c>
      <c r="T472">
        <f>1/(COUNT(SimData1!$G$9:$G$508)-1)+$T$471</f>
        <v>0.92785571142284651</v>
      </c>
    </row>
    <row r="473" spans="1:20">
      <c r="A473">
        <v>465</v>
      </c>
      <c r="B473">
        <v>7.2921056590598434</v>
      </c>
      <c r="C473">
        <v>5.4354759266887509</v>
      </c>
      <c r="D473">
        <v>17.88715531610864</v>
      </c>
      <c r="E473">
        <v>-0.74042059316315179</v>
      </c>
      <c r="F473">
        <v>0.23</v>
      </c>
      <c r="G473">
        <v>2</v>
      </c>
      <c r="I473">
        <f>SMALL(SimData1!$B$9:$B$508,465)</f>
        <v>14.387978072575478</v>
      </c>
      <c r="J473">
        <f>1/(COUNT(SimData1!$B$9:$B$508)-1)+$J$472</f>
        <v>0.92985971943887857</v>
      </c>
      <c r="K473">
        <f>SMALL(SimData1!$C$9:$C$508,465)</f>
        <v>9.4286796556722088</v>
      </c>
      <c r="L473">
        <f>1/(COUNT(SimData1!$C$9:$C$508)-1)+$L$472</f>
        <v>0.92985971943887857</v>
      </c>
      <c r="M473">
        <f>SMALL(SimData1!$D$9:$D$508,465)</f>
        <v>16.717115418543365</v>
      </c>
      <c r="N473">
        <f>1/(COUNT(SimData1!$D$9:$D$508)-1)+$N$472</f>
        <v>0.92985971943887857</v>
      </c>
      <c r="O473">
        <f>SMALL(SimData1!$E$9:$E$508,465)</f>
        <v>23.647148071312454</v>
      </c>
      <c r="P473">
        <f>1/(COUNT(SimData1!$E$9:$E$508)-1)+$P$472</f>
        <v>0.92985971943887857</v>
      </c>
      <c r="Q473">
        <f>SMALL(SimData1!$F$9:$F$508,465)</f>
        <v>0.23</v>
      </c>
      <c r="R473">
        <f>1/(COUNT(SimData1!$F$9:$F$508)-1)+$R$472</f>
        <v>0.92985971943887857</v>
      </c>
      <c r="S473">
        <f>SMALL(SimData1!$G$9:$G$508,465)</f>
        <v>12</v>
      </c>
      <c r="T473">
        <f>1/(COUNT(SimData1!$G$9:$G$508)-1)+$T$472</f>
        <v>0.92985971943887857</v>
      </c>
    </row>
    <row r="474" spans="1:20">
      <c r="A474">
        <v>466</v>
      </c>
      <c r="B474">
        <v>11.688581742681366</v>
      </c>
      <c r="C474">
        <v>2.1046972934884711</v>
      </c>
      <c r="D474">
        <v>10.691103327843152</v>
      </c>
      <c r="E474">
        <v>23.176221816859339</v>
      </c>
      <c r="F474">
        <v>0.23</v>
      </c>
      <c r="G474">
        <v>10</v>
      </c>
      <c r="I474">
        <f>SMALL(SimData1!$B$9:$B$508,466)</f>
        <v>14.440033823068507</v>
      </c>
      <c r="J474">
        <f>1/(COUNT(SimData1!$B$9:$B$508)-1)+$J$473</f>
        <v>0.93186372745491064</v>
      </c>
      <c r="K474">
        <f>SMALL(SimData1!$C$9:$C$508,466)</f>
        <v>9.4533294911266594</v>
      </c>
      <c r="L474">
        <f>1/(COUNT(SimData1!$C$9:$C$508)-1)+$L$473</f>
        <v>0.93186372745491064</v>
      </c>
      <c r="M474">
        <f>SMALL(SimData1!$D$9:$D$508,466)</f>
        <v>16.797927303114424</v>
      </c>
      <c r="N474">
        <f>1/(COUNT(SimData1!$D$9:$D$508)-1)+$N$473</f>
        <v>0.93186372745491064</v>
      </c>
      <c r="O474">
        <f>SMALL(SimData1!$E$9:$E$508,466)</f>
        <v>23.654387939145401</v>
      </c>
      <c r="P474">
        <f>1/(COUNT(SimData1!$E$9:$E$508)-1)+$P$473</f>
        <v>0.93186372745491064</v>
      </c>
      <c r="Q474">
        <f>SMALL(SimData1!$F$9:$F$508,466)</f>
        <v>0.23</v>
      </c>
      <c r="R474">
        <f>1/(COUNT(SimData1!$F$9:$F$508)-1)+$R$473</f>
        <v>0.93186372745491064</v>
      </c>
      <c r="S474">
        <f>SMALL(SimData1!$G$9:$G$508,466)</f>
        <v>12</v>
      </c>
      <c r="T474">
        <f>1/(COUNT(SimData1!$G$9:$G$508)-1)+$T$473</f>
        <v>0.93186372745491064</v>
      </c>
    </row>
    <row r="475" spans="1:20">
      <c r="A475">
        <v>467</v>
      </c>
      <c r="B475">
        <v>10.345987858642424</v>
      </c>
      <c r="C475">
        <v>5.2214876601522526</v>
      </c>
      <c r="D475">
        <v>7.1123454235383177</v>
      </c>
      <c r="E475">
        <v>-1.3279076977608986</v>
      </c>
      <c r="F475">
        <v>0.23</v>
      </c>
      <c r="G475">
        <v>6</v>
      </c>
      <c r="I475">
        <f>SMALL(SimData1!$B$9:$B$508,467)</f>
        <v>14.51235548039875</v>
      </c>
      <c r="J475">
        <f>1/(COUNT(SimData1!$B$9:$B$508)-1)+$J$474</f>
        <v>0.93386773547094271</v>
      </c>
      <c r="K475">
        <f>SMALL(SimData1!$C$9:$C$508,467)</f>
        <v>9.4599180275844219</v>
      </c>
      <c r="L475">
        <f>1/(COUNT(SimData1!$C$9:$C$508)-1)+$L$474</f>
        <v>0.93386773547094271</v>
      </c>
      <c r="M475">
        <f>SMALL(SimData1!$D$9:$D$508,467)</f>
        <v>16.873893116262249</v>
      </c>
      <c r="N475">
        <f>1/(COUNT(SimData1!$D$9:$D$508)-1)+$N$474</f>
        <v>0.93386773547094271</v>
      </c>
      <c r="O475">
        <f>SMALL(SimData1!$E$9:$E$508,467)</f>
        <v>23.661941552552847</v>
      </c>
      <c r="P475">
        <f>1/(COUNT(SimData1!$E$9:$E$508)-1)+$P$474</f>
        <v>0.93386773547094271</v>
      </c>
      <c r="Q475">
        <f>SMALL(SimData1!$F$9:$F$508,467)</f>
        <v>0.23</v>
      </c>
      <c r="R475">
        <f>1/(COUNT(SimData1!$F$9:$F$508)-1)+$R$474</f>
        <v>0.93386773547094271</v>
      </c>
      <c r="S475">
        <f>SMALL(SimData1!$G$9:$G$508,467)</f>
        <v>12</v>
      </c>
      <c r="T475">
        <f>1/(COUNT(SimData1!$G$9:$G$508)-1)+$T$474</f>
        <v>0.93386773547094271</v>
      </c>
    </row>
    <row r="476" spans="1:20">
      <c r="A476">
        <v>468</v>
      </c>
      <c r="B476">
        <v>8.4926280004353281</v>
      </c>
      <c r="C476">
        <v>9.9443697731551648</v>
      </c>
      <c r="D476">
        <v>8.7978763476381729</v>
      </c>
      <c r="E476">
        <v>22.457795330489851</v>
      </c>
      <c r="F476">
        <v>0.23</v>
      </c>
      <c r="G476">
        <v>4</v>
      </c>
      <c r="I476">
        <f>SMALL(SimData1!$B$9:$B$508,468)</f>
        <v>14.553052091377461</v>
      </c>
      <c r="J476">
        <f>1/(COUNT(SimData1!$B$9:$B$508)-1)+$J$475</f>
        <v>0.93587174348697477</v>
      </c>
      <c r="K476">
        <f>SMALL(SimData1!$C$9:$C$508,468)</f>
        <v>9.4865066022422404</v>
      </c>
      <c r="L476">
        <f>1/(COUNT(SimData1!$C$9:$C$508)-1)+$L$475</f>
        <v>0.93587174348697477</v>
      </c>
      <c r="M476">
        <f>SMALL(SimData1!$D$9:$D$508,468)</f>
        <v>16.920447533913062</v>
      </c>
      <c r="N476">
        <f>1/(COUNT(SimData1!$D$9:$D$508)-1)+$N$475</f>
        <v>0.93587174348697477</v>
      </c>
      <c r="O476">
        <f>SMALL(SimData1!$E$9:$E$508,468)</f>
        <v>23.675872178532806</v>
      </c>
      <c r="P476">
        <f>1/(COUNT(SimData1!$E$9:$E$508)-1)+$P$475</f>
        <v>0.93587174348697477</v>
      </c>
      <c r="Q476">
        <f>SMALL(SimData1!$F$9:$F$508,468)</f>
        <v>0.23</v>
      </c>
      <c r="R476">
        <f>1/(COUNT(SimData1!$F$9:$F$508)-1)+$R$475</f>
        <v>0.93587174348697477</v>
      </c>
      <c r="S476">
        <f>SMALL(SimData1!$G$9:$G$508,468)</f>
        <v>12</v>
      </c>
      <c r="T476">
        <f>1/(COUNT(SimData1!$G$9:$G$508)-1)+$T$475</f>
        <v>0.93587174348697477</v>
      </c>
    </row>
    <row r="477" spans="1:20">
      <c r="A477">
        <v>469</v>
      </c>
      <c r="B477">
        <v>5.0714375146645203</v>
      </c>
      <c r="C477">
        <v>8.0996365609326482</v>
      </c>
      <c r="D477">
        <v>2.3997021707481943</v>
      </c>
      <c r="E477">
        <v>5.7965552367629902E-2</v>
      </c>
      <c r="F477">
        <v>0.23</v>
      </c>
      <c r="G477">
        <v>10</v>
      </c>
      <c r="I477">
        <f>SMALL(SimData1!$B$9:$B$508,469)</f>
        <v>14.577157875485826</v>
      </c>
      <c r="J477">
        <f>1/(COUNT(SimData1!$B$9:$B$508)-1)+$J$476</f>
        <v>0.93787575150300684</v>
      </c>
      <c r="K477">
        <f>SMALL(SimData1!$C$9:$C$508,469)</f>
        <v>9.4883422201872669</v>
      </c>
      <c r="L477">
        <f>1/(COUNT(SimData1!$C$9:$C$508)-1)+$L$476</f>
        <v>0.93787575150300684</v>
      </c>
      <c r="M477">
        <f>SMALL(SimData1!$D$9:$D$508,469)</f>
        <v>16.964268299612279</v>
      </c>
      <c r="N477">
        <f>1/(COUNT(SimData1!$D$9:$D$508)-1)+$N$476</f>
        <v>0.93787575150300684</v>
      </c>
      <c r="O477">
        <f>SMALL(SimData1!$E$9:$E$508,469)</f>
        <v>23.687211455760323</v>
      </c>
      <c r="P477">
        <f>1/(COUNT(SimData1!$E$9:$E$508)-1)+$P$476</f>
        <v>0.93787575150300684</v>
      </c>
      <c r="Q477">
        <f>SMALL(SimData1!$F$9:$F$508,469)</f>
        <v>0.23</v>
      </c>
      <c r="R477">
        <f>1/(COUNT(SimData1!$F$9:$F$508)-1)+$R$476</f>
        <v>0.93787575150300684</v>
      </c>
      <c r="S477">
        <f>SMALL(SimData1!$G$9:$G$508,469)</f>
        <v>12</v>
      </c>
      <c r="T477">
        <f>1/(COUNT(SimData1!$G$9:$G$508)-1)+$T$476</f>
        <v>0.93787575150300684</v>
      </c>
    </row>
    <row r="478" spans="1:20">
      <c r="A478">
        <v>470</v>
      </c>
      <c r="B478">
        <v>16.005933389094224</v>
      </c>
      <c r="C478">
        <v>7.2787431534302289</v>
      </c>
      <c r="D478">
        <v>5.8147260716684919</v>
      </c>
      <c r="E478">
        <v>21.914236196286851</v>
      </c>
      <c r="F478">
        <v>0.23</v>
      </c>
      <c r="G478">
        <v>6</v>
      </c>
      <c r="I478">
        <f>SMALL(SimData1!$B$9:$B$508,470)</f>
        <v>14.646797924093669</v>
      </c>
      <c r="J478">
        <f>1/(COUNT(SimData1!$B$9:$B$508)-1)+$J$477</f>
        <v>0.9398797595190389</v>
      </c>
      <c r="K478">
        <f>SMALL(SimData1!$C$9:$C$508,470)</f>
        <v>9.5108479031824622</v>
      </c>
      <c r="L478">
        <f>1/(COUNT(SimData1!$C$9:$C$508)-1)+$L$477</f>
        <v>0.9398797595190389</v>
      </c>
      <c r="M478">
        <f>SMALL(SimData1!$D$9:$D$508,470)</f>
        <v>17.040315711667834</v>
      </c>
      <c r="N478">
        <f>1/(COUNT(SimData1!$D$9:$D$508)-1)+$N$477</f>
        <v>0.9398797595190389</v>
      </c>
      <c r="O478">
        <f>SMALL(SimData1!$E$9:$E$508,470)</f>
        <v>23.69674918867873</v>
      </c>
      <c r="P478">
        <f>1/(COUNT(SimData1!$E$9:$E$508)-1)+$P$477</f>
        <v>0.9398797595190389</v>
      </c>
      <c r="Q478">
        <f>SMALL(SimData1!$F$9:$F$508,470)</f>
        <v>0.23</v>
      </c>
      <c r="R478">
        <f>1/(COUNT(SimData1!$F$9:$F$508)-1)+$R$477</f>
        <v>0.9398797595190389</v>
      </c>
      <c r="S478">
        <f>SMALL(SimData1!$G$9:$G$508,470)</f>
        <v>12</v>
      </c>
      <c r="T478">
        <f>1/(COUNT(SimData1!$G$9:$G$508)-1)+$T$477</f>
        <v>0.9398797595190389</v>
      </c>
    </row>
    <row r="479" spans="1:20">
      <c r="A479">
        <v>471</v>
      </c>
      <c r="B479">
        <v>9.3514961509429035</v>
      </c>
      <c r="C479">
        <v>5.0018395449467565</v>
      </c>
      <c r="D479">
        <v>5.2642873415929001</v>
      </c>
      <c r="E479">
        <v>23.336122825849642</v>
      </c>
      <c r="F479">
        <v>0.23</v>
      </c>
      <c r="G479">
        <v>10</v>
      </c>
      <c r="I479">
        <f>SMALL(SimData1!$B$9:$B$508,471)</f>
        <v>14.699175844658132</v>
      </c>
      <c r="J479">
        <f>1/(COUNT(SimData1!$B$9:$B$508)-1)+$J$478</f>
        <v>0.94188376753507097</v>
      </c>
      <c r="K479">
        <f>SMALL(SimData1!$C$9:$C$508,471)</f>
        <v>9.5237870704987522</v>
      </c>
      <c r="L479">
        <f>1/(COUNT(SimData1!$C$9:$C$508)-1)+$L$478</f>
        <v>0.94188376753507097</v>
      </c>
      <c r="M479">
        <f>SMALL(SimData1!$D$9:$D$508,471)</f>
        <v>17.101292999928187</v>
      </c>
      <c r="N479">
        <f>1/(COUNT(SimData1!$D$9:$D$508)-1)+$N$478</f>
        <v>0.94188376753507097</v>
      </c>
      <c r="O479">
        <f>SMALL(SimData1!$E$9:$E$508,471)</f>
        <v>23.706787151464951</v>
      </c>
      <c r="P479">
        <f>1/(COUNT(SimData1!$E$9:$E$508)-1)+$P$478</f>
        <v>0.94188376753507097</v>
      </c>
      <c r="Q479">
        <f>SMALL(SimData1!$F$9:$F$508,471)</f>
        <v>0.23</v>
      </c>
      <c r="R479">
        <f>1/(COUNT(SimData1!$F$9:$F$508)-1)+$R$478</f>
        <v>0.94188376753507097</v>
      </c>
      <c r="S479">
        <f>SMALL(SimData1!$G$9:$G$508,471)</f>
        <v>12</v>
      </c>
      <c r="T479">
        <f>1/(COUNT(SimData1!$G$9:$G$508)-1)+$T$478</f>
        <v>0.94188376753507097</v>
      </c>
    </row>
    <row r="480" spans="1:20">
      <c r="A480">
        <v>472</v>
      </c>
      <c r="B480">
        <v>9.2252673415095998</v>
      </c>
      <c r="C480">
        <v>7.3278591505400508</v>
      </c>
      <c r="D480">
        <v>2.0501874287673707</v>
      </c>
      <c r="E480">
        <v>-0.94385983276366703</v>
      </c>
      <c r="F480">
        <v>0.23</v>
      </c>
      <c r="G480">
        <v>6</v>
      </c>
      <c r="I480">
        <f>SMALL(SimData1!$B$9:$B$508,472)</f>
        <v>14.760923636964213</v>
      </c>
      <c r="J480">
        <f>1/(COUNT(SimData1!$B$9:$B$508)-1)+$J$479</f>
        <v>0.94388777555110304</v>
      </c>
      <c r="K480">
        <f>SMALL(SimData1!$C$9:$C$508,472)</f>
        <v>9.5470968098368267</v>
      </c>
      <c r="L480">
        <f>1/(COUNT(SimData1!$C$9:$C$508)-1)+$L$479</f>
        <v>0.94388777555110304</v>
      </c>
      <c r="M480">
        <f>SMALL(SimData1!$D$9:$D$508,472)</f>
        <v>17.147880716965506</v>
      </c>
      <c r="N480">
        <f>1/(COUNT(SimData1!$D$9:$D$508)-1)+$N$479</f>
        <v>0.94388777555110304</v>
      </c>
      <c r="O480">
        <f>SMALL(SimData1!$E$9:$E$508,472)</f>
        <v>23.712652408330996</v>
      </c>
      <c r="P480">
        <f>1/(COUNT(SimData1!$E$9:$E$508)-1)+$P$479</f>
        <v>0.94388777555110304</v>
      </c>
      <c r="Q480">
        <f>SMALL(SimData1!$F$9:$F$508,472)</f>
        <v>0.23</v>
      </c>
      <c r="R480">
        <f>1/(COUNT(SimData1!$F$9:$F$508)-1)+$R$479</f>
        <v>0.94388777555110304</v>
      </c>
      <c r="S480">
        <f>SMALL(SimData1!$G$9:$G$508,472)</f>
        <v>12</v>
      </c>
      <c r="T480">
        <f>1/(COUNT(SimData1!$G$9:$G$508)-1)+$T$479</f>
        <v>0.94388777555110304</v>
      </c>
    </row>
    <row r="481" spans="1:20">
      <c r="A481">
        <v>473</v>
      </c>
      <c r="B481">
        <v>12.974674058480732</v>
      </c>
      <c r="C481">
        <v>8.353213494729534</v>
      </c>
      <c r="D481">
        <v>10.221672536914626</v>
      </c>
      <c r="E481">
        <v>21.514702344194706</v>
      </c>
      <c r="F481">
        <v>0.23</v>
      </c>
      <c r="G481">
        <v>2</v>
      </c>
      <c r="I481">
        <f>SMALL(SimData1!$B$9:$B$508,473)</f>
        <v>14.80450794885375</v>
      </c>
      <c r="J481">
        <f>1/(COUNT(SimData1!$B$9:$B$508)-1)+$J$480</f>
        <v>0.9458917835671351</v>
      </c>
      <c r="K481">
        <f>SMALL(SimData1!$C$9:$C$508,473)</f>
        <v>9.5620935935178046</v>
      </c>
      <c r="L481">
        <f>1/(COUNT(SimData1!$C$9:$C$508)-1)+$L$480</f>
        <v>0.9458917835671351</v>
      </c>
      <c r="M481">
        <f>SMALL(SimData1!$D$9:$D$508,473)</f>
        <v>17.267046116067807</v>
      </c>
      <c r="N481">
        <f>1/(COUNT(SimData1!$D$9:$D$508)-1)+$N$480</f>
        <v>0.9458917835671351</v>
      </c>
      <c r="O481">
        <f>SMALL(SimData1!$E$9:$E$508,473)</f>
        <v>23.725841253560482</v>
      </c>
      <c r="P481">
        <f>1/(COUNT(SimData1!$E$9:$E$508)-1)+$P$480</f>
        <v>0.9458917835671351</v>
      </c>
      <c r="Q481">
        <f>SMALL(SimData1!$F$9:$F$508,473)</f>
        <v>0.23</v>
      </c>
      <c r="R481">
        <f>1/(COUNT(SimData1!$F$9:$F$508)-1)+$R$480</f>
        <v>0.9458917835671351</v>
      </c>
      <c r="S481">
        <f>SMALL(SimData1!$G$9:$G$508,473)</f>
        <v>12</v>
      </c>
      <c r="T481">
        <f>1/(COUNT(SimData1!$G$9:$G$508)-1)+$T$480</f>
        <v>0.9458917835671351</v>
      </c>
    </row>
    <row r="482" spans="1:20">
      <c r="A482">
        <v>474</v>
      </c>
      <c r="B482">
        <v>11.66132397309206</v>
      </c>
      <c r="C482">
        <v>6.0455608428785483</v>
      </c>
      <c r="D482">
        <v>8.9163420006251748</v>
      </c>
      <c r="E482">
        <v>-0.39889398366300344</v>
      </c>
      <c r="F482">
        <v>0.23</v>
      </c>
      <c r="G482">
        <v>2</v>
      </c>
      <c r="I482">
        <f>SMALL(SimData1!$B$9:$B$508,474)</f>
        <v>14.840347274746131</v>
      </c>
      <c r="J482">
        <f>1/(COUNT(SimData1!$B$9:$B$508)-1)+$J$481</f>
        <v>0.94789579158316717</v>
      </c>
      <c r="K482">
        <f>SMALL(SimData1!$C$9:$C$508,474)</f>
        <v>9.5732211741258446</v>
      </c>
      <c r="L482">
        <f>1/(COUNT(SimData1!$C$9:$C$508)-1)+$L$481</f>
        <v>0.94789579158316717</v>
      </c>
      <c r="M482">
        <f>SMALL(SimData1!$D$9:$D$508,474)</f>
        <v>17.301168027303454</v>
      </c>
      <c r="N482">
        <f>1/(COUNT(SimData1!$D$9:$D$508)-1)+$N$481</f>
        <v>0.94789579158316717</v>
      </c>
      <c r="O482">
        <f>SMALL(SimData1!$E$9:$E$508,474)</f>
        <v>23.738967272206725</v>
      </c>
      <c r="P482">
        <f>1/(COUNT(SimData1!$E$9:$E$508)-1)+$P$481</f>
        <v>0.94789579158316717</v>
      </c>
      <c r="Q482">
        <f>SMALL(SimData1!$F$9:$F$508,474)</f>
        <v>0.23</v>
      </c>
      <c r="R482">
        <f>1/(COUNT(SimData1!$F$9:$F$508)-1)+$R$481</f>
        <v>0.94789579158316717</v>
      </c>
      <c r="S482">
        <f>SMALL(SimData1!$G$9:$G$508,474)</f>
        <v>12</v>
      </c>
      <c r="T482">
        <f>1/(COUNT(SimData1!$G$9:$G$508)-1)+$T$481</f>
        <v>0.94789579158316717</v>
      </c>
    </row>
    <row r="483" spans="1:20">
      <c r="A483">
        <v>475</v>
      </c>
      <c r="B483">
        <v>6.8388318905048404</v>
      </c>
      <c r="C483">
        <v>4.1516109910662315</v>
      </c>
      <c r="D483">
        <v>10.077696881131665</v>
      </c>
      <c r="E483">
        <v>22.436112657239661</v>
      </c>
      <c r="F483">
        <v>0.23</v>
      </c>
      <c r="G483">
        <v>6</v>
      </c>
      <c r="I483">
        <f>SMALL(SimData1!$B$9:$B$508,475)</f>
        <v>14.925695896474243</v>
      </c>
      <c r="J483">
        <f>1/(COUNT(SimData1!$B$9:$B$508)-1)+$J$482</f>
        <v>0.94989979959919923</v>
      </c>
      <c r="K483">
        <f>SMALL(SimData1!$C$9:$C$508,475)</f>
        <v>9.5885717498000176</v>
      </c>
      <c r="L483">
        <f>1/(COUNT(SimData1!$C$9:$C$508)-1)+$L$482</f>
        <v>0.94989979959919923</v>
      </c>
      <c r="M483">
        <f>SMALL(SimData1!$D$9:$D$508,475)</f>
        <v>17.366771571539054</v>
      </c>
      <c r="N483">
        <f>1/(COUNT(SimData1!$D$9:$D$508)-1)+$N$482</f>
        <v>0.94989979959919923</v>
      </c>
      <c r="O483">
        <f>SMALL(SimData1!$E$9:$E$508,475)</f>
        <v>23.740637354087411</v>
      </c>
      <c r="P483">
        <f>1/(COUNT(SimData1!$E$9:$E$508)-1)+$P$482</f>
        <v>0.94989979959919923</v>
      </c>
      <c r="Q483">
        <f>SMALL(SimData1!$F$9:$F$508,475)</f>
        <v>0.23</v>
      </c>
      <c r="R483">
        <f>1/(COUNT(SimData1!$F$9:$F$508)-1)+$R$482</f>
        <v>0.94989979959919923</v>
      </c>
      <c r="S483">
        <f>SMALL(SimData1!$G$9:$G$508,475)</f>
        <v>12</v>
      </c>
      <c r="T483">
        <f>1/(COUNT(SimData1!$G$9:$G$508)-1)+$T$482</f>
        <v>0.94989979959919923</v>
      </c>
    </row>
    <row r="484" spans="1:20">
      <c r="A484">
        <v>476</v>
      </c>
      <c r="B484">
        <v>15.4349428755592</v>
      </c>
      <c r="C484">
        <v>2.0509533444873416</v>
      </c>
      <c r="D484">
        <v>5.3486254914525491</v>
      </c>
      <c r="E484">
        <v>23.354749352605062</v>
      </c>
      <c r="F484">
        <v>0.23</v>
      </c>
      <c r="G484">
        <v>9</v>
      </c>
      <c r="I484">
        <f>SMALL(SimData1!$B$9:$B$508,476)</f>
        <v>14.972449592575899</v>
      </c>
      <c r="J484">
        <f>1/(COUNT(SimData1!$B$9:$B$508)-1)+$J$483</f>
        <v>0.9519038076152313</v>
      </c>
      <c r="K484">
        <f>SMALL(SimData1!$C$9:$C$508,476)</f>
        <v>9.6142198983538485</v>
      </c>
      <c r="L484">
        <f>1/(COUNT(SimData1!$C$9:$C$508)-1)+$L$483</f>
        <v>0.9519038076152313</v>
      </c>
      <c r="M484">
        <f>SMALL(SimData1!$D$9:$D$508,476)</f>
        <v>17.458390335856564</v>
      </c>
      <c r="N484">
        <f>1/(COUNT(SimData1!$D$9:$D$508)-1)+$N$483</f>
        <v>0.9519038076152313</v>
      </c>
      <c r="O484">
        <f>SMALL(SimData1!$E$9:$E$508,476)</f>
        <v>23.752498658349911</v>
      </c>
      <c r="P484">
        <f>1/(COUNT(SimData1!$E$9:$E$508)-1)+$P$483</f>
        <v>0.9519038076152313</v>
      </c>
      <c r="Q484">
        <f>SMALL(SimData1!$F$9:$F$508,476)</f>
        <v>0.23</v>
      </c>
      <c r="R484">
        <f>1/(COUNT(SimData1!$F$9:$F$508)-1)+$R$483</f>
        <v>0.9519038076152313</v>
      </c>
      <c r="S484">
        <f>SMALL(SimData1!$G$9:$G$508,476)</f>
        <v>12</v>
      </c>
      <c r="T484">
        <f>1/(COUNT(SimData1!$G$9:$G$508)-1)+$T$483</f>
        <v>0.9519038076152313</v>
      </c>
    </row>
    <row r="485" spans="1:20">
      <c r="A485">
        <v>477</v>
      </c>
      <c r="B485">
        <v>4.5940721845878256</v>
      </c>
      <c r="C485">
        <v>3.3865775648417364</v>
      </c>
      <c r="D485">
        <v>3.3876627316204049</v>
      </c>
      <c r="E485">
        <v>-1.4540903480586256</v>
      </c>
      <c r="F485">
        <v>0.23</v>
      </c>
      <c r="G485">
        <v>2</v>
      </c>
      <c r="I485">
        <f>SMALL(SimData1!$B$9:$B$508,477)</f>
        <v>15.026879720450987</v>
      </c>
      <c r="J485">
        <f>1/(COUNT(SimData1!$B$9:$B$508)-1)+$J$484</f>
        <v>0.95390781563126337</v>
      </c>
      <c r="K485">
        <f>SMALL(SimData1!$C$9:$C$508,477)</f>
        <v>9.6184045848442246</v>
      </c>
      <c r="L485">
        <f>1/(COUNT(SimData1!$C$9:$C$508)-1)+$L$484</f>
        <v>0.95390781563126337</v>
      </c>
      <c r="M485">
        <f>SMALL(SimData1!$D$9:$D$508,477)</f>
        <v>17.513165857073194</v>
      </c>
      <c r="N485">
        <f>1/(COUNT(SimData1!$D$9:$D$508)-1)+$N$484</f>
        <v>0.95390781563126337</v>
      </c>
      <c r="O485">
        <f>SMALL(SimData1!$E$9:$E$508,477)</f>
        <v>23.763985649843239</v>
      </c>
      <c r="P485">
        <f>1/(COUNT(SimData1!$E$9:$E$508)-1)+$P$484</f>
        <v>0.95390781563126337</v>
      </c>
      <c r="Q485">
        <f>SMALL(SimData1!$F$9:$F$508,477)</f>
        <v>0.23</v>
      </c>
      <c r="R485">
        <f>1/(COUNT(SimData1!$F$9:$F$508)-1)+$R$484</f>
        <v>0.95390781563126337</v>
      </c>
      <c r="S485">
        <f>SMALL(SimData1!$G$9:$G$508,477)</f>
        <v>12</v>
      </c>
      <c r="T485">
        <f>1/(COUNT(SimData1!$G$9:$G$508)-1)+$T$484</f>
        <v>0.95390781563126337</v>
      </c>
    </row>
    <row r="486" spans="1:20">
      <c r="A486">
        <v>478</v>
      </c>
      <c r="B486">
        <v>9.1830328611590772</v>
      </c>
      <c r="C486">
        <v>7.4004236140345272</v>
      </c>
      <c r="D486">
        <v>13.281582693333174</v>
      </c>
      <c r="E486">
        <v>23.824157392857934</v>
      </c>
      <c r="F486">
        <v>0.23</v>
      </c>
      <c r="G486">
        <v>2</v>
      </c>
      <c r="I486">
        <f>SMALL(SimData1!$B$9:$B$508,478)</f>
        <v>15.117815428832028</v>
      </c>
      <c r="J486">
        <f>1/(COUNT(SimData1!$B$9:$B$508)-1)+$J$485</f>
        <v>0.95591182364729543</v>
      </c>
      <c r="K486">
        <f>SMALL(SimData1!$C$9:$C$508,478)</f>
        <v>9.6334544820565391</v>
      </c>
      <c r="L486">
        <f>1/(COUNT(SimData1!$C$9:$C$508)-1)+$L$485</f>
        <v>0.95591182364729543</v>
      </c>
      <c r="M486">
        <f>SMALL(SimData1!$D$9:$D$508,478)</f>
        <v>17.578127410006275</v>
      </c>
      <c r="N486">
        <f>1/(COUNT(SimData1!$D$9:$D$508)-1)+$N$485</f>
        <v>0.95591182364729543</v>
      </c>
      <c r="O486">
        <f>SMALL(SimData1!$E$9:$E$508,478)</f>
        <v>23.770556928246798</v>
      </c>
      <c r="P486">
        <f>1/(COUNT(SimData1!$E$9:$E$508)-1)+$P$485</f>
        <v>0.95591182364729543</v>
      </c>
      <c r="Q486">
        <f>SMALL(SimData1!$F$9:$F$508,478)</f>
        <v>0.23</v>
      </c>
      <c r="R486">
        <f>1/(COUNT(SimData1!$F$9:$F$508)-1)+$R$485</f>
        <v>0.95591182364729543</v>
      </c>
      <c r="S486">
        <f>SMALL(SimData1!$G$9:$G$508,478)</f>
        <v>12</v>
      </c>
      <c r="T486">
        <f>1/(COUNT(SimData1!$G$9:$G$508)-1)+$T$485</f>
        <v>0.95591182364729543</v>
      </c>
    </row>
    <row r="487" spans="1:20">
      <c r="A487">
        <v>479</v>
      </c>
      <c r="B487">
        <v>13.402049985529843</v>
      </c>
      <c r="C487">
        <v>8.073874025708502</v>
      </c>
      <c r="D487">
        <v>2.179673671164474</v>
      </c>
      <c r="E487">
        <v>-0.12034916382560334</v>
      </c>
      <c r="F487">
        <v>0.23</v>
      </c>
      <c r="G487">
        <v>2</v>
      </c>
      <c r="I487">
        <f>SMALL(SimData1!$B$9:$B$508,479)</f>
        <v>15.133644101718946</v>
      </c>
      <c r="J487">
        <f>1/(COUNT(SimData1!$B$9:$B$508)-1)+$J$486</f>
        <v>0.9579158316633275</v>
      </c>
      <c r="K487">
        <f>SMALL(SimData1!$C$9:$C$508,479)</f>
        <v>9.6523006258616917</v>
      </c>
      <c r="L487">
        <f>1/(COUNT(SimData1!$C$9:$C$508)-1)+$L$486</f>
        <v>0.9579158316633275</v>
      </c>
      <c r="M487">
        <f>SMALL(SimData1!$D$9:$D$508,479)</f>
        <v>17.650332187889685</v>
      </c>
      <c r="N487">
        <f>1/(COUNT(SimData1!$D$9:$D$508)-1)+$N$486</f>
        <v>0.9579158316633275</v>
      </c>
      <c r="O487">
        <f>SMALL(SimData1!$E$9:$E$508,479)</f>
        <v>23.781366547030807</v>
      </c>
      <c r="P487">
        <f>1/(COUNT(SimData1!$E$9:$E$508)-1)+$P$486</f>
        <v>0.9579158316633275</v>
      </c>
      <c r="Q487">
        <f>SMALL(SimData1!$F$9:$F$508,479)</f>
        <v>0.23</v>
      </c>
      <c r="R487">
        <f>1/(COUNT(SimData1!$F$9:$F$508)-1)+$R$486</f>
        <v>0.9579158316633275</v>
      </c>
      <c r="S487">
        <f>SMALL(SimData1!$G$9:$G$508,479)</f>
        <v>12</v>
      </c>
      <c r="T487">
        <f>1/(COUNT(SimData1!$G$9:$G$508)-1)+$T$486</f>
        <v>0.9579158316633275</v>
      </c>
    </row>
    <row r="488" spans="1:20">
      <c r="A488">
        <v>480</v>
      </c>
      <c r="B488">
        <v>7.6071037986090548</v>
      </c>
      <c r="C488">
        <v>8.7331709527292212</v>
      </c>
      <c r="D488">
        <v>5.6484159689993634</v>
      </c>
      <c r="E488">
        <v>22.365291313760892</v>
      </c>
      <c r="F488">
        <v>0.23</v>
      </c>
      <c r="G488">
        <v>9</v>
      </c>
      <c r="I488">
        <f>SMALL(SimData1!$B$9:$B$508,480)</f>
        <v>15.197515799247554</v>
      </c>
      <c r="J488">
        <f>1/(COUNT(SimData1!$B$9:$B$508)-1)+$J$487</f>
        <v>0.95991983967935957</v>
      </c>
      <c r="K488">
        <f>SMALL(SimData1!$C$9:$C$508,480)</f>
        <v>9.6645227026493572</v>
      </c>
      <c r="L488">
        <f>1/(COUNT(SimData1!$C$9:$C$508)-1)+$L$487</f>
        <v>0.95991983967935957</v>
      </c>
      <c r="M488">
        <f>SMALL(SimData1!$D$9:$D$508,480)</f>
        <v>17.658977262348632</v>
      </c>
      <c r="N488">
        <f>1/(COUNT(SimData1!$D$9:$D$508)-1)+$N$487</f>
        <v>0.95991983967935957</v>
      </c>
      <c r="O488">
        <f>SMALL(SimData1!$E$9:$E$508,480)</f>
        <v>23.79123877342095</v>
      </c>
      <c r="P488">
        <f>1/(COUNT(SimData1!$E$9:$E$508)-1)+$P$487</f>
        <v>0.95991983967935957</v>
      </c>
      <c r="Q488">
        <f>SMALL(SimData1!$F$9:$F$508,480)</f>
        <v>0.23</v>
      </c>
      <c r="R488">
        <f>1/(COUNT(SimData1!$F$9:$F$508)-1)+$R$487</f>
        <v>0.95991983967935957</v>
      </c>
      <c r="S488">
        <f>SMALL(SimData1!$G$9:$G$508,480)</f>
        <v>12</v>
      </c>
      <c r="T488">
        <f>1/(COUNT(SimData1!$G$9:$G$508)-1)+$T$487</f>
        <v>0.95991983967935957</v>
      </c>
    </row>
    <row r="489" spans="1:20">
      <c r="A489">
        <v>481</v>
      </c>
      <c r="B489">
        <v>11.150124466927041</v>
      </c>
      <c r="C489">
        <v>4.9317404618383716</v>
      </c>
      <c r="D489">
        <v>11.233615144784007</v>
      </c>
      <c r="E489">
        <v>22.898208069012327</v>
      </c>
      <c r="F489">
        <v>0.23</v>
      </c>
      <c r="G489">
        <v>9</v>
      </c>
      <c r="I489">
        <f>SMALL(SimData1!$B$9:$B$508,481)</f>
        <v>15.285089601543849</v>
      </c>
      <c r="J489">
        <f>1/(COUNT(SimData1!$B$9:$B$508)-1)+$J$488</f>
        <v>0.96192384769539163</v>
      </c>
      <c r="K489">
        <f>SMALL(SimData1!$C$9:$C$508,481)</f>
        <v>9.6940952899749604</v>
      </c>
      <c r="L489">
        <f>1/(COUNT(SimData1!$C$9:$C$508)-1)+$L$488</f>
        <v>0.96192384769539163</v>
      </c>
      <c r="M489">
        <f>SMALL(SimData1!$D$9:$D$508,481)</f>
        <v>17.749584986872406</v>
      </c>
      <c r="N489">
        <f>1/(COUNT(SimData1!$D$9:$D$508)-1)+$N$488</f>
        <v>0.96192384769539163</v>
      </c>
      <c r="O489">
        <f>SMALL(SimData1!$E$9:$E$508,481)</f>
        <v>23.804496755628648</v>
      </c>
      <c r="P489">
        <f>1/(COUNT(SimData1!$E$9:$E$508)-1)+$P$488</f>
        <v>0.96192384769539163</v>
      </c>
      <c r="Q489">
        <f>SMALL(SimData1!$F$9:$F$508,481)</f>
        <v>0.23</v>
      </c>
      <c r="R489">
        <f>1/(COUNT(SimData1!$F$9:$F$508)-1)+$R$488</f>
        <v>0.96192384769539163</v>
      </c>
      <c r="S489">
        <f>SMALL(SimData1!$G$9:$G$508,481)</f>
        <v>12</v>
      </c>
      <c r="T489">
        <f>1/(COUNT(SimData1!$G$9:$G$508)-1)+$T$488</f>
        <v>0.96192384769539163</v>
      </c>
    </row>
    <row r="490" spans="1:20">
      <c r="A490">
        <v>482</v>
      </c>
      <c r="B490">
        <v>10.537958033253975</v>
      </c>
      <c r="C490">
        <v>5.3996855801510826</v>
      </c>
      <c r="D490">
        <v>15.278588702065544</v>
      </c>
      <c r="E490">
        <v>23.611186139767149</v>
      </c>
      <c r="F490">
        <v>0.23</v>
      </c>
      <c r="G490">
        <v>4</v>
      </c>
      <c r="I490">
        <f>SMALL(SimData1!$B$9:$B$508,482)</f>
        <v>15.383482971179019</v>
      </c>
      <c r="J490">
        <f>1/(COUNT(SimData1!$B$9:$B$508)-1)+$J$489</f>
        <v>0.9639278557114237</v>
      </c>
      <c r="K490">
        <f>SMALL(SimData1!$C$9:$C$508,482)</f>
        <v>9.7081207930585656</v>
      </c>
      <c r="L490">
        <f>1/(COUNT(SimData1!$C$9:$C$508)-1)+$L$489</f>
        <v>0.9639278557114237</v>
      </c>
      <c r="M490">
        <f>SMALL(SimData1!$D$9:$D$508,482)</f>
        <v>17.81511573418209</v>
      </c>
      <c r="N490">
        <f>1/(COUNT(SimData1!$D$9:$D$508)-1)+$N$489</f>
        <v>0.9639278557114237</v>
      </c>
      <c r="O490">
        <f>SMALL(SimData1!$E$9:$E$508,482)</f>
        <v>23.813989843825215</v>
      </c>
      <c r="P490">
        <f>1/(COUNT(SimData1!$E$9:$E$508)-1)+$P$489</f>
        <v>0.9639278557114237</v>
      </c>
      <c r="Q490">
        <f>SMALL(SimData1!$F$9:$F$508,482)</f>
        <v>0.23</v>
      </c>
      <c r="R490">
        <f>1/(COUNT(SimData1!$F$9:$F$508)-1)+$R$489</f>
        <v>0.9639278557114237</v>
      </c>
      <c r="S490">
        <f>SMALL(SimData1!$G$9:$G$508,482)</f>
        <v>12</v>
      </c>
      <c r="T490">
        <f>1/(COUNT(SimData1!$G$9:$G$508)-1)+$T$489</f>
        <v>0.9639278557114237</v>
      </c>
    </row>
    <row r="491" spans="1:20">
      <c r="A491">
        <v>483</v>
      </c>
      <c r="B491">
        <v>9.4829670072757981</v>
      </c>
      <c r="C491">
        <v>7.5031717977819898</v>
      </c>
      <c r="D491">
        <v>9.5600670627653752</v>
      </c>
      <c r="E491">
        <v>-1.234254486475199</v>
      </c>
      <c r="F491">
        <v>0.23</v>
      </c>
      <c r="G491">
        <v>12</v>
      </c>
      <c r="I491">
        <f>SMALL(SimData1!$B$9:$B$508,483)</f>
        <v>15.4349428755592</v>
      </c>
      <c r="J491">
        <f>1/(COUNT(SimData1!$B$9:$B$508)-1)+$J$490</f>
        <v>0.96593186372745576</v>
      </c>
      <c r="K491">
        <f>SMALL(SimData1!$C$9:$C$508,483)</f>
        <v>9.7182512673601167</v>
      </c>
      <c r="L491">
        <f>1/(COUNT(SimData1!$C$9:$C$508)-1)+$L$490</f>
        <v>0.96593186372745576</v>
      </c>
      <c r="M491">
        <f>SMALL(SimData1!$D$9:$D$508,483)</f>
        <v>17.88715531610864</v>
      </c>
      <c r="N491">
        <f>1/(COUNT(SimData1!$D$9:$D$508)-1)+$N$490</f>
        <v>0.96593186372745576</v>
      </c>
      <c r="O491">
        <f>SMALL(SimData1!$E$9:$E$508,483)</f>
        <v>23.824157392857934</v>
      </c>
      <c r="P491">
        <f>1/(COUNT(SimData1!$E$9:$E$508)-1)+$P$490</f>
        <v>0.96593186372745576</v>
      </c>
      <c r="Q491">
        <f>SMALL(SimData1!$F$9:$F$508,483)</f>
        <v>0.23</v>
      </c>
      <c r="R491">
        <f>1/(COUNT(SimData1!$F$9:$F$508)-1)+$R$490</f>
        <v>0.96593186372745576</v>
      </c>
      <c r="S491">
        <f>SMALL(SimData1!$G$9:$G$508,483)</f>
        <v>12</v>
      </c>
      <c r="T491">
        <f>1/(COUNT(SimData1!$G$9:$G$508)-1)+$T$490</f>
        <v>0.96593186372745576</v>
      </c>
    </row>
    <row r="492" spans="1:20">
      <c r="A492">
        <v>484</v>
      </c>
      <c r="B492">
        <v>9.7829199064440573</v>
      </c>
      <c r="C492">
        <v>6.3657653722087311</v>
      </c>
      <c r="D492">
        <v>18.6292358984829</v>
      </c>
      <c r="E492">
        <v>0.19488278730684683</v>
      </c>
      <c r="F492">
        <v>0.23</v>
      </c>
      <c r="G492">
        <v>2</v>
      </c>
      <c r="I492">
        <f>SMALL(SimData1!$B$9:$B$508,484)</f>
        <v>15.524582132050627</v>
      </c>
      <c r="J492">
        <f>1/(COUNT(SimData1!$B$9:$B$508)-1)+$J$491</f>
        <v>0.96793587174348783</v>
      </c>
      <c r="K492">
        <f>SMALL(SimData1!$C$9:$C$508,484)</f>
        <v>9.7352838128151582</v>
      </c>
      <c r="L492">
        <f>1/(COUNT(SimData1!$C$9:$C$508)-1)+$L$491</f>
        <v>0.96793587174348783</v>
      </c>
      <c r="M492">
        <f>SMALL(SimData1!$D$9:$D$508,484)</f>
        <v>17.921312220769309</v>
      </c>
      <c r="N492">
        <f>1/(COUNT(SimData1!$D$9:$D$508)-1)+$N$491</f>
        <v>0.96793587174348783</v>
      </c>
      <c r="O492">
        <f>SMALL(SimData1!$E$9:$E$508,484)</f>
        <v>23.836557688575645</v>
      </c>
      <c r="P492">
        <f>1/(COUNT(SimData1!$E$9:$E$508)-1)+$P$491</f>
        <v>0.96793587174348783</v>
      </c>
      <c r="Q492">
        <f>SMALL(SimData1!$F$9:$F$508,484)</f>
        <v>0.23</v>
      </c>
      <c r="R492">
        <f>1/(COUNT(SimData1!$F$9:$F$508)-1)+$R$491</f>
        <v>0.96793587174348783</v>
      </c>
      <c r="S492">
        <f>SMALL(SimData1!$G$9:$G$508,484)</f>
        <v>12</v>
      </c>
      <c r="T492">
        <f>1/(COUNT(SimData1!$G$9:$G$508)-1)+$T$491</f>
        <v>0.96793587174348783</v>
      </c>
    </row>
    <row r="493" spans="1:20">
      <c r="A493">
        <v>485</v>
      </c>
      <c r="B493">
        <v>10.610802103648144</v>
      </c>
      <c r="C493">
        <v>5.6144623239744602</v>
      </c>
      <c r="D493">
        <v>16.394398036871664</v>
      </c>
      <c r="E493">
        <v>21.742972034452979</v>
      </c>
      <c r="F493">
        <v>0.23</v>
      </c>
      <c r="G493">
        <v>4</v>
      </c>
      <c r="I493">
        <f>SMALL(SimData1!$B$9:$B$508,485)</f>
        <v>15.609349421668593</v>
      </c>
      <c r="J493">
        <f>1/(COUNT(SimData1!$B$9:$B$508)-1)+$J$492</f>
        <v>0.9699398797595199</v>
      </c>
      <c r="K493">
        <f>SMALL(SimData1!$C$9:$C$508,485)</f>
        <v>9.7577951656016051</v>
      </c>
      <c r="L493">
        <f>1/(COUNT(SimData1!$C$9:$C$508)-1)+$L$492</f>
        <v>0.9699398797595199</v>
      </c>
      <c r="M493">
        <f>SMALL(SimData1!$D$9:$D$508,485)</f>
        <v>17.977407813042731</v>
      </c>
      <c r="N493">
        <f>1/(COUNT(SimData1!$D$9:$D$508)-1)+$N$492</f>
        <v>0.9699398797595199</v>
      </c>
      <c r="O493">
        <f>SMALL(SimData1!$E$9:$E$508,485)</f>
        <v>23.844117547895618</v>
      </c>
      <c r="P493">
        <f>1/(COUNT(SimData1!$E$9:$E$508)-1)+$P$492</f>
        <v>0.9699398797595199</v>
      </c>
      <c r="Q493">
        <f>SMALL(SimData1!$F$9:$F$508,485)</f>
        <v>0.23</v>
      </c>
      <c r="R493">
        <f>1/(COUNT(SimData1!$F$9:$F$508)-1)+$R$492</f>
        <v>0.9699398797595199</v>
      </c>
      <c r="S493">
        <f>SMALL(SimData1!$G$9:$G$508,485)</f>
        <v>12</v>
      </c>
      <c r="T493">
        <f>1/(COUNT(SimData1!$G$9:$G$508)-1)+$T$492</f>
        <v>0.9699398797595199</v>
      </c>
    </row>
    <row r="494" spans="1:20">
      <c r="A494">
        <v>486</v>
      </c>
      <c r="B494">
        <v>0.73219156403563801</v>
      </c>
      <c r="C494">
        <v>8.1184512338727828</v>
      </c>
      <c r="D494">
        <v>2.2257386691816472</v>
      </c>
      <c r="E494">
        <v>-1.1791267671910222</v>
      </c>
      <c r="F494">
        <v>0.23</v>
      </c>
      <c r="G494">
        <v>12</v>
      </c>
      <c r="I494">
        <f>SMALL(SimData1!$B$9:$B$508,486)</f>
        <v>15.667879568354575</v>
      </c>
      <c r="J494">
        <f>1/(COUNT(SimData1!$B$9:$B$508)-1)+$J$493</f>
        <v>0.97194388777555196</v>
      </c>
      <c r="K494">
        <f>SMALL(SimData1!$C$9:$C$508,486)</f>
        <v>9.7688187668157784</v>
      </c>
      <c r="L494">
        <f>1/(COUNT(SimData1!$C$9:$C$508)-1)+$L$493</f>
        <v>0.97194388777555196</v>
      </c>
      <c r="M494">
        <f>SMALL(SimData1!$D$9:$D$508,486)</f>
        <v>18.064315800195633</v>
      </c>
      <c r="N494">
        <f>1/(COUNT(SimData1!$D$9:$D$508)-1)+$N$493</f>
        <v>0.97194388777555196</v>
      </c>
      <c r="O494">
        <f>SMALL(SimData1!$E$9:$E$508,486)</f>
        <v>23.85287729883791</v>
      </c>
      <c r="P494">
        <f>1/(COUNT(SimData1!$E$9:$E$508)-1)+$P$493</f>
        <v>0.97194388777555196</v>
      </c>
      <c r="Q494">
        <f>SMALL(SimData1!$F$9:$F$508,486)</f>
        <v>0.23</v>
      </c>
      <c r="R494">
        <f>1/(COUNT(SimData1!$F$9:$F$508)-1)+$R$493</f>
        <v>0.97194388777555196</v>
      </c>
      <c r="S494">
        <f>SMALL(SimData1!$G$9:$G$508,486)</f>
        <v>12</v>
      </c>
      <c r="T494">
        <f>1/(COUNT(SimData1!$G$9:$G$508)-1)+$T$493</f>
        <v>0.97194388777555196</v>
      </c>
    </row>
    <row r="495" spans="1:20">
      <c r="A495">
        <v>487</v>
      </c>
      <c r="B495">
        <v>11.790235693983321</v>
      </c>
      <c r="C495">
        <v>2.8311581918408999</v>
      </c>
      <c r="D495">
        <v>12.857869631395179</v>
      </c>
      <c r="E495">
        <v>22.281503665648493</v>
      </c>
      <c r="F495">
        <v>0.23</v>
      </c>
      <c r="G495">
        <v>2</v>
      </c>
      <c r="I495">
        <f>SMALL(SimData1!$B$9:$B$508,487)</f>
        <v>15.756112904456746</v>
      </c>
      <c r="J495">
        <f>1/(COUNT(SimData1!$B$9:$B$508)-1)+$J$494</f>
        <v>0.97394789579158403</v>
      </c>
      <c r="K495">
        <f>SMALL(SimData1!$C$9:$C$508,487)</f>
        <v>9.7893245343634216</v>
      </c>
      <c r="L495">
        <f>1/(COUNT(SimData1!$C$9:$C$508)-1)+$L$494</f>
        <v>0.97394789579158403</v>
      </c>
      <c r="M495">
        <f>SMALL(SimData1!$D$9:$D$508,487)</f>
        <v>18.143075759181539</v>
      </c>
      <c r="N495">
        <f>1/(COUNT(SimData1!$D$9:$D$508)-1)+$N$494</f>
        <v>0.97394789579158403</v>
      </c>
      <c r="O495">
        <f>SMALL(SimData1!$E$9:$E$508,487)</f>
        <v>23.866960095196777</v>
      </c>
      <c r="P495">
        <f>1/(COUNT(SimData1!$E$9:$E$508)-1)+$P$494</f>
        <v>0.97394789579158403</v>
      </c>
      <c r="Q495">
        <f>SMALL(SimData1!$F$9:$F$508,487)</f>
        <v>0.23</v>
      </c>
      <c r="R495">
        <f>1/(COUNT(SimData1!$F$9:$F$508)-1)+$R$494</f>
        <v>0.97394789579158403</v>
      </c>
      <c r="S495">
        <f>SMALL(SimData1!$G$9:$G$508,487)</f>
        <v>12</v>
      </c>
      <c r="T495">
        <f>1/(COUNT(SimData1!$G$9:$G$508)-1)+$T$494</f>
        <v>0.97394789579158403</v>
      </c>
    </row>
    <row r="496" spans="1:20">
      <c r="A496">
        <v>488</v>
      </c>
      <c r="B496">
        <v>10.903827481502981</v>
      </c>
      <c r="C496">
        <v>2.1541696068742708</v>
      </c>
      <c r="D496">
        <v>9.4187431683434966</v>
      </c>
      <c r="E496">
        <v>-0.54435161209909289</v>
      </c>
      <c r="F496">
        <v>0.23</v>
      </c>
      <c r="G496">
        <v>10</v>
      </c>
      <c r="I496">
        <f>SMALL(SimData1!$B$9:$B$508,488)</f>
        <v>15.901613158468628</v>
      </c>
      <c r="J496">
        <f>1/(COUNT(SimData1!$B$9:$B$508)-1)+$J$495</f>
        <v>0.97595190380761609</v>
      </c>
      <c r="K496">
        <f>SMALL(SimData1!$C$9:$C$508,488)</f>
        <v>9.7933694472651389</v>
      </c>
      <c r="L496">
        <f>1/(COUNT(SimData1!$C$9:$C$508)-1)+$L$495</f>
        <v>0.97595190380761609</v>
      </c>
      <c r="M496">
        <f>SMALL(SimData1!$D$9:$D$508,488)</f>
        <v>18.185695629153798</v>
      </c>
      <c r="N496">
        <f>1/(COUNT(SimData1!$D$9:$D$508)-1)+$N$495</f>
        <v>0.97595190380761609</v>
      </c>
      <c r="O496">
        <f>SMALL(SimData1!$E$9:$E$508,488)</f>
        <v>23.873907065506902</v>
      </c>
      <c r="P496">
        <f>1/(COUNT(SimData1!$E$9:$E$508)-1)+$P$495</f>
        <v>0.97595190380761609</v>
      </c>
      <c r="Q496">
        <f>SMALL(SimData1!$F$9:$F$508,488)</f>
        <v>0.23</v>
      </c>
      <c r="R496">
        <f>1/(COUNT(SimData1!$F$9:$F$508)-1)+$R$495</f>
        <v>0.97595190380761609</v>
      </c>
      <c r="S496">
        <f>SMALL(SimData1!$G$9:$G$508,488)</f>
        <v>12</v>
      </c>
      <c r="T496">
        <f>1/(COUNT(SimData1!$G$9:$G$508)-1)+$T$495</f>
        <v>0.97595190380761609</v>
      </c>
    </row>
    <row r="497" spans="1:20">
      <c r="A497">
        <v>489</v>
      </c>
      <c r="B497">
        <v>11.08681011971869</v>
      </c>
      <c r="C497">
        <v>2.4947625365589658</v>
      </c>
      <c r="D497">
        <v>18.185695629153798</v>
      </c>
      <c r="E497">
        <v>23.327317188783738</v>
      </c>
      <c r="F497">
        <v>0.23</v>
      </c>
      <c r="G497">
        <v>6</v>
      </c>
      <c r="I497">
        <f>SMALL(SimData1!$B$9:$B$508,489)</f>
        <v>16.005933389094224</v>
      </c>
      <c r="J497">
        <f>1/(COUNT(SimData1!$B$9:$B$508)-1)+$J$496</f>
        <v>0.97795591182364816</v>
      </c>
      <c r="K497">
        <f>SMALL(SimData1!$C$9:$C$508,489)</f>
        <v>9.8121943313600948</v>
      </c>
      <c r="L497">
        <f>1/(COUNT(SimData1!$C$9:$C$508)-1)+$L$496</f>
        <v>0.97795591182364816</v>
      </c>
      <c r="M497">
        <f>SMALL(SimData1!$D$9:$D$508,489)</f>
        <v>18.283615179282521</v>
      </c>
      <c r="N497">
        <f>1/(COUNT(SimData1!$D$9:$D$508)-1)+$N$496</f>
        <v>0.97795591182364816</v>
      </c>
      <c r="O497">
        <f>SMALL(SimData1!$E$9:$E$508,489)</f>
        <v>23.884306944981859</v>
      </c>
      <c r="P497">
        <f>1/(COUNT(SimData1!$E$9:$E$508)-1)+$P$496</f>
        <v>0.97795591182364816</v>
      </c>
      <c r="Q497">
        <f>SMALL(SimData1!$F$9:$F$508,489)</f>
        <v>0.23</v>
      </c>
      <c r="R497">
        <f>1/(COUNT(SimData1!$F$9:$F$508)-1)+$R$496</f>
        <v>0.97795591182364816</v>
      </c>
      <c r="S497">
        <f>SMALL(SimData1!$G$9:$G$508,489)</f>
        <v>12</v>
      </c>
      <c r="T497">
        <f>1/(COUNT(SimData1!$G$9:$G$508)-1)+$T$496</f>
        <v>0.97795591182364816</v>
      </c>
    </row>
    <row r="498" spans="1:20">
      <c r="A498">
        <v>490</v>
      </c>
      <c r="B498">
        <v>9.9349829757641253</v>
      </c>
      <c r="C498">
        <v>9.0561925815456057</v>
      </c>
      <c r="D498">
        <v>16.221741474711742</v>
      </c>
      <c r="E498">
        <v>-1.1422030685113689</v>
      </c>
      <c r="F498">
        <v>0.23</v>
      </c>
      <c r="G498">
        <v>2</v>
      </c>
      <c r="I498">
        <f>SMALL(SimData1!$B$9:$B$508,490)</f>
        <v>16.0604111320215</v>
      </c>
      <c r="J498">
        <f>1/(COUNT(SimData1!$B$9:$B$508)-1)+$J$497</f>
        <v>0.97995991983968023</v>
      </c>
      <c r="K498">
        <f>SMALL(SimData1!$C$9:$C$508,490)</f>
        <v>9.8356686030876972</v>
      </c>
      <c r="L498">
        <f>1/(COUNT(SimData1!$C$9:$C$508)-1)+$L$497</f>
        <v>0.97995991983968023</v>
      </c>
      <c r="M498">
        <f>SMALL(SimData1!$D$9:$D$508,490)</f>
        <v>18.348921061721846</v>
      </c>
      <c r="N498">
        <f>1/(COUNT(SimData1!$D$9:$D$508)-1)+$N$497</f>
        <v>0.97995991983968023</v>
      </c>
      <c r="O498">
        <f>SMALL(SimData1!$E$9:$E$508,490)</f>
        <v>23.897629375997031</v>
      </c>
      <c r="P498">
        <f>1/(COUNT(SimData1!$E$9:$E$508)-1)+$P$497</f>
        <v>0.97995991983968023</v>
      </c>
      <c r="Q498">
        <f>SMALL(SimData1!$F$9:$F$508,490)</f>
        <v>0.23</v>
      </c>
      <c r="R498">
        <f>1/(COUNT(SimData1!$F$9:$F$508)-1)+$R$497</f>
        <v>0.97995991983968023</v>
      </c>
      <c r="S498">
        <f>SMALL(SimData1!$G$9:$G$508,490)</f>
        <v>12</v>
      </c>
      <c r="T498">
        <f>1/(COUNT(SimData1!$G$9:$G$508)-1)+$T$497</f>
        <v>0.97995991983968023</v>
      </c>
    </row>
    <row r="499" spans="1:20">
      <c r="A499">
        <v>491</v>
      </c>
      <c r="B499">
        <v>7.6317119049195696</v>
      </c>
      <c r="C499">
        <v>2.8588632169689197</v>
      </c>
      <c r="D499">
        <v>9.3439434717316061</v>
      </c>
      <c r="E499">
        <v>21.627143339552017</v>
      </c>
      <c r="F499">
        <v>0.23</v>
      </c>
      <c r="G499">
        <v>10</v>
      </c>
      <c r="I499">
        <f>SMALL(SimData1!$B$9:$B$508,491)</f>
        <v>16.278864172825955</v>
      </c>
      <c r="J499">
        <f>1/(COUNT(SimData1!$B$9:$B$508)-1)+$J$498</f>
        <v>0.98196392785571229</v>
      </c>
      <c r="K499">
        <f>SMALL(SimData1!$C$9:$C$508,491)</f>
        <v>9.843385931205793</v>
      </c>
      <c r="L499">
        <f>1/(COUNT(SimData1!$C$9:$C$508)-1)+$L$498</f>
        <v>0.98196392785571229</v>
      </c>
      <c r="M499">
        <f>SMALL(SimData1!$D$9:$D$508,491)</f>
        <v>18.407423220526294</v>
      </c>
      <c r="N499">
        <f>1/(COUNT(SimData1!$D$9:$D$508)-1)+$N$498</f>
        <v>0.98196392785571229</v>
      </c>
      <c r="O499">
        <f>SMALL(SimData1!$E$9:$E$508,491)</f>
        <v>23.906249978468665</v>
      </c>
      <c r="P499">
        <f>1/(COUNT(SimData1!$E$9:$E$508)-1)+$P$498</f>
        <v>0.98196392785571229</v>
      </c>
      <c r="Q499">
        <f>SMALL(SimData1!$F$9:$F$508,491)</f>
        <v>0.23</v>
      </c>
      <c r="R499">
        <f>1/(COUNT(SimData1!$F$9:$F$508)-1)+$R$498</f>
        <v>0.98196392785571229</v>
      </c>
      <c r="S499">
        <f>SMALL(SimData1!$G$9:$G$508,491)</f>
        <v>12</v>
      </c>
      <c r="T499">
        <f>1/(COUNT(SimData1!$G$9:$G$508)-1)+$T$498</f>
        <v>0.98196392785571229</v>
      </c>
    </row>
    <row r="500" spans="1:20">
      <c r="A500">
        <v>492</v>
      </c>
      <c r="B500">
        <v>9.5355541138640874</v>
      </c>
      <c r="C500">
        <v>3.5155746496905511</v>
      </c>
      <c r="D500">
        <v>7.1443475149721714</v>
      </c>
      <c r="E500">
        <v>23.578758781987656</v>
      </c>
      <c r="F500">
        <v>0.23</v>
      </c>
      <c r="G500">
        <v>9</v>
      </c>
      <c r="I500">
        <f>SMALL(SimData1!$B$9:$B$508,492)</f>
        <v>16.303082228943836</v>
      </c>
      <c r="J500">
        <f>1/(COUNT(SimData1!$B$9:$B$508)-1)+$J$499</f>
        <v>0.98396793587174436</v>
      </c>
      <c r="K500">
        <f>SMALL(SimData1!$C$9:$C$508,492)</f>
        <v>9.8692956193753751</v>
      </c>
      <c r="L500">
        <f>1/(COUNT(SimData1!$C$9:$C$508)-1)+$L$499</f>
        <v>0.98396793587174436</v>
      </c>
      <c r="M500">
        <f>SMALL(SimData1!$D$9:$D$508,492)</f>
        <v>18.425880094886264</v>
      </c>
      <c r="N500">
        <f>1/(COUNT(SimData1!$D$9:$D$508)-1)+$N$499</f>
        <v>0.98396793587174436</v>
      </c>
      <c r="O500">
        <f>SMALL(SimData1!$E$9:$E$508,492)</f>
        <v>23.913111079985139</v>
      </c>
      <c r="P500">
        <f>1/(COUNT(SimData1!$E$9:$E$508)-1)+$P$499</f>
        <v>0.98396793587174436</v>
      </c>
      <c r="Q500">
        <f>SMALL(SimData1!$F$9:$F$508,492)</f>
        <v>0.23</v>
      </c>
      <c r="R500">
        <f>1/(COUNT(SimData1!$F$9:$F$508)-1)+$R$499</f>
        <v>0.98396793587174436</v>
      </c>
      <c r="S500">
        <f>SMALL(SimData1!$G$9:$G$508,492)</f>
        <v>12</v>
      </c>
      <c r="T500">
        <f>1/(COUNT(SimData1!$G$9:$G$508)-1)+$T$499</f>
        <v>0.98396793587174436</v>
      </c>
    </row>
    <row r="501" spans="1:20">
      <c r="A501">
        <v>493</v>
      </c>
      <c r="B501">
        <v>12.455952698903472</v>
      </c>
      <c r="C501">
        <v>8.5143911209708065</v>
      </c>
      <c r="D501">
        <v>5.5077093234517864</v>
      </c>
      <c r="E501">
        <v>-0.13905002121844068</v>
      </c>
      <c r="F501">
        <v>0.23</v>
      </c>
      <c r="G501">
        <v>12</v>
      </c>
      <c r="I501">
        <f>SMALL(SimData1!$B$9:$B$508,493)</f>
        <v>16.482013797543996</v>
      </c>
      <c r="J501">
        <f>1/(COUNT(SimData1!$B$9:$B$508)-1)+$J$500</f>
        <v>0.98597194388777643</v>
      </c>
      <c r="K501">
        <f>SMALL(SimData1!$C$9:$C$508,493)</f>
        <v>9.8737936612483566</v>
      </c>
      <c r="L501">
        <f>1/(COUNT(SimData1!$C$9:$C$508)-1)+$L$500</f>
        <v>0.98597194388777643</v>
      </c>
      <c r="M501">
        <f>SMALL(SimData1!$D$9:$D$508,493)</f>
        <v>18.534019993122204</v>
      </c>
      <c r="N501">
        <f>1/(COUNT(SimData1!$D$9:$D$508)-1)+$N$500</f>
        <v>0.98597194388777643</v>
      </c>
      <c r="O501">
        <f>SMALL(SimData1!$E$9:$E$508,493)</f>
        <v>23.923706892193241</v>
      </c>
      <c r="P501">
        <f>1/(COUNT(SimData1!$E$9:$E$508)-1)+$P$500</f>
        <v>0.98597194388777643</v>
      </c>
      <c r="Q501">
        <f>SMALL(SimData1!$F$9:$F$508,493)</f>
        <v>0.23</v>
      </c>
      <c r="R501">
        <f>1/(COUNT(SimData1!$F$9:$F$508)-1)+$R$500</f>
        <v>0.98597194388777643</v>
      </c>
      <c r="S501">
        <f>SMALL(SimData1!$G$9:$G$508,493)</f>
        <v>12</v>
      </c>
      <c r="T501">
        <f>1/(COUNT(SimData1!$G$9:$G$508)-1)+$T$500</f>
        <v>0.98597194388777643</v>
      </c>
    </row>
    <row r="502" spans="1:20">
      <c r="A502">
        <v>494</v>
      </c>
      <c r="B502">
        <v>10.79158376776434</v>
      </c>
      <c r="C502">
        <v>3.8173744062244364</v>
      </c>
      <c r="D502">
        <v>9.5476086831287503</v>
      </c>
      <c r="E502">
        <v>-0.62263471097356171</v>
      </c>
      <c r="F502">
        <v>0.23</v>
      </c>
      <c r="G502">
        <v>2</v>
      </c>
      <c r="I502">
        <f>SMALL(SimData1!$B$9:$B$508,494)</f>
        <v>16.639189162747513</v>
      </c>
      <c r="J502">
        <f>1/(COUNT(SimData1!$B$9:$B$508)-1)+$J$501</f>
        <v>0.98797595190380849</v>
      </c>
      <c r="K502">
        <f>SMALL(SimData1!$C$9:$C$508,494)</f>
        <v>9.8886740852074411</v>
      </c>
      <c r="L502">
        <f>1/(COUNT(SimData1!$C$9:$C$508)-1)+$L$501</f>
        <v>0.98797595190380849</v>
      </c>
      <c r="M502">
        <f>SMALL(SimData1!$D$9:$D$508,494)</f>
        <v>18.57741583891805</v>
      </c>
      <c r="N502">
        <f>1/(COUNT(SimData1!$D$9:$D$508)-1)+$N$501</f>
        <v>0.98797595190380849</v>
      </c>
      <c r="O502">
        <f>SMALL(SimData1!$E$9:$E$508,494)</f>
        <v>23.93542671480084</v>
      </c>
      <c r="P502">
        <f>1/(COUNT(SimData1!$E$9:$E$508)-1)+$P$501</f>
        <v>0.98797595190380849</v>
      </c>
      <c r="Q502">
        <f>SMALL(SimData1!$F$9:$F$508,494)</f>
        <v>0.23</v>
      </c>
      <c r="R502">
        <f>1/(COUNT(SimData1!$F$9:$F$508)-1)+$R$501</f>
        <v>0.98797595190380849</v>
      </c>
      <c r="S502">
        <f>SMALL(SimData1!$G$9:$G$508,494)</f>
        <v>12</v>
      </c>
      <c r="T502">
        <f>1/(COUNT(SimData1!$G$9:$G$508)-1)+$T$501</f>
        <v>0.98797595190380849</v>
      </c>
    </row>
    <row r="503" spans="1:20">
      <c r="A503">
        <v>495</v>
      </c>
      <c r="B503">
        <v>6.2160400756334511</v>
      </c>
      <c r="C503">
        <v>5.7319296406889171</v>
      </c>
      <c r="D503">
        <v>9.7476950247389489</v>
      </c>
      <c r="E503">
        <v>-0.7029388252529658</v>
      </c>
      <c r="F503">
        <v>0.23</v>
      </c>
      <c r="G503">
        <v>6</v>
      </c>
      <c r="I503">
        <f>SMALL(SimData1!$B$9:$B$508,495)</f>
        <v>16.914928778694936</v>
      </c>
      <c r="J503">
        <f>1/(COUNT(SimData1!$B$9:$B$508)-1)+$J$502</f>
        <v>0.98997995991984056</v>
      </c>
      <c r="K503">
        <f>SMALL(SimData1!$C$9:$C$508,495)</f>
        <v>9.9045863183179375</v>
      </c>
      <c r="L503">
        <f>1/(COUNT(SimData1!$C$9:$C$508)-1)+$L$502</f>
        <v>0.98997995991984056</v>
      </c>
      <c r="M503">
        <f>SMALL(SimData1!$D$9:$D$508,495)</f>
        <v>18.6292358984829</v>
      </c>
      <c r="N503">
        <f>1/(COUNT(SimData1!$D$9:$D$508)-1)+$N$502</f>
        <v>0.98997995991984056</v>
      </c>
      <c r="O503">
        <f>SMALL(SimData1!$E$9:$E$508,495)</f>
        <v>23.940719551691664</v>
      </c>
      <c r="P503">
        <f>1/(COUNT(SimData1!$E$9:$E$508)-1)+$P$502</f>
        <v>0.98997995991984056</v>
      </c>
      <c r="Q503">
        <f>SMALL(SimData1!$F$9:$F$508,495)</f>
        <v>0.23</v>
      </c>
      <c r="R503">
        <f>1/(COUNT(SimData1!$F$9:$F$508)-1)+$R$502</f>
        <v>0.98997995991984056</v>
      </c>
      <c r="S503">
        <f>SMALL(SimData1!$G$9:$G$508,495)</f>
        <v>12</v>
      </c>
      <c r="T503">
        <f>1/(COUNT(SimData1!$G$9:$G$508)-1)+$T$502</f>
        <v>0.98997995991984056</v>
      </c>
    </row>
    <row r="504" spans="1:20">
      <c r="A504">
        <v>496</v>
      </c>
      <c r="B504">
        <v>7.5400326218279199</v>
      </c>
      <c r="C504">
        <v>5.9370625329318134</v>
      </c>
      <c r="D504">
        <v>18.407423220526294</v>
      </c>
      <c r="E504">
        <v>0.20731728691272644</v>
      </c>
      <c r="F504">
        <v>0.23</v>
      </c>
      <c r="G504">
        <v>9</v>
      </c>
      <c r="I504">
        <f>SMALL(SimData1!$B$9:$B$508,496)</f>
        <v>17.212504654577909</v>
      </c>
      <c r="J504">
        <f>1/(COUNT(SimData1!$B$9:$B$508)-1)+$J$503</f>
        <v>0.99198396793587262</v>
      </c>
      <c r="K504">
        <f>SMALL(SimData1!$C$9:$C$508,496)</f>
        <v>9.9322459063781992</v>
      </c>
      <c r="L504">
        <f>1/(COUNT(SimData1!$C$9:$C$508)-1)+$L$503</f>
        <v>0.99198396793587262</v>
      </c>
      <c r="M504">
        <f>SMALL(SimData1!$D$9:$D$508,496)</f>
        <v>18.723543341199761</v>
      </c>
      <c r="N504">
        <f>1/(COUNT(SimData1!$D$9:$D$508)-1)+$N$503</f>
        <v>0.99198396793587262</v>
      </c>
      <c r="O504">
        <f>SMALL(SimData1!$E$9:$E$508,496)</f>
        <v>23.951159677254264</v>
      </c>
      <c r="P504">
        <f>1/(COUNT(SimData1!$E$9:$E$508)-1)+$P$503</f>
        <v>0.99198396793587262</v>
      </c>
      <c r="Q504">
        <f>SMALL(SimData1!$F$9:$F$508,496)</f>
        <v>0.23</v>
      </c>
      <c r="R504">
        <f>1/(COUNT(SimData1!$F$9:$F$508)-1)+$R$503</f>
        <v>0.99198396793587262</v>
      </c>
      <c r="S504">
        <f>SMALL(SimData1!$G$9:$G$508,496)</f>
        <v>12</v>
      </c>
      <c r="T504">
        <f>1/(COUNT(SimData1!$G$9:$G$508)-1)+$T$503</f>
        <v>0.99198396793587262</v>
      </c>
    </row>
    <row r="505" spans="1:20">
      <c r="A505">
        <v>497</v>
      </c>
      <c r="B505">
        <v>13.56451814608277</v>
      </c>
      <c r="C505">
        <v>2.7889565663013971</v>
      </c>
      <c r="D505">
        <v>8.7534716460372941</v>
      </c>
      <c r="E505">
        <v>-0.20791162282082665</v>
      </c>
      <c r="F505">
        <v>0.23</v>
      </c>
      <c r="G505">
        <v>10</v>
      </c>
      <c r="I505">
        <f>SMALL(SimData1!$B$9:$B$508,497)</f>
        <v>17.380553022298919</v>
      </c>
      <c r="J505">
        <f>1/(COUNT(SimData1!$B$9:$B$508)-1)+$J$504</f>
        <v>0.99398797595190469</v>
      </c>
      <c r="K505">
        <f>SMALL(SimData1!$C$9:$C$508,497)</f>
        <v>9.9443697731551648</v>
      </c>
      <c r="L505">
        <f>1/(COUNT(SimData1!$C$9:$C$508)-1)+$L$504</f>
        <v>0.99398797595190469</v>
      </c>
      <c r="M505">
        <f>SMALL(SimData1!$D$9:$D$508,497)</f>
        <v>18.794564030897469</v>
      </c>
      <c r="N505">
        <f>1/(COUNT(SimData1!$D$9:$D$508)-1)+$N$504</f>
        <v>0.99398797595190469</v>
      </c>
      <c r="O505">
        <f>SMALL(SimData1!$E$9:$E$508,497)</f>
        <v>23.961068039176883</v>
      </c>
      <c r="P505">
        <f>1/(COUNT(SimData1!$E$9:$E$508)-1)+$P$504</f>
        <v>0.99398797595190469</v>
      </c>
      <c r="Q505">
        <f>SMALL(SimData1!$F$9:$F$508,497)</f>
        <v>0.23</v>
      </c>
      <c r="R505">
        <f>1/(COUNT(SimData1!$F$9:$F$508)-1)+$R$504</f>
        <v>0.99398797595190469</v>
      </c>
      <c r="S505">
        <f>SMALL(SimData1!$G$9:$G$508,497)</f>
        <v>12</v>
      </c>
      <c r="T505">
        <f>1/(COUNT(SimData1!$G$9:$G$508)-1)+$T$504</f>
        <v>0.99398797595190469</v>
      </c>
    </row>
    <row r="506" spans="1:20">
      <c r="A506">
        <v>498</v>
      </c>
      <c r="B506">
        <v>12.548563078359415</v>
      </c>
      <c r="C506">
        <v>4.6200457030302022</v>
      </c>
      <c r="D506">
        <v>2.0638420841283729</v>
      </c>
      <c r="E506">
        <v>21.726355284989488</v>
      </c>
      <c r="F506">
        <v>0.23</v>
      </c>
      <c r="G506">
        <v>10</v>
      </c>
      <c r="I506">
        <f>SMALL(SimData1!$B$9:$B$508,498)</f>
        <v>17.738683843377068</v>
      </c>
      <c r="J506">
        <f>1/(COUNT(SimData1!$B$9:$B$508)-1)+$J$505</f>
        <v>0.99599198396793676</v>
      </c>
      <c r="K506">
        <f>SMALL(SimData1!$C$9:$C$508,498)</f>
        <v>9.9550779553770745</v>
      </c>
      <c r="L506">
        <f>1/(COUNT(SimData1!$C$9:$C$508)-1)+$L$505</f>
        <v>0.99599198396793676</v>
      </c>
      <c r="M506">
        <f>SMALL(SimData1!$D$9:$D$508,498)</f>
        <v>18.817695188032857</v>
      </c>
      <c r="N506">
        <f>1/(COUNT(SimData1!$D$9:$D$508)-1)+$N$505</f>
        <v>0.99599198396793676</v>
      </c>
      <c r="O506">
        <f>SMALL(SimData1!$E$9:$E$508,498)</f>
        <v>23.975068783981882</v>
      </c>
      <c r="P506">
        <f>1/(COUNT(SimData1!$E$9:$E$508)-1)+$P$505</f>
        <v>0.99599198396793676</v>
      </c>
      <c r="Q506">
        <f>SMALL(SimData1!$F$9:$F$508,498)</f>
        <v>0.23</v>
      </c>
      <c r="R506">
        <f>1/(COUNT(SimData1!$F$9:$F$508)-1)+$R$505</f>
        <v>0.99599198396793676</v>
      </c>
      <c r="S506">
        <f>SMALL(SimData1!$G$9:$G$508,498)</f>
        <v>12</v>
      </c>
      <c r="T506">
        <f>1/(COUNT(SimData1!$G$9:$G$508)-1)+$T$505</f>
        <v>0.99599198396793676</v>
      </c>
    </row>
    <row r="507" spans="1:20">
      <c r="A507">
        <v>499</v>
      </c>
      <c r="B507">
        <v>8.6541516372204565</v>
      </c>
      <c r="C507">
        <v>9.4045151352464487</v>
      </c>
      <c r="D507">
        <v>6.1729726464517816</v>
      </c>
      <c r="E507">
        <v>-0.6473652695787846</v>
      </c>
      <c r="F507">
        <v>0.23</v>
      </c>
      <c r="G507">
        <v>12</v>
      </c>
      <c r="I507">
        <f>SMALL(SimData1!$B$9:$B$508,499)</f>
        <v>18.374115077218427</v>
      </c>
      <c r="J507">
        <f>1/(COUNT(SimData1!$B$9:$B$508)-1)+$J$506</f>
        <v>0.99799599198396882</v>
      </c>
      <c r="K507">
        <f>SMALL(SimData1!$C$9:$C$508,499)</f>
        <v>9.9718657033191676</v>
      </c>
      <c r="L507">
        <f>1/(COUNT(SimData1!$C$9:$C$508)-1)+$L$506</f>
        <v>0.99799599198396882</v>
      </c>
      <c r="M507">
        <f>SMALL(SimData1!$D$9:$D$508,499)</f>
        <v>18.935064441397568</v>
      </c>
      <c r="N507">
        <f>1/(COUNT(SimData1!$D$9:$D$508)-1)+$N$506</f>
        <v>0.99799599198396882</v>
      </c>
      <c r="O507">
        <f>SMALL(SimData1!$E$9:$E$508,499)</f>
        <v>23.989838998681872</v>
      </c>
      <c r="P507">
        <f>1/(COUNT(SimData1!$E$9:$E$508)-1)+$P$506</f>
        <v>0.99799599198396882</v>
      </c>
      <c r="Q507">
        <f>SMALL(SimData1!$F$9:$F$508,499)</f>
        <v>0.23</v>
      </c>
      <c r="R507">
        <f>1/(COUNT(SimData1!$F$9:$F$508)-1)+$R$506</f>
        <v>0.99799599198396882</v>
      </c>
      <c r="S507">
        <f>SMALL(SimData1!$G$9:$G$508,499)</f>
        <v>12</v>
      </c>
      <c r="T507">
        <f>1/(COUNT(SimData1!$G$9:$G$508)-1)+$T$506</f>
        <v>0.99799599198396882</v>
      </c>
    </row>
    <row r="508" spans="1:20">
      <c r="A508">
        <v>500</v>
      </c>
      <c r="B508">
        <v>10.581519236556066</v>
      </c>
      <c r="C508">
        <v>8.2847090908057783</v>
      </c>
      <c r="D508">
        <v>9.4588516696530505</v>
      </c>
      <c r="E508">
        <v>23.428563025261386</v>
      </c>
      <c r="F508">
        <v>0.23</v>
      </c>
      <c r="G508">
        <v>4</v>
      </c>
      <c r="I508">
        <f>SMALL(SimData1!$B$9:$B$508,500)</f>
        <v>19.754793248829095</v>
      </c>
      <c r="J508">
        <f>1/(COUNT(SimData1!$B$9:$B$508)-1)+$J$507</f>
        <v>1.0000000000000009</v>
      </c>
      <c r="K508">
        <f>SMALL(SimData1!$C$9:$C$508,500)</f>
        <v>9.9869767314500599</v>
      </c>
      <c r="L508">
        <f>1/(COUNT(SimData1!$C$9:$C$508)-1)+$L$507</f>
        <v>1.0000000000000009</v>
      </c>
      <c r="M508">
        <f>SMALL(SimData1!$D$9:$D$508,500)</f>
        <v>18.964722543186674</v>
      </c>
      <c r="N508">
        <f>1/(COUNT(SimData1!$D$9:$D$508)-1)+$N$507</f>
        <v>1.0000000000000009</v>
      </c>
      <c r="O508">
        <f>SMALL(SimData1!$E$9:$E$508,500)</f>
        <v>23.994353436219715</v>
      </c>
      <c r="P508">
        <f>1/(COUNT(SimData1!$E$9:$E$508)-1)+$P$507</f>
        <v>1.0000000000000009</v>
      </c>
      <c r="Q508">
        <f>SMALL(SimData1!$F$9:$F$508,500)</f>
        <v>0.23</v>
      </c>
      <c r="R508">
        <f>1/(COUNT(SimData1!$F$9:$F$508)-1)+$R$507</f>
        <v>1.0000000000000009</v>
      </c>
      <c r="S508">
        <f>SMALL(SimData1!$G$9:$G$508,500)</f>
        <v>12</v>
      </c>
      <c r="T508">
        <f>1/(COUNT(SimData1!$G$9:$G$508)-1)+$T$507</f>
        <v>1.0000000000000009</v>
      </c>
    </row>
    <row r="510" spans="1:20">
      <c r="A510" t="s">
        <v>65</v>
      </c>
    </row>
    <row r="511" spans="1:20">
      <c r="A511" t="s">
        <v>66</v>
      </c>
      <c r="B511" t="str">
        <f>IF(ISBLANK($B510)=TRUE,"",_xll.EDF(B9:B508,$B510))</f>
        <v/>
      </c>
      <c r="C511" t="str">
        <f>IF(ISBLANK($C510)=TRUE,"",_xll.EDF(C9:C508,$C510))</f>
        <v/>
      </c>
      <c r="D511" t="str">
        <f>IF(ISBLANK($D510)=TRUE,"",_xll.EDF(D9:D508,$D510))</f>
        <v/>
      </c>
      <c r="E511" t="str">
        <f>IF(ISBLANK($E510)=TRUE,"",_xll.EDF(E9:E508,$E510))</f>
        <v/>
      </c>
      <c r="F511" t="str">
        <f>IF(ISBLANK($F510)=TRUE,"",_xll.EDF(F9:F508,$F510))</f>
        <v/>
      </c>
      <c r="G511" t="str">
        <f>IF(ISBLANK($G510)=TRUE,"",_xll.EDF(G9:G508,$G510))</f>
        <v/>
      </c>
    </row>
    <row r="512" spans="1:20">
      <c r="A512" t="s">
        <v>67</v>
      </c>
    </row>
    <row r="513" spans="1:7">
      <c r="A513" t="s">
        <v>68</v>
      </c>
      <c r="B513" t="str">
        <f>IF(ISBLANK($B512)=TRUE,"",_xll.EDF(B9:B508,$B512))</f>
        <v/>
      </c>
      <c r="C513" t="str">
        <f>IF(ISBLANK($C512)=TRUE,"",_xll.EDF(C9:C508,$C512))</f>
        <v/>
      </c>
      <c r="D513" t="str">
        <f>IF(ISBLANK($D512)=TRUE,"",_xll.EDF(D9:D508,$D512))</f>
        <v/>
      </c>
      <c r="E513" t="str">
        <f>IF(ISBLANK($E512)=TRUE,"",_xll.EDF(E9:E508,$E512))</f>
        <v/>
      </c>
      <c r="F513" t="str">
        <f>IF(ISBLANK($F512)=TRUE,"",_xll.EDF(F9:F508,$F512))</f>
        <v/>
      </c>
      <c r="G513" t="str">
        <f>IF(ISBLANK($G512)=TRUE,"",_xll.EDF(G9:G508,$G512))</f>
        <v/>
      </c>
    </row>
    <row r="514" spans="1:7">
      <c r="A514" t="s">
        <v>69</v>
      </c>
    </row>
    <row r="515" spans="1:7">
      <c r="A515" t="s">
        <v>70</v>
      </c>
      <c r="B515" t="str">
        <f>IF(ISBLANK($B514)=TRUE,"",_xll.EDF(B9:B508,$B514))</f>
        <v/>
      </c>
      <c r="C515" t="str">
        <f>IF(ISBLANK($C514)=TRUE,"",_xll.EDF(C9:C508,$C514))</f>
        <v/>
      </c>
      <c r="D515" t="str">
        <f>IF(ISBLANK($D514)=TRUE,"",_xll.EDF(D9:D508,$D514))</f>
        <v/>
      </c>
      <c r="E515" t="str">
        <f>IF(ISBLANK($E514)=TRUE,"",_xll.EDF(E9:E508,$E514))</f>
        <v/>
      </c>
      <c r="F515" t="str">
        <f>IF(ISBLANK($F514)=TRUE,"",_xll.EDF(F9:F508,$F514))</f>
        <v/>
      </c>
      <c r="G515" t="str">
        <f>IF(ISBLANK($G514)=TRUE,"",_xll.EDF(G9:G508,$G514))</f>
        <v/>
      </c>
    </row>
    <row r="516" spans="1:7">
      <c r="A516" t="s">
        <v>71</v>
      </c>
    </row>
    <row r="517" spans="1:7">
      <c r="A517" t="s">
        <v>72</v>
      </c>
      <c r="B517" t="str">
        <f>IF(ISBLANK($B516)=TRUE,"",_xll.EDF(B9:B508,$B516))</f>
        <v/>
      </c>
      <c r="C517" t="str">
        <f>IF(ISBLANK($C516)=TRUE,"",_xll.EDF(C9:C508,$C516))</f>
        <v/>
      </c>
      <c r="D517" t="str">
        <f>IF(ISBLANK($D516)=TRUE,"",_xll.EDF(D9:D508,$D516))</f>
        <v/>
      </c>
      <c r="E517" t="str">
        <f>IF(ISBLANK($E516)=TRUE,"",_xll.EDF(E9:E508,$E516))</f>
        <v/>
      </c>
      <c r="F517" t="str">
        <f>IF(ISBLANK($F516)=TRUE,"",_xll.EDF(F9:F508,$F516))</f>
        <v/>
      </c>
      <c r="G517" t="str">
        <f>IF(ISBLANK($G516)=TRUE,"",_xll.EDF(G9:G508,$G516))</f>
        <v/>
      </c>
    </row>
    <row r="518" spans="1:7">
      <c r="A518" t="s">
        <v>73</v>
      </c>
    </row>
    <row r="519" spans="1:7">
      <c r="A519" t="s">
        <v>74</v>
      </c>
      <c r="B519" t="str">
        <f>IF(ISBLANK($B518)=TRUE,"",_xll.EDF(B9:B508,$B518))</f>
        <v/>
      </c>
      <c r="C519" t="str">
        <f>IF(ISBLANK($C518)=TRUE,"",_xll.EDF(C9:C508,$C518))</f>
        <v/>
      </c>
      <c r="D519" t="str">
        <f>IF(ISBLANK($D518)=TRUE,"",_xll.EDF(D9:D508,$D518))</f>
        <v/>
      </c>
      <c r="E519" t="str">
        <f>IF(ISBLANK($E518)=TRUE,"",_xll.EDF(E9:E508,$E518))</f>
        <v/>
      </c>
      <c r="F519" t="str">
        <f>IF(ISBLANK($F518)=TRUE,"",_xll.EDF(F9:F508,$F518))</f>
        <v/>
      </c>
      <c r="G519" t="str">
        <f>IF(ISBLANK($G518)=TRUE,"",_xll.EDF(G9:G508,$G518))</f>
        <v/>
      </c>
    </row>
  </sheetData>
  <sheetCalcPr fullCalcOnLoad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</vt:lpstr>
      <vt:lpstr>SimData2</vt:lpstr>
      <vt:lpstr>SimData1</vt:lpstr>
      <vt:lpstr>Model!Print_Area</vt:lpstr>
    </vt:vector>
  </TitlesOfParts>
  <Company>TAMU --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AFPC TAMU System</dc:creator>
  <cp:lastModifiedBy>James W. Richardson</cp:lastModifiedBy>
  <cp:lastPrinted>2002-12-01T02:02:14Z</cp:lastPrinted>
  <dcterms:created xsi:type="dcterms:W3CDTF">2000-07-03T21:38:27Z</dcterms:created>
  <dcterms:modified xsi:type="dcterms:W3CDTF">2011-02-07T04:44:31Z</dcterms:modified>
</cp:coreProperties>
</file>