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35" yWindow="-165" windowWidth="6930" windowHeight="3225" tabRatio="824" activeTab="1"/>
  </bookViews>
  <sheets>
    <sheet name="SimData" sheetId="77" r:id="rId1"/>
    <sheet name="Sheet1" sheetId="1" r:id="rId2"/>
    <sheet name="Sheet9" sheetId="71" state="veryHidden" r:id="rId3"/>
    <sheet name="Sheet6" sheetId="76" state="veryHidden" r:id="rId4"/>
    <sheet name="Sheet5" sheetId="44" state="veryHidden" r:id="rId5"/>
    <sheet name="Sheet17" sheetId="17" state="veryHidden" r:id="rId6"/>
    <sheet name="Sheet3" sheetId="19" state="veryHidden" r:id="rId7"/>
    <sheet name="Sheet2" sheetId="25" state="veryHidden" r:id="rId8"/>
    <sheet name="Sheet4" sheetId="32" state="veryHidden" r:id="rId9"/>
    <sheet name="Sheet7" sheetId="36" state="veryHidden" r:id="rId10"/>
    <sheet name="Sheet10" sheetId="40" state="veryHidden" r:id="rId11"/>
  </sheets>
  <definedNames>
    <definedName name="_xlnm.Print_Area" localSheetId="1">Sheet1!$A$1:$M$813</definedName>
    <definedName name="solver_adj" localSheetId="1" hidden="1">Sheet1!$H$688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Sheet1!$H$719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B620" i="1"/>
  <c r="B621"/>
  <c r="B622"/>
  <c r="B623"/>
  <c r="B624"/>
  <c r="B625"/>
  <c r="B626"/>
  <c r="B627"/>
  <c r="B628"/>
  <c r="B629"/>
  <c r="B630"/>
  <c r="B631"/>
  <c r="B632"/>
  <c r="B633"/>
  <c r="B619"/>
  <c r="B542"/>
  <c r="B576" s="1"/>
  <c r="A621" s="1"/>
  <c r="B575"/>
  <c r="A620"/>
  <c r="B578"/>
  <c r="A623" s="1"/>
  <c r="B579"/>
  <c r="A624" s="1"/>
  <c r="B581"/>
  <c r="A626"/>
  <c r="B582"/>
  <c r="A627" s="1"/>
  <c r="B584"/>
  <c r="A629" s="1"/>
  <c r="B585"/>
  <c r="A630"/>
  <c r="B587"/>
  <c r="B574"/>
  <c r="A619" s="1"/>
  <c r="B602"/>
  <c r="B603"/>
  <c r="C603"/>
  <c r="B604"/>
  <c r="C604"/>
  <c r="D604"/>
  <c r="C573"/>
  <c r="C591"/>
  <c r="C594"/>
  <c r="D573"/>
  <c r="D591" s="1"/>
  <c r="D594"/>
  <c r="E573"/>
  <c r="E591" s="1"/>
  <c r="E594" s="1"/>
  <c r="F573"/>
  <c r="F591" s="1"/>
  <c r="F594" s="1"/>
  <c r="G573"/>
  <c r="G591"/>
  <c r="G594"/>
  <c r="B573"/>
  <c r="B591" s="1"/>
  <c r="B594" s="1"/>
  <c r="G542"/>
  <c r="G586" s="1"/>
  <c r="G585"/>
  <c r="G539"/>
  <c r="G559" s="1"/>
  <c r="G582"/>
  <c r="G581"/>
  <c r="G534"/>
  <c r="G554" s="1"/>
  <c r="G531"/>
  <c r="G551" s="1"/>
  <c r="G530"/>
  <c r="G550" s="1"/>
  <c r="G543"/>
  <c r="F542"/>
  <c r="F587"/>
  <c r="F588" s="1"/>
  <c r="F541"/>
  <c r="F561" s="1"/>
  <c r="F586"/>
  <c r="F540"/>
  <c r="F560" s="1"/>
  <c r="F585"/>
  <c r="F539"/>
  <c r="F559"/>
  <c r="F584"/>
  <c r="F538"/>
  <c r="F558" s="1"/>
  <c r="F583"/>
  <c r="F537"/>
  <c r="F557" s="1"/>
  <c r="F582"/>
  <c r="F536"/>
  <c r="F556" s="1"/>
  <c r="F581"/>
  <c r="F535"/>
  <c r="F555" s="1"/>
  <c r="F580"/>
  <c r="F534"/>
  <c r="F554" s="1"/>
  <c r="F579"/>
  <c r="F533"/>
  <c r="F553" s="1"/>
  <c r="F578"/>
  <c r="F532"/>
  <c r="F552" s="1"/>
  <c r="F577"/>
  <c r="F531"/>
  <c r="F551"/>
  <c r="F576"/>
  <c r="F530"/>
  <c r="F550" s="1"/>
  <c r="F575"/>
  <c r="F529"/>
  <c r="F574"/>
  <c r="F543"/>
  <c r="F544" s="1"/>
  <c r="E542"/>
  <c r="E587" s="1"/>
  <c r="E588" s="1"/>
  <c r="E541"/>
  <c r="E561" s="1"/>
  <c r="E586"/>
  <c r="E539"/>
  <c r="E559" s="1"/>
  <c r="E584"/>
  <c r="E538"/>
  <c r="E558" s="1"/>
  <c r="E582"/>
  <c r="E581"/>
  <c r="E535"/>
  <c r="E555" s="1"/>
  <c r="E534"/>
  <c r="E554" s="1"/>
  <c r="E533"/>
  <c r="E553" s="1"/>
  <c r="E578"/>
  <c r="E531"/>
  <c r="E551" s="1"/>
  <c r="E576"/>
  <c r="E530"/>
  <c r="E550" s="1"/>
  <c r="E543"/>
  <c r="E544"/>
  <c r="D542"/>
  <c r="D539" s="1"/>
  <c r="D559" s="1"/>
  <c r="D543"/>
  <c r="C542"/>
  <c r="C531" s="1"/>
  <c r="C551" s="1"/>
  <c r="C539"/>
  <c r="C559" s="1"/>
  <c r="C543"/>
  <c r="C548"/>
  <c r="C528"/>
  <c r="B541"/>
  <c r="B561"/>
  <c r="B540"/>
  <c r="B560" s="1"/>
  <c r="B539"/>
  <c r="B559"/>
  <c r="B538"/>
  <c r="B558" s="1"/>
  <c r="B537"/>
  <c r="B557" s="1"/>
  <c r="B536"/>
  <c r="B556" s="1"/>
  <c r="B535"/>
  <c r="B555"/>
  <c r="B534"/>
  <c r="B554" s="1"/>
  <c r="B533"/>
  <c r="B553"/>
  <c r="B532"/>
  <c r="B552" s="1"/>
  <c r="B531"/>
  <c r="B551"/>
  <c r="B530"/>
  <c r="B529"/>
  <c r="B549" s="1"/>
  <c r="B543"/>
  <c r="B544"/>
  <c r="B548"/>
  <c r="B528"/>
  <c r="A566"/>
  <c r="C564"/>
  <c r="A565"/>
  <c r="B564"/>
  <c r="F515"/>
  <c r="F516"/>
  <c r="F517"/>
  <c r="F518"/>
  <c r="F519"/>
  <c r="F514"/>
  <c r="C119" i="77"/>
  <c r="C117"/>
  <c r="C115"/>
  <c r="C113"/>
  <c r="C111"/>
  <c r="C8"/>
  <c r="Q4" s="1"/>
  <c r="C7"/>
  <c r="C6"/>
  <c r="C4"/>
  <c r="C3"/>
  <c r="C5" s="1"/>
  <c r="B119"/>
  <c r="B117"/>
  <c r="B115"/>
  <c r="B113"/>
  <c r="B111"/>
  <c r="B8"/>
  <c r="O4" s="1"/>
  <c r="B7"/>
  <c r="B6"/>
  <c r="B4"/>
  <c r="B3"/>
  <c r="B5"/>
  <c r="A601" i="1" a="1"/>
  <c r="B493"/>
  <c r="C493"/>
  <c r="B492"/>
  <c r="C492"/>
  <c r="D444"/>
  <c r="D443"/>
  <c r="D431"/>
  <c r="D430"/>
  <c r="R6" i="77"/>
  <c r="R7" s="1"/>
  <c r="R8" s="1"/>
  <c r="R9" s="1"/>
  <c r="R10" s="1"/>
  <c r="R11" s="1"/>
  <c r="R12" s="1"/>
  <c r="R13" s="1"/>
  <c r="R14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G846" i="1"/>
  <c r="G882" s="1"/>
  <c r="G883" s="1"/>
  <c r="F846"/>
  <c r="E846"/>
  <c r="E878" s="1"/>
  <c r="D846"/>
  <c r="D875" s="1"/>
  <c r="C846"/>
  <c r="C882" s="1"/>
  <c r="C883" s="1"/>
  <c r="B846"/>
  <c r="B875" s="1"/>
  <c r="G881"/>
  <c r="C881"/>
  <c r="G880"/>
  <c r="D880"/>
  <c r="C880"/>
  <c r="D879"/>
  <c r="C879"/>
  <c r="G878"/>
  <c r="D878"/>
  <c r="C878"/>
  <c r="G877"/>
  <c r="F877"/>
  <c r="D877"/>
  <c r="C877"/>
  <c r="G876"/>
  <c r="D876"/>
  <c r="C876"/>
  <c r="G875"/>
  <c r="C875"/>
  <c r="G874"/>
  <c r="C874"/>
  <c r="G873"/>
  <c r="C873"/>
  <c r="G872"/>
  <c r="D872"/>
  <c r="C872"/>
  <c r="D871"/>
  <c r="C871"/>
  <c r="G870"/>
  <c r="D870"/>
  <c r="D869" s="1"/>
  <c r="C870"/>
  <c r="C869" s="1"/>
  <c r="G869"/>
  <c r="G816"/>
  <c r="G868" s="1"/>
  <c r="F816"/>
  <c r="E816"/>
  <c r="E868" s="1"/>
  <c r="D816"/>
  <c r="D868"/>
  <c r="C816"/>
  <c r="C868" s="1"/>
  <c r="B816"/>
  <c r="D845"/>
  <c r="D865" s="1"/>
  <c r="C845"/>
  <c r="C865" s="1"/>
  <c r="D844"/>
  <c r="D864" s="1"/>
  <c r="C844"/>
  <c r="C864" s="1"/>
  <c r="D843"/>
  <c r="D863" s="1"/>
  <c r="C843"/>
  <c r="C863" s="1"/>
  <c r="D842"/>
  <c r="D862" s="1"/>
  <c r="C842"/>
  <c r="C862" s="1"/>
  <c r="D841"/>
  <c r="D861" s="1"/>
  <c r="C841"/>
  <c r="C861" s="1"/>
  <c r="D840"/>
  <c r="D860" s="1"/>
  <c r="C840"/>
  <c r="C860" s="1"/>
  <c r="D839"/>
  <c r="D859" s="1"/>
  <c r="C839"/>
  <c r="C859" s="1"/>
  <c r="D838"/>
  <c r="D858" s="1"/>
  <c r="C838"/>
  <c r="C858" s="1"/>
  <c r="D837"/>
  <c r="D857" s="1"/>
  <c r="C837"/>
  <c r="C857" s="1"/>
  <c r="D836"/>
  <c r="D856" s="1"/>
  <c r="C836"/>
  <c r="C856" s="1"/>
  <c r="D835"/>
  <c r="D855" s="1"/>
  <c r="C835"/>
  <c r="C855" s="1"/>
  <c r="F834"/>
  <c r="F854" s="1"/>
  <c r="D834"/>
  <c r="D854" s="1"/>
  <c r="C834"/>
  <c r="C854" s="1"/>
  <c r="G833"/>
  <c r="G853" s="1"/>
  <c r="F833"/>
  <c r="F853" s="1"/>
  <c r="C833"/>
  <c r="C853" s="1"/>
  <c r="G852"/>
  <c r="E852"/>
  <c r="D852"/>
  <c r="C852"/>
  <c r="G847"/>
  <c r="F847"/>
  <c r="F848" s="1"/>
  <c r="E847"/>
  <c r="D847"/>
  <c r="D848" s="1"/>
  <c r="C847"/>
  <c r="C848" s="1"/>
  <c r="B847"/>
  <c r="B848" s="1"/>
  <c r="G832"/>
  <c r="E832"/>
  <c r="D832"/>
  <c r="C832"/>
  <c r="A710"/>
  <c r="A717"/>
  <c r="A709"/>
  <c r="A716" s="1"/>
  <c r="A708"/>
  <c r="A715" s="1"/>
  <c r="F679"/>
  <c r="D679"/>
  <c r="F668"/>
  <c r="E668"/>
  <c r="A604"/>
  <c r="A616" s="1"/>
  <c r="D625" s="1"/>
  <c r="G450"/>
  <c r="F450"/>
  <c r="E450"/>
  <c r="D450"/>
  <c r="C450"/>
  <c r="B450"/>
  <c r="A470" a="1"/>
  <c r="A475" s="1"/>
  <c r="A493" s="1"/>
  <c r="B491"/>
  <c r="C491"/>
  <c r="B490"/>
  <c r="C490"/>
  <c r="B489"/>
  <c r="C489"/>
  <c r="B488"/>
  <c r="C488"/>
  <c r="D445"/>
  <c r="D432"/>
  <c r="F144"/>
  <c r="F267" s="1"/>
  <c r="F275" s="1"/>
  <c r="F283" s="1"/>
  <c r="F300" s="1"/>
  <c r="F307" s="1"/>
  <c r="E144"/>
  <c r="E267" s="1"/>
  <c r="E275" s="1"/>
  <c r="E283" s="1"/>
  <c r="E300" s="1"/>
  <c r="E307" s="1"/>
  <c r="F54"/>
  <c r="F64" s="1"/>
  <c r="F290" s="1"/>
  <c r="E54"/>
  <c r="E64"/>
  <c r="E290" s="1"/>
  <c r="F253"/>
  <c r="A209"/>
  <c r="A253"/>
  <c r="F225"/>
  <c r="F162" s="1"/>
  <c r="E225"/>
  <c r="F217"/>
  <c r="E217"/>
  <c r="E162"/>
  <c r="F154"/>
  <c r="E154"/>
  <c r="F129"/>
  <c r="F136"/>
  <c r="E129"/>
  <c r="E136" s="1"/>
  <c r="A22"/>
  <c r="A34" s="1"/>
  <c r="A41" s="1"/>
  <c r="A47" s="1"/>
  <c r="D34"/>
  <c r="D35"/>
  <c r="A35"/>
  <c r="A21"/>
  <c r="A33" s="1"/>
  <c r="F32"/>
  <c r="A24"/>
  <c r="A1" i="76"/>
  <c r="B1"/>
  <c r="C1"/>
  <c r="D1"/>
  <c r="E1"/>
  <c r="A519" i="1"/>
  <c r="A518"/>
  <c r="A517"/>
  <c r="A516"/>
  <c r="A515"/>
  <c r="A514"/>
  <c r="D4" i="77"/>
  <c r="D564" i="1"/>
  <c r="A567"/>
  <c r="E564"/>
  <c r="A568"/>
  <c r="F564"/>
  <c r="A569"/>
  <c r="G564"/>
  <c r="A570"/>
  <c r="D528"/>
  <c r="D548"/>
  <c r="E528"/>
  <c r="E548"/>
  <c r="F528"/>
  <c r="F548"/>
  <c r="G528"/>
  <c r="G548"/>
  <c r="H406"/>
  <c r="E405" a="1"/>
  <c r="E406" a="1"/>
  <c r="E407" a="1"/>
  <c r="E408" a="1"/>
  <c r="E404" a="1"/>
  <c r="E689"/>
  <c r="E394"/>
  <c r="C358"/>
  <c r="E352"/>
  <c r="E317"/>
  <c r="E259"/>
  <c r="C217"/>
  <c r="C200"/>
  <c r="C185"/>
  <c r="E171"/>
  <c r="C154"/>
  <c r="C123"/>
  <c r="C105"/>
  <c r="B718"/>
  <c r="D711"/>
  <c r="F708"/>
  <c r="B696"/>
  <c r="B694"/>
  <c r="A660"/>
  <c r="A645"/>
  <c r="C607"/>
  <c r="C514"/>
  <c r="F492"/>
  <c r="F490"/>
  <c r="F488"/>
  <c r="E482"/>
  <c r="F430"/>
  <c r="F398"/>
  <c r="F396"/>
  <c r="F389"/>
  <c r="F377"/>
  <c r="E365"/>
  <c r="F345"/>
  <c r="F338"/>
  <c r="F318"/>
  <c r="E308"/>
  <c r="F295"/>
  <c r="C275"/>
  <c r="E269"/>
  <c r="E260"/>
  <c r="F255"/>
  <c r="F227"/>
  <c r="F218"/>
  <c r="F210"/>
  <c r="F194"/>
  <c r="F186"/>
  <c r="F138"/>
  <c r="F131"/>
  <c r="F124"/>
  <c r="F91"/>
  <c r="E41"/>
  <c r="E34"/>
  <c r="F22"/>
  <c r="F14"/>
  <c r="E13"/>
  <c r="H595"/>
  <c r="H405"/>
  <c r="H404"/>
  <c r="C2" i="77"/>
  <c r="B2"/>
  <c r="C668" i="1"/>
  <c r="E670" s="1"/>
  <c r="D479" a="1"/>
  <c r="E443" a="1"/>
  <c r="E395"/>
  <c r="C360"/>
  <c r="D332"/>
  <c r="E339" s="1"/>
  <c r="E336"/>
  <c r="C307"/>
  <c r="E309" s="1"/>
  <c r="C283"/>
  <c r="E285" s="1"/>
  <c r="E268"/>
  <c r="C233"/>
  <c r="E236" s="1"/>
  <c r="E193"/>
  <c r="E163"/>
  <c r="C144"/>
  <c r="E146" s="1"/>
  <c r="E130"/>
  <c r="C90"/>
  <c r="C69"/>
  <c r="D718"/>
  <c r="F711"/>
  <c r="F709"/>
  <c r="F696"/>
  <c r="F694"/>
  <c r="A659"/>
  <c r="F645"/>
  <c r="F623"/>
  <c r="H407"/>
  <c r="E669"/>
  <c r="E375"/>
  <c r="E338"/>
  <c r="C300"/>
  <c r="E254"/>
  <c r="E226"/>
  <c r="E202"/>
  <c r="C162"/>
  <c r="E145"/>
  <c r="E108"/>
  <c r="H593"/>
  <c r="C680" a="1"/>
  <c r="D459" a="1"/>
  <c r="C350"/>
  <c r="E353" s="1"/>
  <c r="C316"/>
  <c r="E284"/>
  <c r="E186"/>
  <c r="E156"/>
  <c r="E124"/>
  <c r="C83"/>
  <c r="B697"/>
  <c r="F680"/>
  <c r="F669"/>
  <c r="F660"/>
  <c r="F622"/>
  <c r="F493"/>
  <c r="E480"/>
  <c r="F463"/>
  <c r="F399"/>
  <c r="E397"/>
  <c r="E389"/>
  <c r="F375"/>
  <c r="E345"/>
  <c r="E337"/>
  <c r="F308"/>
  <c r="E301"/>
  <c r="F284"/>
  <c r="F269"/>
  <c r="F261"/>
  <c r="F256"/>
  <c r="F236"/>
  <c r="F202"/>
  <c r="F193"/>
  <c r="F171"/>
  <c r="F156"/>
  <c r="F146"/>
  <c r="F137"/>
  <c r="F115"/>
  <c r="F78"/>
  <c r="C54"/>
  <c r="E55" s="1"/>
  <c r="C32"/>
  <c r="E22"/>
  <c r="H592"/>
  <c r="H408"/>
  <c r="C415"/>
  <c r="E419" s="1"/>
  <c r="D365"/>
  <c r="E344"/>
  <c r="E302"/>
  <c r="C62"/>
  <c r="C225"/>
  <c r="E227" s="1"/>
  <c r="E201"/>
  <c r="E164"/>
  <c r="E137"/>
  <c r="E65"/>
  <c r="D722"/>
  <c r="F697"/>
  <c r="F689"/>
  <c r="F670"/>
  <c r="A661"/>
  <c r="B639" a="1"/>
  <c r="F491"/>
  <c r="F489"/>
  <c r="E481"/>
  <c r="A451" a="1"/>
  <c r="F461"/>
  <c r="F419"/>
  <c r="F397"/>
  <c r="F394"/>
  <c r="F376"/>
  <c r="F352"/>
  <c r="F337"/>
  <c r="F309"/>
  <c r="F301"/>
  <c r="F285"/>
  <c r="F276"/>
  <c r="C253"/>
  <c r="E262" s="1"/>
  <c r="F259"/>
  <c r="F254"/>
  <c r="F245"/>
  <c r="E210"/>
  <c r="C170"/>
  <c r="E172" s="1"/>
  <c r="F130"/>
  <c r="F84"/>
  <c r="F55"/>
  <c r="F35"/>
  <c r="E33"/>
  <c r="E24"/>
  <c r="C11"/>
  <c r="E14" s="1"/>
  <c r="A1"/>
  <c r="B593" a="1"/>
  <c r="E12"/>
  <c r="E318"/>
  <c r="C178"/>
  <c r="E179" s="1"/>
  <c r="A647"/>
  <c r="E479"/>
  <c r="F395"/>
  <c r="F339"/>
  <c r="F302"/>
  <c r="F268"/>
  <c r="E256"/>
  <c r="C192"/>
  <c r="E194" s="1"/>
  <c r="F163"/>
  <c r="F108"/>
  <c r="F47"/>
  <c r="F41"/>
  <c r="C20"/>
  <c r="E23" s="1"/>
  <c r="F12"/>
  <c r="E376"/>
  <c r="C209"/>
  <c r="E211" s="1"/>
  <c r="F710"/>
  <c r="B695"/>
  <c r="E694" s="1" a="1"/>
  <c r="F624"/>
  <c r="E483"/>
  <c r="F459"/>
  <c r="F443"/>
  <c r="E396"/>
  <c r="F344"/>
  <c r="E277"/>
  <c r="F260"/>
  <c r="F201"/>
  <c r="F164"/>
  <c r="F23"/>
  <c r="E660" a="1"/>
  <c r="E430" a="1"/>
  <c r="C114"/>
  <c r="F353"/>
  <c r="F317"/>
  <c r="F291"/>
  <c r="F277"/>
  <c r="E261"/>
  <c r="F155"/>
  <c r="C129"/>
  <c r="E131" s="1"/>
  <c r="B514" a="1"/>
  <c r="E722"/>
  <c r="A646"/>
  <c r="E645" s="1" a="1"/>
  <c r="F262"/>
  <c r="F179"/>
  <c r="E47"/>
  <c r="F34"/>
  <c r="F21"/>
  <c r="F464"/>
  <c r="F65"/>
  <c r="F13"/>
  <c r="B711"/>
  <c r="F695"/>
  <c r="F625"/>
  <c r="E484"/>
  <c r="F460"/>
  <c r="E398"/>
  <c r="E384" a="1"/>
  <c r="F211"/>
  <c r="F172"/>
  <c r="C136"/>
  <c r="E138" s="1"/>
  <c r="F71"/>
  <c r="F33"/>
  <c r="E21"/>
  <c r="E276"/>
  <c r="E155"/>
  <c r="F462"/>
  <c r="E399"/>
  <c r="F384"/>
  <c r="D358"/>
  <c r="F336"/>
  <c r="E255"/>
  <c r="F226"/>
  <c r="F145"/>
  <c r="F99"/>
  <c r="E35"/>
  <c r="F24"/>
  <c r="B708" a="1"/>
  <c r="D708" a="1"/>
  <c r="C849" l="1"/>
  <c r="D881"/>
  <c r="D882"/>
  <c r="D883" s="1"/>
  <c r="C582"/>
  <c r="D531"/>
  <c r="D551" s="1"/>
  <c r="E529"/>
  <c r="E577"/>
  <c r="E580"/>
  <c r="E537"/>
  <c r="E557" s="1"/>
  <c r="E585"/>
  <c r="G577"/>
  <c r="G538"/>
  <c r="G558" s="1"/>
  <c r="B586"/>
  <c r="A631" s="1"/>
  <c r="B583"/>
  <c r="A628" s="1"/>
  <c r="B580"/>
  <c r="A625" s="1"/>
  <c r="B577"/>
  <c r="A622" s="1"/>
  <c r="D833"/>
  <c r="D873"/>
  <c r="G848"/>
  <c r="G834"/>
  <c r="G854" s="1"/>
  <c r="G835"/>
  <c r="G855" s="1"/>
  <c r="G836"/>
  <c r="G856" s="1"/>
  <c r="G837"/>
  <c r="G857" s="1"/>
  <c r="G838"/>
  <c r="G858" s="1"/>
  <c r="G839"/>
  <c r="G859" s="1"/>
  <c r="G840"/>
  <c r="G860" s="1"/>
  <c r="G841"/>
  <c r="G861" s="1"/>
  <c r="G842"/>
  <c r="G862" s="1"/>
  <c r="G843"/>
  <c r="G863" s="1"/>
  <c r="G844"/>
  <c r="G864" s="1"/>
  <c r="G845"/>
  <c r="G865" s="1"/>
  <c r="E870"/>
  <c r="E869" s="1"/>
  <c r="G871"/>
  <c r="D874"/>
  <c r="E876"/>
  <c r="G879"/>
  <c r="D710"/>
  <c r="D709"/>
  <c r="D708"/>
  <c r="B710"/>
  <c r="B709"/>
  <c r="B708"/>
  <c r="E384"/>
  <c r="E386"/>
  <c r="E385"/>
  <c r="E387"/>
  <c r="E647"/>
  <c r="E645"/>
  <c r="E646"/>
  <c r="B515"/>
  <c r="B519"/>
  <c r="B517"/>
  <c r="B516"/>
  <c r="B518"/>
  <c r="B514"/>
  <c r="E115"/>
  <c r="E432"/>
  <c r="E431"/>
  <c r="E430"/>
  <c r="E662"/>
  <c r="E661"/>
  <c r="E660"/>
  <c r="E696"/>
  <c r="E697"/>
  <c r="E695"/>
  <c r="E694"/>
  <c r="E377"/>
  <c r="G593"/>
  <c r="C593"/>
  <c r="F593"/>
  <c r="B593"/>
  <c r="D593"/>
  <c r="E593"/>
  <c r="A452"/>
  <c r="A460" s="1"/>
  <c r="A456"/>
  <c r="A464" s="1"/>
  <c r="A451"/>
  <c r="A459" s="1"/>
  <c r="A455"/>
  <c r="A463" s="1"/>
  <c r="A453"/>
  <c r="A461" s="1"/>
  <c r="A454"/>
  <c r="A462" s="1"/>
  <c r="B641"/>
  <c r="B640"/>
  <c r="B639"/>
  <c r="C294"/>
  <c r="E84"/>
  <c r="D460"/>
  <c r="D464"/>
  <c r="D459"/>
  <c r="D463"/>
  <c r="D462"/>
  <c r="D461"/>
  <c r="E680"/>
  <c r="C682"/>
  <c r="D680"/>
  <c r="E681"/>
  <c r="C681"/>
  <c r="D682"/>
  <c r="D681"/>
  <c r="E682"/>
  <c r="C680"/>
  <c r="C75"/>
  <c r="E78" s="1"/>
  <c r="E71"/>
  <c r="E91"/>
  <c r="E443"/>
  <c r="E445"/>
  <c r="E444"/>
  <c r="D479"/>
  <c r="D488" s="1"/>
  <c r="E488" s="1"/>
  <c r="D483"/>
  <c r="D492" s="1"/>
  <c r="E492" s="1"/>
  <c r="D482"/>
  <c r="D491" s="1"/>
  <c r="E491" s="1"/>
  <c r="D480"/>
  <c r="D489" s="1"/>
  <c r="E489" s="1"/>
  <c r="D484"/>
  <c r="D493" s="1"/>
  <c r="E493" s="1"/>
  <c r="D481"/>
  <c r="D490" s="1"/>
  <c r="E490" s="1"/>
  <c r="E218"/>
  <c r="G404"/>
  <c r="E404"/>
  <c r="F404"/>
  <c r="G408"/>
  <c r="E408"/>
  <c r="F408"/>
  <c r="G407"/>
  <c r="E407"/>
  <c r="F407"/>
  <c r="G406"/>
  <c r="E406"/>
  <c r="F406"/>
  <c r="G405"/>
  <c r="E405"/>
  <c r="F405"/>
  <c r="F852"/>
  <c r="F832"/>
  <c r="F868"/>
  <c r="F545"/>
  <c r="F549"/>
  <c r="F565" s="1"/>
  <c r="A471"/>
  <c r="A489" s="1"/>
  <c r="A470"/>
  <c r="A488" s="1"/>
  <c r="A474"/>
  <c r="A492" s="1"/>
  <c r="A473"/>
  <c r="A491" s="1"/>
  <c r="A472"/>
  <c r="A490" s="1"/>
  <c r="D541"/>
  <c r="D561" s="1"/>
  <c r="D584"/>
  <c r="D537"/>
  <c r="D557" s="1"/>
  <c r="D580"/>
  <c r="D533"/>
  <c r="D553" s="1"/>
  <c r="D576"/>
  <c r="D529"/>
  <c r="D587"/>
  <c r="D588" s="1"/>
  <c r="D540"/>
  <c r="D560" s="1"/>
  <c r="D583"/>
  <c r="D536"/>
  <c r="D556" s="1"/>
  <c r="D579"/>
  <c r="D532"/>
  <c r="D552" s="1"/>
  <c r="D575"/>
  <c r="D574" s="1"/>
  <c r="D538"/>
  <c r="D558" s="1"/>
  <c r="D581"/>
  <c r="D530"/>
  <c r="D550" s="1"/>
  <c r="D585"/>
  <c r="D534"/>
  <c r="D554" s="1"/>
  <c r="D577"/>
  <c r="D586"/>
  <c r="D535"/>
  <c r="D555" s="1"/>
  <c r="D578"/>
  <c r="F880"/>
  <c r="F878"/>
  <c r="F876"/>
  <c r="F874"/>
  <c r="F872"/>
  <c r="F870"/>
  <c r="F869" s="1"/>
  <c r="F882"/>
  <c r="F883" s="1"/>
  <c r="F879"/>
  <c r="F871"/>
  <c r="F881"/>
  <c r="F873"/>
  <c r="F875"/>
  <c r="F845"/>
  <c r="F865" s="1"/>
  <c r="F844"/>
  <c r="F864" s="1"/>
  <c r="F843"/>
  <c r="F863" s="1"/>
  <c r="F842"/>
  <c r="F862" s="1"/>
  <c r="F841"/>
  <c r="F861" s="1"/>
  <c r="F840"/>
  <c r="F860" s="1"/>
  <c r="F839"/>
  <c r="F859" s="1"/>
  <c r="F838"/>
  <c r="F858" s="1"/>
  <c r="F837"/>
  <c r="F857" s="1"/>
  <c r="F836"/>
  <c r="F856" s="1"/>
  <c r="F835"/>
  <c r="F855" s="1"/>
  <c r="B880"/>
  <c r="B878"/>
  <c r="B876"/>
  <c r="B874"/>
  <c r="B872"/>
  <c r="B870"/>
  <c r="B869" s="1"/>
  <c r="B882"/>
  <c r="B883" s="1"/>
  <c r="B877"/>
  <c r="B879"/>
  <c r="B871"/>
  <c r="B845"/>
  <c r="B865" s="1"/>
  <c r="B844"/>
  <c r="B864" s="1"/>
  <c r="B843"/>
  <c r="B863" s="1"/>
  <c r="B842"/>
  <c r="B862" s="1"/>
  <c r="B841"/>
  <c r="B861" s="1"/>
  <c r="B840"/>
  <c r="B860" s="1"/>
  <c r="B839"/>
  <c r="B859" s="1"/>
  <c r="B838"/>
  <c r="B858" s="1"/>
  <c r="B837"/>
  <c r="B857" s="1"/>
  <c r="B836"/>
  <c r="B856" s="1"/>
  <c r="B835"/>
  <c r="B855" s="1"/>
  <c r="B834"/>
  <c r="B854" s="1"/>
  <c r="B833"/>
  <c r="B881"/>
  <c r="B873"/>
  <c r="C585"/>
  <c r="C538"/>
  <c r="C558" s="1"/>
  <c r="C581"/>
  <c r="C534"/>
  <c r="C554" s="1"/>
  <c r="C577"/>
  <c r="C530"/>
  <c r="C550" s="1"/>
  <c r="C541"/>
  <c r="C561" s="1"/>
  <c r="C584"/>
  <c r="C537"/>
  <c r="C557" s="1"/>
  <c r="C580"/>
  <c r="C533"/>
  <c r="C553" s="1"/>
  <c r="C576"/>
  <c r="C529"/>
  <c r="C587"/>
  <c r="C588" s="1"/>
  <c r="C536"/>
  <c r="C556" s="1"/>
  <c r="C579"/>
  <c r="C540"/>
  <c r="C560" s="1"/>
  <c r="C583"/>
  <c r="C532"/>
  <c r="C552" s="1"/>
  <c r="C575"/>
  <c r="C574" s="1"/>
  <c r="C544"/>
  <c r="C586"/>
  <c r="C535"/>
  <c r="C555" s="1"/>
  <c r="C578"/>
  <c r="B588"/>
  <c r="A633" s="1"/>
  <c r="A632"/>
  <c r="D582"/>
  <c r="A610"/>
  <c r="E881"/>
  <c r="E879"/>
  <c r="E877"/>
  <c r="E875"/>
  <c r="E873"/>
  <c r="E871"/>
  <c r="E845"/>
  <c r="E865" s="1"/>
  <c r="E844"/>
  <c r="E864" s="1"/>
  <c r="E843"/>
  <c r="E863" s="1"/>
  <c r="E842"/>
  <c r="E862" s="1"/>
  <c r="E841"/>
  <c r="E861" s="1"/>
  <c r="E840"/>
  <c r="E860" s="1"/>
  <c r="E839"/>
  <c r="E859" s="1"/>
  <c r="E838"/>
  <c r="E858" s="1"/>
  <c r="E837"/>
  <c r="E857" s="1"/>
  <c r="E836"/>
  <c r="E856" s="1"/>
  <c r="E835"/>
  <c r="E855" s="1"/>
  <c r="E834"/>
  <c r="E854" s="1"/>
  <c r="E833"/>
  <c r="B852"/>
  <c r="B832"/>
  <c r="A603"/>
  <c r="A602"/>
  <c r="B545"/>
  <c r="B550"/>
  <c r="B565" s="1"/>
  <c r="E874"/>
  <c r="E882"/>
  <c r="E883" s="1"/>
  <c r="A601"/>
  <c r="E848"/>
  <c r="B868"/>
  <c r="E872"/>
  <c r="E880"/>
  <c r="D544"/>
  <c r="E549"/>
  <c r="G544"/>
  <c r="G578"/>
  <c r="G535"/>
  <c r="G555" s="1"/>
  <c r="G541"/>
  <c r="G561" s="1"/>
  <c r="G584"/>
  <c r="G537"/>
  <c r="G557" s="1"/>
  <c r="G580"/>
  <c r="G533"/>
  <c r="G553" s="1"/>
  <c r="G576"/>
  <c r="G529"/>
  <c r="G587"/>
  <c r="G588" s="1"/>
  <c r="G540"/>
  <c r="G560" s="1"/>
  <c r="G583"/>
  <c r="G536"/>
  <c r="G556" s="1"/>
  <c r="G579"/>
  <c r="G532"/>
  <c r="G552" s="1"/>
  <c r="G575"/>
  <c r="G574" s="1"/>
  <c r="E575"/>
  <c r="E574" s="1"/>
  <c r="E532"/>
  <c r="E552" s="1"/>
  <c r="E579"/>
  <c r="E536"/>
  <c r="E556" s="1"/>
  <c r="E583"/>
  <c r="E540"/>
  <c r="E560" s="1"/>
  <c r="E295"/>
  <c r="G849" l="1"/>
  <c r="D849"/>
  <c r="D853"/>
  <c r="B853"/>
  <c r="B849"/>
  <c r="C98"/>
  <c r="D549"/>
  <c r="D545"/>
  <c r="F569"/>
  <c r="F568"/>
  <c r="A613"/>
  <c r="D622" s="1"/>
  <c r="A607"/>
  <c r="A615"/>
  <c r="D624" s="1"/>
  <c r="A609"/>
  <c r="C549"/>
  <c r="C545"/>
  <c r="E545"/>
  <c r="A614"/>
  <c r="D623" s="1"/>
  <c r="A608"/>
  <c r="E853"/>
  <c r="E849"/>
  <c r="G545"/>
  <c r="G549"/>
  <c r="E568"/>
  <c r="E604" s="1"/>
  <c r="E565"/>
  <c r="E601" s="1"/>
  <c r="B601"/>
  <c r="F849"/>
  <c r="E99"/>
  <c r="G570" l="1"/>
  <c r="G565"/>
  <c r="C242"/>
  <c r="G566"/>
  <c r="E566"/>
  <c r="E602" s="1"/>
  <c r="D566"/>
  <c r="D602" s="1"/>
  <c r="C566"/>
  <c r="C602" s="1"/>
  <c r="C565"/>
  <c r="F566"/>
  <c r="G568"/>
  <c r="G567"/>
  <c r="F567"/>
  <c r="E567"/>
  <c r="E603" s="1"/>
  <c r="D567"/>
  <c r="D603" s="1"/>
  <c r="D565"/>
  <c r="D601" s="1"/>
  <c r="G569"/>
  <c r="B592" a="1"/>
  <c r="E245"/>
  <c r="E592" l="1"/>
  <c r="E595" s="1"/>
  <c r="B592"/>
  <c r="B595" s="1"/>
  <c r="G592"/>
  <c r="G595" s="1"/>
  <c r="F592"/>
  <c r="F595" s="1"/>
  <c r="C592"/>
  <c r="C595" s="1"/>
  <c r="D592"/>
  <c r="D595" s="1"/>
  <c r="C601"/>
  <c r="B607" a="1"/>
  <c r="B607" l="1"/>
  <c r="B610"/>
  <c r="E625" s="1"/>
  <c r="B609"/>
  <c r="B608"/>
  <c r="E622"/>
  <c r="E623"/>
  <c r="E624"/>
  <c r="B715" a="1"/>
  <c r="B716"/>
  <c r="B715"/>
  <c r="B717"/>
  <c r="D715" a="1"/>
  <c r="D717"/>
  <c r="D716"/>
  <c r="D715"/>
</calcChain>
</file>

<file path=xl/sharedStrings.xml><?xml version="1.0" encoding="utf-8"?>
<sst xmlns="http://schemas.openxmlformats.org/spreadsheetml/2006/main" count="675" uniqueCount="403">
  <si>
    <t>Minimum</t>
  </si>
  <si>
    <t>Mode</t>
  </si>
  <si>
    <t>Maximum</t>
  </si>
  <si>
    <t>Corn Y</t>
  </si>
  <si>
    <t>Wheat Y</t>
  </si>
  <si>
    <t>Sorg Y</t>
  </si>
  <si>
    <t>Wheat P</t>
  </si>
  <si>
    <t>Sorg P</t>
  </si>
  <si>
    <t>Mean</t>
  </si>
  <si>
    <t>Std Dev</t>
  </si>
  <si>
    <t>Min</t>
  </si>
  <si>
    <t>Max</t>
  </si>
  <si>
    <t>Beta</t>
  </si>
  <si>
    <t>Units</t>
  </si>
  <si>
    <t>P(x)</t>
  </si>
  <si>
    <t>USD</t>
  </si>
  <si>
    <t>Corn P</t>
  </si>
  <si>
    <t>Scenario 1</t>
  </si>
  <si>
    <t>Scenario 2</t>
  </si>
  <si>
    <t>Scenario 3</t>
  </si>
  <si>
    <t>General Formula using cell references</t>
  </si>
  <si>
    <t>Specific Formula using actual numbers</t>
  </si>
  <si>
    <t>Formulas used for the random numbers</t>
  </si>
  <si>
    <t>Std. Deviation</t>
  </si>
  <si>
    <t>Std Deviation</t>
  </si>
  <si>
    <t xml:space="preserve">Std Deviation </t>
  </si>
  <si>
    <t>Truncated Normal with a Minimum and a Maximum</t>
  </si>
  <si>
    <t>Parameters for an Empirical Distribution</t>
  </si>
  <si>
    <t>Parameters for the GRK Distribution</t>
  </si>
  <si>
    <t>General Formula with a USD specified</t>
  </si>
  <si>
    <t>Parameter for the Bernoulli Distribution</t>
  </si>
  <si>
    <t>Probability of a success or a 1</t>
  </si>
  <si>
    <t>Variable 1</t>
  </si>
  <si>
    <t>Variable 2</t>
  </si>
  <si>
    <t>Variable 3</t>
  </si>
  <si>
    <t>Variable 4</t>
  </si>
  <si>
    <t>Random Shuffle of Objects</t>
  </si>
  <si>
    <t>Alpha</t>
  </si>
  <si>
    <t xml:space="preserve">Vector of CSNDs </t>
  </si>
  <si>
    <t>Scenario 4</t>
  </si>
  <si>
    <t>Scenario 5</t>
  </si>
  <si>
    <t>Truncated Normal -- Truncate the Minimum only</t>
  </si>
  <si>
    <t>Truncated Normal -- Truncate the Maximum only</t>
  </si>
  <si>
    <t>Demonstrate the simulation functions in Simetar.  Press F9 key to generate different realizations of the random variables.</t>
  </si>
  <si>
    <t>General Formula specifying the USD</t>
  </si>
  <si>
    <t>Variable</t>
  </si>
  <si>
    <t>Random Values for X</t>
  </si>
  <si>
    <t>Covariance Matrix</t>
  </si>
  <si>
    <t>Price</t>
  </si>
  <si>
    <t>Triangle Distribution</t>
  </si>
  <si>
    <t>Genearalized triangle</t>
  </si>
  <si>
    <t>N</t>
  </si>
  <si>
    <t>P</t>
  </si>
  <si>
    <t>Binomial</t>
  </si>
  <si>
    <t>Negative Binomial</t>
  </si>
  <si>
    <t>L</t>
  </si>
  <si>
    <t>Geometric</t>
  </si>
  <si>
    <t>Hypogeometric</t>
  </si>
  <si>
    <t>M</t>
  </si>
  <si>
    <t>K</t>
  </si>
  <si>
    <t>Median</t>
  </si>
  <si>
    <t>Sigma</t>
  </si>
  <si>
    <t>Cauchy</t>
  </si>
  <si>
    <t>Lower no. of standard deviations</t>
  </si>
  <si>
    <t>Upper no. of standard deviations</t>
  </si>
  <si>
    <t>General formula without bounds</t>
  </si>
  <si>
    <t>Lower bound parameter A</t>
  </si>
  <si>
    <t>Middle Lower bound parameter B</t>
  </si>
  <si>
    <t>Upper Lower bound parameter C</t>
  </si>
  <si>
    <t>PERT distribution using cell references</t>
  </si>
  <si>
    <t>Alpha parameter</t>
  </si>
  <si>
    <t>Beta Parameter</t>
  </si>
  <si>
    <t xml:space="preserve">Mu </t>
  </si>
  <si>
    <t>Logistic distribution</t>
  </si>
  <si>
    <t>Mu is the location parameter</t>
  </si>
  <si>
    <t>Sigma is scale parameter</t>
  </si>
  <si>
    <t>Extreme value distribution</t>
  </si>
  <si>
    <t>Beta parameter</t>
  </si>
  <si>
    <t>Wiebull distribution</t>
  </si>
  <si>
    <t>Positive Definite Covariance Matrix</t>
  </si>
  <si>
    <t>Wishart distribution</t>
  </si>
  <si>
    <t>P dimension of covariance matrix</t>
  </si>
  <si>
    <t>df Degrees of Freedom</t>
  </si>
  <si>
    <t>Hotelling T-Squared distribution</t>
  </si>
  <si>
    <t>P dimension of Wishart matrix</t>
  </si>
  <si>
    <t xml:space="preserve">N1 </t>
  </si>
  <si>
    <t>N2</t>
  </si>
  <si>
    <t>Wilks Lambda distribution</t>
  </si>
  <si>
    <t>Price 1</t>
  </si>
  <si>
    <t>Price 2</t>
  </si>
  <si>
    <t>Price 3</t>
  </si>
  <si>
    <t>Prod 1</t>
  </si>
  <si>
    <t>Prod 2</t>
  </si>
  <si>
    <t>Prod 3</t>
  </si>
  <si>
    <t>CSND</t>
  </si>
  <si>
    <t>Random Value</t>
  </si>
  <si>
    <t>F(x) probabilities</t>
  </si>
  <si>
    <t>Obs</t>
  </si>
  <si>
    <t>Unsorted Deviations from Mean</t>
  </si>
  <si>
    <t>Obs.</t>
  </si>
  <si>
    <t>St.Dev.</t>
  </si>
  <si>
    <t>C.V.</t>
  </si>
  <si>
    <t>Autocorrelation Coefficient</t>
  </si>
  <si>
    <t>Unsorted Deviations from Mean as a Percent of Mean</t>
  </si>
  <si>
    <t>Sorted Deviations from Mean as a Percent of Mean</t>
  </si>
  <si>
    <t>F(x)</t>
  </si>
  <si>
    <t>Output for Empirical Distributions with 13 Observations as Deviations from Mean</t>
  </si>
  <si>
    <t>Historical Data for the Random Variables</t>
  </si>
  <si>
    <t>Variables</t>
  </si>
  <si>
    <t>One Step MVE</t>
  </si>
  <si>
    <t>Parameters for the four distributions</t>
  </si>
  <si>
    <t>GRKS(Min, Middle, Max, CUSD3)</t>
  </si>
  <si>
    <t>U(Min, Max, CUSD1)</t>
  </si>
  <si>
    <t>Beta(CUSD4, Alpha, Beta)</t>
  </si>
  <si>
    <t>Emp(Mean, Si, F(Si), CUSD2)</t>
  </si>
  <si>
    <t>Count of present iteration</t>
  </si>
  <si>
    <t>Data used to estimate the parameters for the MVE distribution.</t>
  </si>
  <si>
    <t>F Distribution</t>
  </si>
  <si>
    <t>Degrees of Freedom 1</t>
  </si>
  <si>
    <t>Degrees of Freedom 2</t>
  </si>
  <si>
    <t>Formulas</t>
  </si>
  <si>
    <t>Formula</t>
  </si>
  <si>
    <t>Empirical 1</t>
  </si>
  <si>
    <t>Empirical 2</t>
  </si>
  <si>
    <t>Discrete Emp</t>
  </si>
  <si>
    <t>Empirical 3</t>
  </si>
  <si>
    <t>Center</t>
  </si>
  <si>
    <t>Radius</t>
  </si>
  <si>
    <t>Max Iterations</t>
  </si>
  <si>
    <t>Precision</t>
  </si>
  <si>
    <t>Mu</t>
  </si>
  <si>
    <t>Max Iter</t>
  </si>
  <si>
    <t>Middle</t>
  </si>
  <si>
    <t>Lower SD</t>
  </si>
  <si>
    <t>Upper SD</t>
  </si>
  <si>
    <t>No. of Trials</t>
  </si>
  <si>
    <t>Array of Probs</t>
  </si>
  <si>
    <t>Probs as Scalar</t>
  </si>
  <si>
    <t>Array function</t>
  </si>
  <si>
    <t>Scalar Function</t>
  </si>
  <si>
    <t>Exponent P</t>
  </si>
  <si>
    <t>Std Dev Lower</t>
  </si>
  <si>
    <t>Std Dev Upper</t>
  </si>
  <si>
    <t>Correlation Matrix for 6 Random Variables</t>
  </si>
  <si>
    <t>Formulas used for the CSND random numbers</t>
  </si>
  <si>
    <t>Uniform</t>
  </si>
  <si>
    <t>Random No.</t>
  </si>
  <si>
    <t xml:space="preserve">Formula </t>
  </si>
  <si>
    <t>Normal</t>
  </si>
  <si>
    <t>Std Normal Dev</t>
  </si>
  <si>
    <t>Tnorm Max</t>
  </si>
  <si>
    <t>Tnorm Min</t>
  </si>
  <si>
    <t>Tnorm Min Max</t>
  </si>
  <si>
    <t>EMP Norm Tail</t>
  </si>
  <si>
    <t>Random Nos.</t>
  </si>
  <si>
    <t>Emp Min &amp; Max</t>
  </si>
  <si>
    <t>GRK</t>
  </si>
  <si>
    <t>GRKS</t>
  </si>
  <si>
    <t>GRKS Min&amp;Max</t>
  </si>
  <si>
    <t xml:space="preserve">GRKS Min </t>
  </si>
  <si>
    <t xml:space="preserve">GRKS Max </t>
  </si>
  <si>
    <t>Triangle</t>
  </si>
  <si>
    <t xml:space="preserve">Triangle </t>
  </si>
  <si>
    <t>PERT</t>
  </si>
  <si>
    <t>PERT distribution using a USD</t>
  </si>
  <si>
    <t>Uniform Standard Deviate</t>
  </si>
  <si>
    <t>Uniform Std Deviate</t>
  </si>
  <si>
    <t>Uniform Standard Deivate</t>
  </si>
  <si>
    <t>Black Die</t>
  </si>
  <si>
    <t>White Die</t>
  </si>
  <si>
    <t>Roll Black Die</t>
  </si>
  <si>
    <t>Roll White Die</t>
  </si>
  <si>
    <t>Ace</t>
  </si>
  <si>
    <t>King</t>
  </si>
  <si>
    <t>Queen</t>
  </si>
  <si>
    <t>Jack</t>
  </si>
  <si>
    <t>Pareto</t>
  </si>
  <si>
    <t>Logistic</t>
  </si>
  <si>
    <t>Exponential</t>
  </si>
  <si>
    <t>Exponential distribution</t>
  </si>
  <si>
    <t>Exponential's only parameter</t>
  </si>
  <si>
    <t>Double Exponential parameter</t>
  </si>
  <si>
    <t>Double Expon.</t>
  </si>
  <si>
    <t>Extreme Value</t>
  </si>
  <si>
    <t>Wiebull</t>
  </si>
  <si>
    <t>Bernoulli</t>
  </si>
  <si>
    <t xml:space="preserve">Binomial Disttribution </t>
  </si>
  <si>
    <t>Binomial Disttribution with a USD</t>
  </si>
  <si>
    <t>Negative Binomial with a USD</t>
  </si>
  <si>
    <t>Neg. Binomial</t>
  </si>
  <si>
    <t>Poisson with USD</t>
  </si>
  <si>
    <t>Geometric with USD</t>
  </si>
  <si>
    <t>Hypogeometric with USD</t>
  </si>
  <si>
    <t xml:space="preserve">Poisson </t>
  </si>
  <si>
    <t xml:space="preserve">Geometric </t>
  </si>
  <si>
    <t>Cauchy with USD</t>
  </si>
  <si>
    <t>Pareto with a USD</t>
  </si>
  <si>
    <t xml:space="preserve">Pareto distribution </t>
  </si>
  <si>
    <t>Logistic distribution with USD</t>
  </si>
  <si>
    <t>Exponential distribution with USD</t>
  </si>
  <si>
    <t>Double exponential distribution</t>
  </si>
  <si>
    <t>Double exponential distribution with USD</t>
  </si>
  <si>
    <t>Extreme value distribution with USD</t>
  </si>
  <si>
    <t>Wiebull distribution with USD</t>
  </si>
  <si>
    <t>Hotelling T-Squared distribution with USD</t>
  </si>
  <si>
    <t>Hotelling T Sq</t>
  </si>
  <si>
    <t>Wilks Lambda</t>
  </si>
  <si>
    <t>Bootstrap</t>
  </si>
  <si>
    <t>Beta with cell references and USD</t>
  </si>
  <si>
    <t>Chi-Squared with cell references and USD</t>
  </si>
  <si>
    <t>Gamma with cell references and USD</t>
  </si>
  <si>
    <t>Chi-Squared</t>
  </si>
  <si>
    <t>Gamma</t>
  </si>
  <si>
    <t xml:space="preserve">Student's t-distribution with cell references </t>
  </si>
  <si>
    <t>F Distribution with cell references</t>
  </si>
  <si>
    <t>Uniform (10,20)</t>
  </si>
  <si>
    <t>General Formula using cell references and USD</t>
  </si>
  <si>
    <t>Uniform w/ USD</t>
  </si>
  <si>
    <t>Sum of Two Dice</t>
  </si>
  <si>
    <t>Uniform Standard Deivate (USD)</t>
  </si>
  <si>
    <t>Unifrom Standard Deviate U(0,1)</t>
  </si>
  <si>
    <t>Log Normal with cell references and USD</t>
  </si>
  <si>
    <t>Log Normal</t>
  </si>
  <si>
    <t>Generate a vector of CUSDs using the correlation matrix</t>
  </si>
  <si>
    <t>Correltation Matrix for four correlated random variables</t>
  </si>
  <si>
    <t>Random Numbers     Formulas</t>
  </si>
  <si>
    <t>Cosine</t>
  </si>
  <si>
    <t>Cosine Distribution</t>
  </si>
  <si>
    <t>Gaussian</t>
  </si>
  <si>
    <t>Log Log</t>
  </si>
  <si>
    <t>Log-Log Distribution</t>
  </si>
  <si>
    <t>Log Logistic</t>
  </si>
  <si>
    <t>2 Piece Normal</t>
  </si>
  <si>
    <t>2 Piece Normal distribution</t>
  </si>
  <si>
    <t>Power Normal</t>
  </si>
  <si>
    <t>Power Normal distribution</t>
  </si>
  <si>
    <t>SemiCircle</t>
  </si>
  <si>
    <t>Semicircle distribution</t>
  </si>
  <si>
    <t>Two Piece Normal distribution</t>
  </si>
  <si>
    <t>List of Names to be Sampled</t>
  </si>
  <si>
    <t>3.1  Generate Random Numbers Using the Uniform Distribution</t>
  </si>
  <si>
    <t>3.2.1  Generate Random Numbers Using the Normal Distribution</t>
  </si>
  <si>
    <t xml:space="preserve">3.7.5  Discrete Uniform Distribution or Sampling Without Replacement </t>
  </si>
  <si>
    <t>3.2.2  Generate Random Numbers Using the Truncated Normal Distribution</t>
  </si>
  <si>
    <t xml:space="preserve">3.7.1  Generate Random Numbers Using the Empirical Distribution </t>
  </si>
  <si>
    <t>3.5.1  Generate Random Numbers Using the GRK Distributions</t>
  </si>
  <si>
    <t>3.5.2  Generate Random Numbers Using the GRKS Distributions</t>
  </si>
  <si>
    <t>3.4.1 Generate Random Numbers Using the Traingle Distribution</t>
  </si>
  <si>
    <t>3.3.7 Generate Random Numbers Using the Cauchy Distribution</t>
  </si>
  <si>
    <t>3.3.12  Generate Random Numbers Using the Pareto Distribution</t>
  </si>
  <si>
    <t>3.3.8  Generate Random Numbers Using the Logistic Distribution</t>
  </si>
  <si>
    <t>3.3.3 Generate Random Numbers Using the Exponential Distribution</t>
  </si>
  <si>
    <t>3.3.4  Generate Random Numbers Using the Double Exponential Distribution</t>
  </si>
  <si>
    <t>3.3.11 Generate Random Numbers Using the Extreme Value Distribution</t>
  </si>
  <si>
    <t>3.3.5 Generate Random Numbers Using the Wiebull Distribution</t>
  </si>
  <si>
    <t>3.6.1  Generate Random Numbers Using the Bernoulli Distribution</t>
  </si>
  <si>
    <t xml:space="preserve">3.6.2 Generate Random Numbers Using the Binomial Distribution </t>
  </si>
  <si>
    <t>3.6.3 Generate Random Numbers Using the Negative Binomial Distribution</t>
  </si>
  <si>
    <t>3.6.5 Generate Random Numbers Using the Poisson Distribution</t>
  </si>
  <si>
    <t>3.6.6  Generate Random Numbers Using the Geometric Distribution</t>
  </si>
  <si>
    <t>3.6.7  Generate Random Numbers Using the Hypergeometric Distribution</t>
  </si>
  <si>
    <t>3.9.11  Generate Random Numbers Using the Wishart Distribution</t>
  </si>
  <si>
    <t xml:space="preserve">3.9.10  Generate Random Numbers Using the Hotelling T-Squared Distribution </t>
  </si>
  <si>
    <t>3.9.12  Generate Random Numbers Using the Wilks Lambda Distribution</t>
  </si>
  <si>
    <t>3.7.6 Random Sorting a List of Names Using the Array Function form of RANDSORT</t>
  </si>
  <si>
    <t xml:space="preserve">3.4.2 Generate Random Numbers Using the Beta (Excel) Distribution </t>
  </si>
  <si>
    <t>3.2.7 Generate Random Numbers Using the Chi-Squared (Excel) Distribution</t>
  </si>
  <si>
    <t>3.3.1  Generate Random Numbers Using the Gamma (Excel) Distribution</t>
  </si>
  <si>
    <t>3.2.8  Generate Random Numbers Using the Log Normal (Excel) Distribution</t>
  </si>
  <si>
    <t>3.2.5  Generate Random Numbers Using the Student's t (Excel) Distribution</t>
  </si>
  <si>
    <t>3.2.6  Generate Random Numbers Using the F (Excel) Distribution</t>
  </si>
  <si>
    <t>3.4.4  Generate Random Numbers Using the Cosine Distribution</t>
  </si>
  <si>
    <t>3.2.10  Generate Random Numbers Using the Inverse Gaussian Distribution</t>
  </si>
  <si>
    <t>3.3.9  Generate Random Numbers Using the Log-Log Distribution</t>
  </si>
  <si>
    <t>3.3.10  Generate Random Numbers Using the Log-Logisitic Distribution</t>
  </si>
  <si>
    <t>3.2.3  Generate Random Numbers Using the Two-Piece Normal Distribution</t>
  </si>
  <si>
    <t>3.2.4  Generate Random Numbers Using the Modified Two-Piece Normal Distribution</t>
  </si>
  <si>
    <t>3.6.4  Generate Random Numbers Using the Multinomial Distribution</t>
  </si>
  <si>
    <t>3.2.9  Generate Random Numbers Using the Power Normal Distribution</t>
  </si>
  <si>
    <t>3.4.5  Generate Random Numbers Using the Semicircle Distribution</t>
  </si>
  <si>
    <t>3.9.4  Multivariate Normal Distribution Simulated in Two Steps</t>
  </si>
  <si>
    <t>Use CSND as an Array Function and let Simetar generate its own Independent SNDs</t>
  </si>
  <si>
    <t>Second step in a Multivariate Normal Distribution is to use the CSNDs with Means and Standard Deviations</t>
  </si>
  <si>
    <t>3.9.3  Multivariate Normal Distribution in One Step</t>
  </si>
  <si>
    <t>3.9.5  Multivariate Empirical Distribution in One Step</t>
  </si>
  <si>
    <t>3.10  Iteration Counter in Simetar shows the iteration during simulation</t>
  </si>
  <si>
    <t>3.4.3  Generate Random Numbers Using the PERT Distribution</t>
  </si>
  <si>
    <t xml:space="preserve">3.8  Generate Random Numbers Using the Random Walk </t>
  </si>
  <si>
    <t>3.3.9  Generate Random Numbers Using the Multivariate Student's t</t>
  </si>
  <si>
    <t xml:space="preserve">3.9.8  Generate Random Numbers Using the Multivariave Lognormal Distribution </t>
  </si>
  <si>
    <t>3.9.13 Generate Random Numbers Using the Dirichlet Distribution</t>
  </si>
  <si>
    <t>Student's t</t>
  </si>
  <si>
    <t>Inverse Gaussian</t>
  </si>
  <si>
    <t>3.3.2  Generate Random Numbers Using the Truncated Gamma Distribution</t>
  </si>
  <si>
    <t>Inverse Gaussian distribution</t>
  </si>
  <si>
    <t>Truncated Gamma with cell references and USD</t>
  </si>
  <si>
    <t>Tgamma</t>
  </si>
  <si>
    <t>3.3.6 Generate Random Numbers Using the Truncated Wiebull Distribution</t>
  </si>
  <si>
    <t>Truncated Wiebull distribution</t>
  </si>
  <si>
    <t>Truncated Wiebull distribution with USD</t>
  </si>
  <si>
    <t>TWiebull</t>
  </si>
  <si>
    <t>Four Forms of the Empirical Distribution using a Common USD</t>
  </si>
  <si>
    <t>3.7.2 Generate Random Numbers Using the Truncated Empirical Distribution</t>
  </si>
  <si>
    <t>3.7.3 Generate Random Numbers Using the Discrete Empirical Distribution</t>
  </si>
  <si>
    <t>3.7.4 Generate Random Numbers Using the Kernel Density Estimator Distribution</t>
  </si>
  <si>
    <t>Kernel Density E</t>
  </si>
  <si>
    <t>Bandwidth</t>
  </si>
  <si>
    <t>Kernel Estimator</t>
  </si>
  <si>
    <t>3.7.7  Generate Random Numbers Using the Bootstrap Simulation</t>
  </si>
  <si>
    <t>Standard Deviation</t>
  </si>
  <si>
    <t>Distribution</t>
  </si>
  <si>
    <t>Initial Value</t>
  </si>
  <si>
    <t>Coefficient</t>
  </si>
  <si>
    <t>Random Walk sequence</t>
  </si>
  <si>
    <t>RandomWalk</t>
  </si>
  <si>
    <t>Correlation Matrix for 3 Random Variables</t>
  </si>
  <si>
    <t>CUSD is an array function so highlight a 3x1 array for the three variables</t>
  </si>
  <si>
    <t>CSND is an array function so highlight a 3x1 array for the three variables</t>
  </si>
  <si>
    <t>3.9.6  Multivariate Empirical Distribution in Two Steps</t>
  </si>
  <si>
    <t>CUSDs</t>
  </si>
  <si>
    <t xml:space="preserve">3.9.7  Multivariate Mixed Distribution </t>
  </si>
  <si>
    <t>Correlated</t>
  </si>
  <si>
    <t>Random Variable</t>
  </si>
  <si>
    <t>Si as a Fraction of the Mean for Empirical</t>
  </si>
  <si>
    <t>Mean/Middle</t>
  </si>
  <si>
    <t>Mean Vector</t>
  </si>
  <si>
    <t>SND Array</t>
  </si>
  <si>
    <t>MVLogNormal 1</t>
  </si>
  <si>
    <t>MVLogNormal 2</t>
  </si>
  <si>
    <t>MVLogNormal 3</t>
  </si>
  <si>
    <t>Degrees of Freedom</t>
  </si>
  <si>
    <t>SNDs</t>
  </si>
  <si>
    <t>MVStudent t 1</t>
  </si>
  <si>
    <t>MVStudent t 2</t>
  </si>
  <si>
    <t>MVStudent t 3</t>
  </si>
  <si>
    <t>Alphas Array</t>
  </si>
  <si>
    <t>IUSDs</t>
  </si>
  <si>
    <t>Dirichlet 1</t>
  </si>
  <si>
    <t>Dirichlet 2</t>
  </si>
  <si>
    <t>Dirichlet 3</t>
  </si>
  <si>
    <t>Dirichlet 4</t>
  </si>
  <si>
    <t>3.9.14 Uncorrelate Random Deviates -- CSND and CUSD</t>
  </si>
  <si>
    <t>CSNDs</t>
  </si>
  <si>
    <t>Generate an array of CSNDs and an array of CUSDs, using an array of Independent Standard Normal Deviates</t>
  </si>
  <si>
    <t>ISNDs</t>
  </si>
  <si>
    <t xml:space="preserve">Next Uncorrelate the CSNDs and CUSDs </t>
  </si>
  <si>
    <t>Uncorr CSNDs</t>
  </si>
  <si>
    <t>Uncorr CUSDs</t>
  </si>
  <si>
    <t>These two arrays are the same as the starting</t>
  </si>
  <si>
    <t>array of ISNDs prior to the correlation.</t>
  </si>
  <si>
    <t>James W. Richardson</t>
  </si>
  <si>
    <t>The probability distributions are in the same order as in the User's Manual.</t>
  </si>
  <si>
    <t>Put in a 1 for moments to return normal numbers.</t>
  </si>
  <si>
    <t>X1</t>
  </si>
  <si>
    <t>X2</t>
  </si>
  <si>
    <t>X3</t>
  </si>
  <si>
    <t>Bootstrap Simulation with a Matrix of Observations: Preserve the values across the row.</t>
  </si>
  <si>
    <t>"0" indicated Gaussian</t>
  </si>
  <si>
    <t>Unsorted Data Range</t>
  </si>
  <si>
    <t>Using the Array Function form:</t>
  </si>
  <si>
    <t>Draw a single name at random</t>
  </si>
  <si>
    <t>3.9.1 Generate Correlated Standard Normal Deviates</t>
  </si>
  <si>
    <t>3.9.2 Generate Correlated Uniform Standard Deviates</t>
  </si>
  <si>
    <t>Formulas for random numbers</t>
  </si>
  <si>
    <t>Assumed Means</t>
  </si>
  <si>
    <t>Correlated MVN Values</t>
  </si>
  <si>
    <t xml:space="preserve">Array Function for </t>
  </si>
  <si>
    <t>StDev</t>
  </si>
  <si>
    <t>CV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</si>
  <si>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</si>
  <si>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</si>
  <si>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</si>
  <si>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</si>
  <si>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</si>
  <si>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</si>
  <si>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</si>
  <si>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</si>
  <si>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</si>
  <si>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</si>
  <si>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</si>
  <si>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CDFProb.</t>
  </si>
  <si>
    <t>Simetar Simulation Results for 100 Iterations.  6:00:47 PM 4/10/2005 (2.82 sec.).  © 2005.</t>
  </si>
  <si>
    <t>Random Bootstrap Nos. Maintaining the Rows</t>
  </si>
  <si>
    <t>The last parameter in =MVEMP() is for the type of deviates to use</t>
  </si>
  <si>
    <t>See the equation editor for the functions of this parameter 0, 1, 2, 3</t>
  </si>
  <si>
    <t>First use EMP Icon to estimate parameters</t>
  </si>
  <si>
    <t>Correlation Matrix</t>
  </si>
  <si>
    <t>Output for Empirical Distributions with 13 Observations as Percent Deviations from Mean</t>
  </si>
  <si>
    <t>Var 1</t>
  </si>
  <si>
    <t>Var 2</t>
  </si>
  <si>
    <t>Var 3</t>
  </si>
  <si>
    <t>Var 4</t>
  </si>
  <si>
    <t>Var 5</t>
  </si>
  <si>
    <t>Var 6</t>
  </si>
  <si>
    <t>Vector CUSD</t>
  </si>
  <si>
    <t>Now Your have to program the rest of the steps</t>
  </si>
  <si>
    <t>Forecast Means</t>
  </si>
  <si>
    <t>Stoch Values</t>
  </si>
  <si>
    <t>Si  values</t>
  </si>
  <si>
    <t>Mixed Multivariate Random Variables</t>
  </si>
  <si>
    <t>Sorted Values for a Discrete Random Variable</t>
  </si>
  <si>
    <t>Vector of Means</t>
  </si>
  <si>
    <t>© 2011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</si>
</sst>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0000"/>
    <numFmt numFmtId="166" formatCode="0.0000"/>
    <numFmt numFmtId="167" formatCode="0.000"/>
    <numFmt numFmtId="168" formatCode="0.0"/>
  </numFmts>
  <fonts count="3">
    <font>
      <sz val="9"/>
      <name val="Arial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2" fontId="0" fillId="0" borderId="0" xfId="0" applyNumberFormat="1"/>
    <xf numFmtId="0" fontId="2" fillId="0" borderId="0" xfId="0" applyFont="1"/>
    <xf numFmtId="167" fontId="0" fillId="0" borderId="0" xfId="0" applyNumberFormat="1"/>
    <xf numFmtId="167" fontId="1" fillId="0" borderId="0" xfId="0" applyNumberFormat="1" applyFont="1"/>
    <xf numFmtId="0" fontId="0" fillId="0" borderId="0" xfId="0" applyBorder="1"/>
    <xf numFmtId="0" fontId="0" fillId="0" borderId="1" xfId="0" applyBorder="1"/>
    <xf numFmtId="167" fontId="0" fillId="0" borderId="0" xfId="0" applyNumberFormat="1" applyBorder="1"/>
    <xf numFmtId="167" fontId="2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12" xfId="0" applyNumberFormat="1" applyBorder="1"/>
    <xf numFmtId="1" fontId="0" fillId="0" borderId="0" xfId="0" applyNumberFormat="1"/>
    <xf numFmtId="0" fontId="2" fillId="0" borderId="1" xfId="0" applyFont="1" applyBorder="1"/>
    <xf numFmtId="168" fontId="0" fillId="0" borderId="0" xfId="0" applyNumberFormat="1"/>
    <xf numFmtId="167" fontId="2" fillId="0" borderId="0" xfId="0" quotePrefix="1" applyNumberFormat="1" applyFont="1"/>
    <xf numFmtId="167" fontId="0" fillId="0" borderId="0" xfId="0" applyNumberFormat="1" applyAlignment="1">
      <alignment horizontal="left"/>
    </xf>
    <xf numFmtId="167" fontId="0" fillId="0" borderId="0" xfId="0" applyNumberFormat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0" xfId="0" applyFont="1" applyFill="1" applyBorder="1" applyAlignment="1">
      <alignment horizontal="left"/>
    </xf>
    <xf numFmtId="1" fontId="1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67" fontId="0" fillId="0" borderId="13" xfId="0" applyNumberFormat="1" applyBorder="1"/>
    <xf numFmtId="167" fontId="0" fillId="0" borderId="14" xfId="0" applyNumberFormat="1" applyBorder="1"/>
    <xf numFmtId="167" fontId="0" fillId="0" borderId="15" xfId="0" applyNumberFormat="1" applyBorder="1"/>
    <xf numFmtId="167" fontId="0" fillId="0" borderId="16" xfId="0" applyNumberFormat="1" applyBorder="1"/>
    <xf numFmtId="167" fontId="0" fillId="0" borderId="17" xfId="0" applyNumberFormat="1" applyBorder="1"/>
    <xf numFmtId="167" fontId="0" fillId="0" borderId="18" xfId="0" applyNumberFormat="1" applyBorder="1"/>
    <xf numFmtId="167" fontId="0" fillId="0" borderId="1" xfId="0" applyNumberFormat="1" applyBorder="1"/>
    <xf numFmtId="167" fontId="0" fillId="0" borderId="19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0" xfId="0" applyFont="1"/>
    <xf numFmtId="167" fontId="1" fillId="0" borderId="4" xfId="0" applyNumberFormat="1" applyFont="1" applyBorder="1"/>
    <xf numFmtId="0" fontId="1" fillId="0" borderId="3" xfId="0" applyFont="1" applyBorder="1"/>
    <xf numFmtId="0" fontId="1" fillId="0" borderId="5" xfId="0" applyFont="1" applyBorder="1"/>
    <xf numFmtId="167" fontId="1" fillId="0" borderId="6" xfId="0" applyNumberFormat="1" applyFont="1" applyBorder="1"/>
    <xf numFmtId="0" fontId="1" fillId="0" borderId="0" xfId="0" applyFont="1" applyBorder="1"/>
    <xf numFmtId="0" fontId="1" fillId="0" borderId="7" xfId="0" applyFont="1" applyBorder="1"/>
    <xf numFmtId="167" fontId="1" fillId="0" borderId="8" xfId="0" applyNumberFormat="1" applyFont="1" applyBorder="1"/>
    <xf numFmtId="0" fontId="1" fillId="0" borderId="2" xfId="0" applyFont="1" applyBorder="1"/>
    <xf numFmtId="0" fontId="1" fillId="0" borderId="9" xfId="0" applyFont="1" applyBorder="1"/>
    <xf numFmtId="167" fontId="1" fillId="0" borderId="0" xfId="0" applyNumberFormat="1" applyFon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1" fillId="0" borderId="20" xfId="0" applyNumberFormat="1" applyFont="1" applyBorder="1"/>
    <xf numFmtId="1" fontId="1" fillId="0" borderId="21" xfId="0" applyNumberFormat="1" applyFont="1" applyBorder="1"/>
    <xf numFmtId="1" fontId="1" fillId="0" borderId="22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6" fontId="0" fillId="0" borderId="0" xfId="0" applyNumberFormat="1"/>
    <xf numFmtId="167" fontId="2" fillId="0" borderId="0" xfId="0" applyNumberFormat="1" applyFont="1" applyAlignment="1">
      <alignment horizontal="right"/>
    </xf>
    <xf numFmtId="166" fontId="1" fillId="0" borderId="0" xfId="0" applyNumberFormat="1" applyFont="1"/>
    <xf numFmtId="166" fontId="0" fillId="0" borderId="20" xfId="0" applyNumberFormat="1" applyBorder="1"/>
    <xf numFmtId="166" fontId="0" fillId="0" borderId="21" xfId="0" applyNumberFormat="1" applyBorder="1"/>
    <xf numFmtId="166" fontId="0" fillId="0" borderId="22" xfId="0" applyNumberFormat="1" applyBorder="1"/>
    <xf numFmtId="166" fontId="2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167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Alignment="1"/>
    <xf numFmtId="164" fontId="0" fillId="0" borderId="0" xfId="0" applyNumberFormat="1"/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1" fillId="0" borderId="10" xfId="0" applyNumberFormat="1" applyFont="1" applyBorder="1"/>
    <xf numFmtId="167" fontId="1" fillId="0" borderId="11" xfId="0" applyNumberFormat="1" applyFont="1" applyBorder="1"/>
    <xf numFmtId="167" fontId="1" fillId="0" borderId="12" xfId="0" applyNumberFormat="1" applyFont="1" applyBorder="1"/>
    <xf numFmtId="0" fontId="2" fillId="0" borderId="0" xfId="0" applyFont="1" applyBorder="1"/>
    <xf numFmtId="167" fontId="1" fillId="0" borderId="20" xfId="0" applyNumberFormat="1" applyFont="1" applyBorder="1"/>
    <xf numFmtId="167" fontId="1" fillId="0" borderId="21" xfId="0" applyNumberFormat="1" applyFont="1" applyBorder="1"/>
    <xf numFmtId="167" fontId="1" fillId="0" borderId="22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5" fontId="0" fillId="0" borderId="0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0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" xfId="0" applyNumberFormat="1" applyBorder="1"/>
    <xf numFmtId="2" fontId="0" fillId="0" borderId="19" xfId="0" applyNumberFormat="1" applyBorder="1"/>
    <xf numFmtId="166" fontId="1" fillId="0" borderId="0" xfId="0" quotePrefix="1" applyNumberFormat="1" applyFont="1"/>
    <xf numFmtId="1" fontId="1" fillId="0" borderId="0" xfId="0" applyNumberFormat="1" applyFont="1" applyBorder="1"/>
    <xf numFmtId="1" fontId="0" fillId="0" borderId="0" xfId="0" applyNumberFormat="1" applyBorder="1"/>
    <xf numFmtId="1" fontId="2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8" fontId="0" fillId="0" borderId="5" xfId="0" applyNumberFormat="1" applyBorder="1"/>
    <xf numFmtId="168" fontId="0" fillId="0" borderId="7" xfId="0" applyNumberFormat="1" applyBorder="1"/>
    <xf numFmtId="168" fontId="0" fillId="0" borderId="9" xfId="0" applyNumberFormat="1" applyBorder="1"/>
    <xf numFmtId="168" fontId="1" fillId="0" borderId="4" xfId="0" applyNumberFormat="1" applyFont="1" applyBorder="1"/>
    <xf numFmtId="168" fontId="0" fillId="0" borderId="3" xfId="0" applyNumberFormat="1" applyBorder="1"/>
    <xf numFmtId="168" fontId="1" fillId="0" borderId="6" xfId="0" applyNumberFormat="1" applyFont="1" applyBorder="1"/>
    <xf numFmtId="168" fontId="0" fillId="0" borderId="0" xfId="0" applyNumberFormat="1" applyBorder="1"/>
    <xf numFmtId="168" fontId="1" fillId="0" borderId="8" xfId="0" applyNumberFormat="1" applyFont="1" applyBorder="1"/>
    <xf numFmtId="168" fontId="0" fillId="0" borderId="2" xfId="0" applyNumberFormat="1" applyBorder="1"/>
    <xf numFmtId="168" fontId="1" fillId="0" borderId="0" xfId="0" quotePrefix="1" applyNumberFormat="1" applyFont="1" applyBorder="1"/>
    <xf numFmtId="167" fontId="0" fillId="0" borderId="0" xfId="0" applyNumberFormat="1" applyBorder="1" applyAlignment="1">
      <alignment horizontal="left"/>
    </xf>
    <xf numFmtId="168" fontId="1" fillId="0" borderId="0" xfId="0" applyNumberFormat="1" applyFont="1" applyBorder="1"/>
    <xf numFmtId="167" fontId="0" fillId="0" borderId="20" xfId="0" applyNumberFormat="1" applyBorder="1"/>
    <xf numFmtId="167" fontId="0" fillId="0" borderId="21" xfId="0" applyNumberFormat="1" applyBorder="1"/>
    <xf numFmtId="167" fontId="0" fillId="0" borderId="22" xfId="0" applyNumberFormat="1" applyBorder="1"/>
    <xf numFmtId="167" fontId="1" fillId="0" borderId="23" xfId="0" applyNumberFormat="1" applyFont="1" applyBorder="1"/>
    <xf numFmtId="1" fontId="1" fillId="0" borderId="2" xfId="0" applyNumberFormat="1" applyFon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67" fontId="2" fillId="0" borderId="2" xfId="0" applyNumberFormat="1" applyFont="1" applyBorder="1"/>
    <xf numFmtId="167" fontId="0" fillId="0" borderId="2" xfId="0" applyNumberFormat="1" applyBorder="1"/>
    <xf numFmtId="0" fontId="0" fillId="0" borderId="0" xfId="0" applyAlignment="1">
      <alignment horizontal="left" indent="5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7463606507926143"/>
          <c:y val="3.55251494814334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19292206472427"/>
          <c:y val="0.20959838194045721"/>
          <c:w val="0.82872963743998029"/>
          <c:h val="0.53642975716964469"/>
        </c:manualLayout>
      </c:layout>
      <c:scatterChart>
        <c:scatterStyle val="smoothMarker"/>
        <c:ser>
          <c:idx val="0"/>
          <c:order val="0"/>
          <c:tx>
            <c:strRef>
              <c:f>SimData!$D$4</c:f>
              <c:strCache>
                <c:ptCount val="1"/>
                <c:pt idx="0">
                  <c:v>Dirichlet 2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SimData!$D$5:$D$104</c:f>
              <c:numCache>
                <c:formatCode>General</c:formatCode>
                <c:ptCount val="100"/>
                <c:pt idx="0">
                  <c:v>0.13346861988952693</c:v>
                </c:pt>
                <c:pt idx="1">
                  <c:v>0.13539906201895882</c:v>
                </c:pt>
                <c:pt idx="2">
                  <c:v>0.13971906991289129</c:v>
                </c:pt>
                <c:pt idx="3">
                  <c:v>0.14509501677272277</c:v>
                </c:pt>
                <c:pt idx="4">
                  <c:v>0.15275138740848701</c:v>
                </c:pt>
                <c:pt idx="5">
                  <c:v>0.15322873659230149</c:v>
                </c:pt>
                <c:pt idx="6">
                  <c:v>0.16382444999275372</c:v>
                </c:pt>
                <c:pt idx="7">
                  <c:v>0.16506581271984691</c:v>
                </c:pt>
                <c:pt idx="8">
                  <c:v>0.16664448985223215</c:v>
                </c:pt>
                <c:pt idx="9">
                  <c:v>0.16672899025665575</c:v>
                </c:pt>
                <c:pt idx="10">
                  <c:v>0.1694401390370979</c:v>
                </c:pt>
                <c:pt idx="11">
                  <c:v>0.17212347824294433</c:v>
                </c:pt>
                <c:pt idx="12">
                  <c:v>0.17252489576123622</c:v>
                </c:pt>
                <c:pt idx="13">
                  <c:v>0.17449595366555887</c:v>
                </c:pt>
                <c:pt idx="14">
                  <c:v>0.17856874766584746</c:v>
                </c:pt>
                <c:pt idx="15">
                  <c:v>0.18962320192384102</c:v>
                </c:pt>
                <c:pt idx="16">
                  <c:v>0.19138072311099635</c:v>
                </c:pt>
                <c:pt idx="17">
                  <c:v>0.19304885567110661</c:v>
                </c:pt>
                <c:pt idx="18">
                  <c:v>0.1937699129666744</c:v>
                </c:pt>
                <c:pt idx="19">
                  <c:v>0.19476436822222101</c:v>
                </c:pt>
                <c:pt idx="20">
                  <c:v>0.19656160474578399</c:v>
                </c:pt>
                <c:pt idx="21">
                  <c:v>0.20177853643600055</c:v>
                </c:pt>
                <c:pt idx="22">
                  <c:v>0.20196482339487809</c:v>
                </c:pt>
                <c:pt idx="23">
                  <c:v>0.20297882564754197</c:v>
                </c:pt>
                <c:pt idx="24">
                  <c:v>0.20395142910458344</c:v>
                </c:pt>
                <c:pt idx="25">
                  <c:v>0.20409132262953866</c:v>
                </c:pt>
                <c:pt idx="26">
                  <c:v>0.20832238623891852</c:v>
                </c:pt>
                <c:pt idx="27">
                  <c:v>0.21010445453945226</c:v>
                </c:pt>
                <c:pt idx="28">
                  <c:v>0.2104062611792572</c:v>
                </c:pt>
                <c:pt idx="29">
                  <c:v>0.2105579947457217</c:v>
                </c:pt>
                <c:pt idx="30">
                  <c:v>0.21180780587993989</c:v>
                </c:pt>
                <c:pt idx="31">
                  <c:v>0.21208969436901975</c:v>
                </c:pt>
                <c:pt idx="32">
                  <c:v>0.21378877461187359</c:v>
                </c:pt>
                <c:pt idx="33">
                  <c:v>0.21469345099007583</c:v>
                </c:pt>
                <c:pt idx="34">
                  <c:v>0.21514692854297751</c:v>
                </c:pt>
                <c:pt idx="35">
                  <c:v>0.21915302592129524</c:v>
                </c:pt>
                <c:pt idx="36">
                  <c:v>0.2202072585996169</c:v>
                </c:pt>
                <c:pt idx="37">
                  <c:v>0.22094977145330261</c:v>
                </c:pt>
                <c:pt idx="38">
                  <c:v>0.22365372262778746</c:v>
                </c:pt>
                <c:pt idx="39">
                  <c:v>0.22430246847397575</c:v>
                </c:pt>
                <c:pt idx="40">
                  <c:v>0.22850517920734414</c:v>
                </c:pt>
                <c:pt idx="41">
                  <c:v>0.22944937852324476</c:v>
                </c:pt>
                <c:pt idx="42">
                  <c:v>0.22975199092427659</c:v>
                </c:pt>
                <c:pt idx="43">
                  <c:v>0.23009348719850894</c:v>
                </c:pt>
                <c:pt idx="44">
                  <c:v>0.23197877331835151</c:v>
                </c:pt>
                <c:pt idx="45">
                  <c:v>0.2371891988808964</c:v>
                </c:pt>
                <c:pt idx="46">
                  <c:v>0.23752262894392459</c:v>
                </c:pt>
                <c:pt idx="47">
                  <c:v>0.23834645330659002</c:v>
                </c:pt>
                <c:pt idx="48">
                  <c:v>0.23925734552498873</c:v>
                </c:pt>
                <c:pt idx="49">
                  <c:v>0.24143022983704143</c:v>
                </c:pt>
                <c:pt idx="50">
                  <c:v>0.24422070426119852</c:v>
                </c:pt>
                <c:pt idx="51">
                  <c:v>0.24515321449455746</c:v>
                </c:pt>
                <c:pt idx="52">
                  <c:v>0.24596676012542465</c:v>
                </c:pt>
                <c:pt idx="53">
                  <c:v>0.24775894180013558</c:v>
                </c:pt>
                <c:pt idx="54">
                  <c:v>0.24802326881324421</c:v>
                </c:pt>
                <c:pt idx="55">
                  <c:v>0.24843862057193675</c:v>
                </c:pt>
                <c:pt idx="56">
                  <c:v>0.24846220513510126</c:v>
                </c:pt>
                <c:pt idx="57">
                  <c:v>0.24858301719998521</c:v>
                </c:pt>
                <c:pt idx="58">
                  <c:v>0.25013115251590179</c:v>
                </c:pt>
                <c:pt idx="59">
                  <c:v>0.2520290913832714</c:v>
                </c:pt>
                <c:pt idx="60">
                  <c:v>0.25231142548472707</c:v>
                </c:pt>
                <c:pt idx="61">
                  <c:v>0.25278837895313683</c:v>
                </c:pt>
                <c:pt idx="62">
                  <c:v>0.255097282193057</c:v>
                </c:pt>
                <c:pt idx="63">
                  <c:v>0.25569160693381465</c:v>
                </c:pt>
                <c:pt idx="64">
                  <c:v>0.25637208742810424</c:v>
                </c:pt>
                <c:pt idx="65">
                  <c:v>0.25646247505791947</c:v>
                </c:pt>
                <c:pt idx="66">
                  <c:v>0.25682309100389689</c:v>
                </c:pt>
                <c:pt idx="67">
                  <c:v>0.2577509555921963</c:v>
                </c:pt>
                <c:pt idx="68">
                  <c:v>0.25834187882946336</c:v>
                </c:pt>
                <c:pt idx="69">
                  <c:v>0.26044378996449519</c:v>
                </c:pt>
                <c:pt idx="70">
                  <c:v>0.26604906460297523</c:v>
                </c:pt>
                <c:pt idx="71">
                  <c:v>0.26616496987375332</c:v>
                </c:pt>
                <c:pt idx="72">
                  <c:v>0.26874111782625121</c:v>
                </c:pt>
                <c:pt idx="73">
                  <c:v>0.26916418565063921</c:v>
                </c:pt>
                <c:pt idx="74">
                  <c:v>0.27516251490552152</c:v>
                </c:pt>
                <c:pt idx="75">
                  <c:v>0.2759944691237704</c:v>
                </c:pt>
                <c:pt idx="76">
                  <c:v>0.27753619788034478</c:v>
                </c:pt>
                <c:pt idx="77">
                  <c:v>0.278126768791501</c:v>
                </c:pt>
                <c:pt idx="78">
                  <c:v>0.27891157053286636</c:v>
                </c:pt>
                <c:pt idx="79">
                  <c:v>0.27916302856479963</c:v>
                </c:pt>
                <c:pt idx="80">
                  <c:v>0.28014060007161068</c:v>
                </c:pt>
                <c:pt idx="81">
                  <c:v>0.28374556097698617</c:v>
                </c:pt>
                <c:pt idx="82">
                  <c:v>0.28385794951600624</c:v>
                </c:pt>
                <c:pt idx="83">
                  <c:v>0.28630031083102681</c:v>
                </c:pt>
                <c:pt idx="84">
                  <c:v>0.28854333392162401</c:v>
                </c:pt>
                <c:pt idx="85">
                  <c:v>0.29082002090470405</c:v>
                </c:pt>
                <c:pt idx="86">
                  <c:v>0.29391019229581145</c:v>
                </c:pt>
                <c:pt idx="87">
                  <c:v>0.29578725284505808</c:v>
                </c:pt>
                <c:pt idx="88">
                  <c:v>0.29659142491358909</c:v>
                </c:pt>
                <c:pt idx="89">
                  <c:v>0.2976739797592195</c:v>
                </c:pt>
                <c:pt idx="90">
                  <c:v>0.30787950528222063</c:v>
                </c:pt>
                <c:pt idx="91">
                  <c:v>0.31119697990123729</c:v>
                </c:pt>
                <c:pt idx="92">
                  <c:v>0.31408037926693633</c:v>
                </c:pt>
                <c:pt idx="93">
                  <c:v>0.31769041599026077</c:v>
                </c:pt>
                <c:pt idx="94">
                  <c:v>0.32555557409320407</c:v>
                </c:pt>
                <c:pt idx="95">
                  <c:v>0.32555667793366716</c:v>
                </c:pt>
                <c:pt idx="96">
                  <c:v>0.33153204004677328</c:v>
                </c:pt>
                <c:pt idx="97">
                  <c:v>0.33581333790375989</c:v>
                </c:pt>
                <c:pt idx="98">
                  <c:v>0.38876332712004613</c:v>
                </c:pt>
                <c:pt idx="99">
                  <c:v>0.3897800570775895</c:v>
                </c:pt>
              </c:numCache>
            </c:numRef>
          </c:xVal>
          <c:yVal>
            <c:numRef>
              <c:f>SimData!$E$5:$E$104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50027520"/>
        <c:axId val="50029312"/>
      </c:scatterChart>
      <c:valAx>
        <c:axId val="50027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29312"/>
        <c:crosses val="autoZero"/>
        <c:crossBetween val="midCat"/>
      </c:valAx>
      <c:valAx>
        <c:axId val="50029312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3.0135623179635647E-2"/>
              <c:y val="0.422749278829057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27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203434769453471"/>
          <c:y val="0.89168125198397896"/>
          <c:w val="0.17516330973163219"/>
          <c:h val="8.17078438072968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7086911218180699"/>
          <c:y val="3.55251494814334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19292206472427"/>
          <c:y val="0.21670341183674391"/>
          <c:w val="0.82872963743998029"/>
          <c:h val="0.529324727273358"/>
        </c:manualLayout>
      </c:layout>
      <c:scatterChart>
        <c:scatterStyle val="smoothMarker"/>
        <c:ser>
          <c:idx val="0"/>
          <c:order val="0"/>
          <c:tx>
            <c:strRef>
              <c:f>SimData!$O$4</c:f>
              <c:strCache>
                <c:ptCount val="1"/>
                <c:pt idx="0">
                  <c:v>Dirichlet 2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SimData!$O$5:$O$104</c:f>
              <c:numCache>
                <c:formatCode>General</c:formatCode>
                <c:ptCount val="100"/>
                <c:pt idx="0">
                  <c:v>0.13346861988952693</c:v>
                </c:pt>
                <c:pt idx="1">
                  <c:v>0.13539906201895882</c:v>
                </c:pt>
                <c:pt idx="2">
                  <c:v>0.13971906991289129</c:v>
                </c:pt>
                <c:pt idx="3">
                  <c:v>0.14509501677272277</c:v>
                </c:pt>
                <c:pt idx="4">
                  <c:v>0.15275138740848701</c:v>
                </c:pt>
                <c:pt idx="5">
                  <c:v>0.15322873659230149</c:v>
                </c:pt>
                <c:pt idx="6">
                  <c:v>0.16382444999275372</c:v>
                </c:pt>
                <c:pt idx="7">
                  <c:v>0.16506581271984691</c:v>
                </c:pt>
                <c:pt idx="8">
                  <c:v>0.16664448985223215</c:v>
                </c:pt>
                <c:pt idx="9">
                  <c:v>0.16672899025665575</c:v>
                </c:pt>
                <c:pt idx="10">
                  <c:v>0.1694401390370979</c:v>
                </c:pt>
                <c:pt idx="11">
                  <c:v>0.17212347824294433</c:v>
                </c:pt>
                <c:pt idx="12">
                  <c:v>0.17252489576123622</c:v>
                </c:pt>
                <c:pt idx="13">
                  <c:v>0.17449595366555887</c:v>
                </c:pt>
                <c:pt idx="14">
                  <c:v>0.17856874766584746</c:v>
                </c:pt>
                <c:pt idx="15">
                  <c:v>0.18962320192384102</c:v>
                </c:pt>
                <c:pt idx="16">
                  <c:v>0.19138072311099635</c:v>
                </c:pt>
                <c:pt idx="17">
                  <c:v>0.19304885567110661</c:v>
                </c:pt>
                <c:pt idx="18">
                  <c:v>0.1937699129666744</c:v>
                </c:pt>
                <c:pt idx="19">
                  <c:v>0.19476436822222101</c:v>
                </c:pt>
                <c:pt idx="20">
                  <c:v>0.19656160474578399</c:v>
                </c:pt>
                <c:pt idx="21">
                  <c:v>0.20177853643600055</c:v>
                </c:pt>
                <c:pt idx="22">
                  <c:v>0.20196482339487809</c:v>
                </c:pt>
                <c:pt idx="23">
                  <c:v>0.20297882564754197</c:v>
                </c:pt>
                <c:pt idx="24">
                  <c:v>0.20395142910458344</c:v>
                </c:pt>
                <c:pt idx="25">
                  <c:v>0.20409132262953866</c:v>
                </c:pt>
                <c:pt idx="26">
                  <c:v>0.20832238623891852</c:v>
                </c:pt>
                <c:pt idx="27">
                  <c:v>0.21010445453945226</c:v>
                </c:pt>
                <c:pt idx="28">
                  <c:v>0.2104062611792572</c:v>
                </c:pt>
                <c:pt idx="29">
                  <c:v>0.2105579947457217</c:v>
                </c:pt>
                <c:pt idx="30">
                  <c:v>0.21180780587993989</c:v>
                </c:pt>
                <c:pt idx="31">
                  <c:v>0.21208969436901975</c:v>
                </c:pt>
                <c:pt idx="32">
                  <c:v>0.21378877461187359</c:v>
                </c:pt>
                <c:pt idx="33">
                  <c:v>0.21469345099007583</c:v>
                </c:pt>
                <c:pt idx="34">
                  <c:v>0.21514692854297751</c:v>
                </c:pt>
                <c:pt idx="35">
                  <c:v>0.21915302592129524</c:v>
                </c:pt>
                <c:pt idx="36">
                  <c:v>0.2202072585996169</c:v>
                </c:pt>
                <c:pt idx="37">
                  <c:v>0.22094977145330261</c:v>
                </c:pt>
                <c:pt idx="38">
                  <c:v>0.22365372262778746</c:v>
                </c:pt>
                <c:pt idx="39">
                  <c:v>0.22430246847397575</c:v>
                </c:pt>
                <c:pt idx="40">
                  <c:v>0.22850517920734414</c:v>
                </c:pt>
                <c:pt idx="41">
                  <c:v>0.22944937852324476</c:v>
                </c:pt>
                <c:pt idx="42">
                  <c:v>0.22975199092427659</c:v>
                </c:pt>
                <c:pt idx="43">
                  <c:v>0.23009348719850894</c:v>
                </c:pt>
                <c:pt idx="44">
                  <c:v>0.23197877331835151</c:v>
                </c:pt>
                <c:pt idx="45">
                  <c:v>0.2371891988808964</c:v>
                </c:pt>
                <c:pt idx="46">
                  <c:v>0.23752262894392459</c:v>
                </c:pt>
                <c:pt idx="47">
                  <c:v>0.23834645330659002</c:v>
                </c:pt>
                <c:pt idx="48">
                  <c:v>0.23925734552498873</c:v>
                </c:pt>
                <c:pt idx="49">
                  <c:v>0.24143022983704143</c:v>
                </c:pt>
                <c:pt idx="50">
                  <c:v>0.24422070426119852</c:v>
                </c:pt>
                <c:pt idx="51">
                  <c:v>0.24515321449455746</c:v>
                </c:pt>
                <c:pt idx="52">
                  <c:v>0.24596676012542465</c:v>
                </c:pt>
                <c:pt idx="53">
                  <c:v>0.24775894180013558</c:v>
                </c:pt>
                <c:pt idx="54">
                  <c:v>0.24802326881324421</c:v>
                </c:pt>
                <c:pt idx="55">
                  <c:v>0.24843862057193675</c:v>
                </c:pt>
                <c:pt idx="56">
                  <c:v>0.24846220513510126</c:v>
                </c:pt>
                <c:pt idx="57">
                  <c:v>0.24858301719998521</c:v>
                </c:pt>
                <c:pt idx="58">
                  <c:v>0.25013115251590179</c:v>
                </c:pt>
                <c:pt idx="59">
                  <c:v>0.2520290913832714</c:v>
                </c:pt>
                <c:pt idx="60">
                  <c:v>0.25231142548472707</c:v>
                </c:pt>
                <c:pt idx="61">
                  <c:v>0.25278837895313683</c:v>
                </c:pt>
                <c:pt idx="62">
                  <c:v>0.255097282193057</c:v>
                </c:pt>
                <c:pt idx="63">
                  <c:v>0.25569160693381465</c:v>
                </c:pt>
                <c:pt idx="64">
                  <c:v>0.25637208742810424</c:v>
                </c:pt>
                <c:pt idx="65">
                  <c:v>0.25646247505791947</c:v>
                </c:pt>
                <c:pt idx="66">
                  <c:v>0.25682309100389689</c:v>
                </c:pt>
                <c:pt idx="67">
                  <c:v>0.2577509555921963</c:v>
                </c:pt>
                <c:pt idx="68">
                  <c:v>0.25834187882946336</c:v>
                </c:pt>
                <c:pt idx="69">
                  <c:v>0.26044378996449519</c:v>
                </c:pt>
                <c:pt idx="70">
                  <c:v>0.26604906460297523</c:v>
                </c:pt>
                <c:pt idx="71">
                  <c:v>0.26616496987375332</c:v>
                </c:pt>
                <c:pt idx="72">
                  <c:v>0.26874111782625121</c:v>
                </c:pt>
                <c:pt idx="73">
                  <c:v>0.26916418565063921</c:v>
                </c:pt>
                <c:pt idx="74">
                  <c:v>0.27516251490552152</c:v>
                </c:pt>
                <c:pt idx="75">
                  <c:v>0.2759944691237704</c:v>
                </c:pt>
                <c:pt idx="76">
                  <c:v>0.27753619788034478</c:v>
                </c:pt>
                <c:pt idx="77">
                  <c:v>0.278126768791501</c:v>
                </c:pt>
                <c:pt idx="78">
                  <c:v>0.27891157053286636</c:v>
                </c:pt>
                <c:pt idx="79">
                  <c:v>0.27916302856479963</c:v>
                </c:pt>
                <c:pt idx="80">
                  <c:v>0.28014060007161068</c:v>
                </c:pt>
                <c:pt idx="81">
                  <c:v>0.28374556097698617</c:v>
                </c:pt>
                <c:pt idx="82">
                  <c:v>0.28385794951600624</c:v>
                </c:pt>
                <c:pt idx="83">
                  <c:v>0.28630031083102681</c:v>
                </c:pt>
                <c:pt idx="84">
                  <c:v>0.28854333392162401</c:v>
                </c:pt>
                <c:pt idx="85">
                  <c:v>0.29082002090470405</c:v>
                </c:pt>
                <c:pt idx="86">
                  <c:v>0.29391019229581145</c:v>
                </c:pt>
                <c:pt idx="87">
                  <c:v>0.29578725284505808</c:v>
                </c:pt>
                <c:pt idx="88">
                  <c:v>0.29659142491358909</c:v>
                </c:pt>
                <c:pt idx="89">
                  <c:v>0.2976739797592195</c:v>
                </c:pt>
                <c:pt idx="90">
                  <c:v>0.30787950528222063</c:v>
                </c:pt>
                <c:pt idx="91">
                  <c:v>0.31119697990123729</c:v>
                </c:pt>
                <c:pt idx="92">
                  <c:v>0.31408037926693633</c:v>
                </c:pt>
                <c:pt idx="93">
                  <c:v>0.31769041599026077</c:v>
                </c:pt>
                <c:pt idx="94">
                  <c:v>0.32555557409320407</c:v>
                </c:pt>
                <c:pt idx="95">
                  <c:v>0.32555667793366716</c:v>
                </c:pt>
                <c:pt idx="96">
                  <c:v>0.33153204004677328</c:v>
                </c:pt>
                <c:pt idx="97">
                  <c:v>0.33581333790375989</c:v>
                </c:pt>
                <c:pt idx="98">
                  <c:v>0.38876332712004613</c:v>
                </c:pt>
                <c:pt idx="99">
                  <c:v>0.3897800570775895</c:v>
                </c:pt>
              </c:numCache>
            </c:numRef>
          </c:xVal>
          <c:yVal>
            <c:numRef>
              <c:f>SimData!$P$5:$P$104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SimData!$Q$4</c:f>
              <c:strCache>
                <c:ptCount val="1"/>
                <c:pt idx="0">
                  <c:v>Dirichlet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SimData!$Q$5:$Q$104</c:f>
              <c:numCache>
                <c:formatCode>General</c:formatCode>
                <c:ptCount val="100"/>
                <c:pt idx="0">
                  <c:v>0.1305191518369688</c:v>
                </c:pt>
                <c:pt idx="1">
                  <c:v>0.13943870376047418</c:v>
                </c:pt>
                <c:pt idx="2">
                  <c:v>0.14988554150160036</c:v>
                </c:pt>
                <c:pt idx="3">
                  <c:v>0.15473850889742732</c:v>
                </c:pt>
                <c:pt idx="4">
                  <c:v>0.15756765090884636</c:v>
                </c:pt>
                <c:pt idx="5">
                  <c:v>0.16822116451075048</c:v>
                </c:pt>
                <c:pt idx="6">
                  <c:v>0.17715877789258308</c:v>
                </c:pt>
                <c:pt idx="7">
                  <c:v>0.18095516049856558</c:v>
                </c:pt>
                <c:pt idx="8">
                  <c:v>0.19099809877178786</c:v>
                </c:pt>
                <c:pt idx="9">
                  <c:v>0.19327385804152369</c:v>
                </c:pt>
                <c:pt idx="10">
                  <c:v>0.1941323090909356</c:v>
                </c:pt>
                <c:pt idx="11">
                  <c:v>0.19474704685643163</c:v>
                </c:pt>
                <c:pt idx="12">
                  <c:v>0.19631952957550899</c:v>
                </c:pt>
                <c:pt idx="13">
                  <c:v>0.19644978908337479</c:v>
                </c:pt>
                <c:pt idx="14">
                  <c:v>0.19652113931751536</c:v>
                </c:pt>
                <c:pt idx="15">
                  <c:v>0.19830446058181123</c:v>
                </c:pt>
                <c:pt idx="16">
                  <c:v>0.19929486074732877</c:v>
                </c:pt>
                <c:pt idx="17">
                  <c:v>0.202675656540692</c:v>
                </c:pt>
                <c:pt idx="18">
                  <c:v>0.20289640206065754</c:v>
                </c:pt>
                <c:pt idx="19">
                  <c:v>0.20359549147667283</c:v>
                </c:pt>
                <c:pt idx="20">
                  <c:v>0.20397719421177679</c:v>
                </c:pt>
                <c:pt idx="21">
                  <c:v>0.20970651398615139</c:v>
                </c:pt>
                <c:pt idx="22">
                  <c:v>0.21126033322388513</c:v>
                </c:pt>
                <c:pt idx="23">
                  <c:v>0.21380631027839411</c:v>
                </c:pt>
                <c:pt idx="24">
                  <c:v>0.21441015350113407</c:v>
                </c:pt>
                <c:pt idx="25">
                  <c:v>0.21478548284767598</c:v>
                </c:pt>
                <c:pt idx="26">
                  <c:v>0.21480167420356802</c:v>
                </c:pt>
                <c:pt idx="27">
                  <c:v>0.21775000111622553</c:v>
                </c:pt>
                <c:pt idx="28">
                  <c:v>0.22077224476249976</c:v>
                </c:pt>
                <c:pt idx="29">
                  <c:v>0.22349045702259449</c:v>
                </c:pt>
                <c:pt idx="30">
                  <c:v>0.22410965816262174</c:v>
                </c:pt>
                <c:pt idx="31">
                  <c:v>0.22665929457036868</c:v>
                </c:pt>
                <c:pt idx="32">
                  <c:v>0.22667990769995647</c:v>
                </c:pt>
                <c:pt idx="33">
                  <c:v>0.22671851322353825</c:v>
                </c:pt>
                <c:pt idx="34">
                  <c:v>0.22706053232240114</c:v>
                </c:pt>
                <c:pt idx="35">
                  <c:v>0.22878063940548865</c:v>
                </c:pt>
                <c:pt idx="36">
                  <c:v>0.22941175985546933</c:v>
                </c:pt>
                <c:pt idx="37">
                  <c:v>0.23116866809333295</c:v>
                </c:pt>
                <c:pt idx="38">
                  <c:v>0.2319015021989671</c:v>
                </c:pt>
                <c:pt idx="39">
                  <c:v>0.23402213865234778</c:v>
                </c:pt>
                <c:pt idx="40">
                  <c:v>0.23759836971713705</c:v>
                </c:pt>
                <c:pt idx="41">
                  <c:v>0.23902103741434272</c:v>
                </c:pt>
                <c:pt idx="42">
                  <c:v>0.24074984413201628</c:v>
                </c:pt>
                <c:pt idx="43">
                  <c:v>0.24083997888628172</c:v>
                </c:pt>
                <c:pt idx="44">
                  <c:v>0.24225066150390911</c:v>
                </c:pt>
                <c:pt idx="45">
                  <c:v>0.24293048021916921</c:v>
                </c:pt>
                <c:pt idx="46">
                  <c:v>0.24483771501512586</c:v>
                </c:pt>
                <c:pt idx="47">
                  <c:v>0.24565436240975574</c:v>
                </c:pt>
                <c:pt idx="48">
                  <c:v>0.24723218701318217</c:v>
                </c:pt>
                <c:pt idx="49">
                  <c:v>0.24735567631601604</c:v>
                </c:pt>
                <c:pt idx="50">
                  <c:v>0.25317944981927559</c:v>
                </c:pt>
                <c:pt idx="51">
                  <c:v>0.26164935884883261</c:v>
                </c:pt>
                <c:pt idx="52">
                  <c:v>0.26489651299587735</c:v>
                </c:pt>
                <c:pt idx="53">
                  <c:v>0.26619474318147868</c:v>
                </c:pt>
                <c:pt idx="54">
                  <c:v>0.269985304666298</c:v>
                </c:pt>
                <c:pt idx="55">
                  <c:v>0.2714023653665037</c:v>
                </c:pt>
                <c:pt idx="56">
                  <c:v>0.27178054878554125</c:v>
                </c:pt>
                <c:pt idx="57">
                  <c:v>0.27385577335357053</c:v>
                </c:pt>
                <c:pt idx="58">
                  <c:v>0.27398539202553895</c:v>
                </c:pt>
                <c:pt idx="59">
                  <c:v>0.27597339458655756</c:v>
                </c:pt>
                <c:pt idx="60">
                  <c:v>0.27853575190139995</c:v>
                </c:pt>
                <c:pt idx="61">
                  <c:v>0.28162041227692886</c:v>
                </c:pt>
                <c:pt idx="62">
                  <c:v>0.28197981665791272</c:v>
                </c:pt>
                <c:pt idx="63">
                  <c:v>0.28211820089034184</c:v>
                </c:pt>
                <c:pt idx="64">
                  <c:v>0.2821817028833758</c:v>
                </c:pt>
                <c:pt idx="65">
                  <c:v>0.28518066226553035</c:v>
                </c:pt>
                <c:pt idx="66">
                  <c:v>0.2862971277240251</c:v>
                </c:pt>
                <c:pt idx="67">
                  <c:v>0.28654680932847232</c:v>
                </c:pt>
                <c:pt idx="68">
                  <c:v>0.29093947419288091</c:v>
                </c:pt>
                <c:pt idx="69">
                  <c:v>0.29245625248256774</c:v>
                </c:pt>
                <c:pt idx="70">
                  <c:v>0.29389061260149185</c:v>
                </c:pt>
                <c:pt idx="71">
                  <c:v>0.29452587967332183</c:v>
                </c:pt>
                <c:pt idx="72">
                  <c:v>0.29475523266775572</c:v>
                </c:pt>
                <c:pt idx="73">
                  <c:v>0.29531481073736982</c:v>
                </c:pt>
                <c:pt idx="74">
                  <c:v>0.29938999008502204</c:v>
                </c:pt>
                <c:pt idx="75">
                  <c:v>0.30274414995127835</c:v>
                </c:pt>
                <c:pt idx="76">
                  <c:v>0.30504157007502858</c:v>
                </c:pt>
                <c:pt idx="77">
                  <c:v>0.30657423427328495</c:v>
                </c:pt>
                <c:pt idx="78">
                  <c:v>0.31085215657814941</c:v>
                </c:pt>
                <c:pt idx="79">
                  <c:v>0.31268737984911438</c:v>
                </c:pt>
                <c:pt idx="80">
                  <c:v>0.31350270799721464</c:v>
                </c:pt>
                <c:pt idx="81">
                  <c:v>0.31455329110255648</c:v>
                </c:pt>
                <c:pt idx="82">
                  <c:v>0.31636309961245346</c:v>
                </c:pt>
                <c:pt idx="83">
                  <c:v>0.3181393422035062</c:v>
                </c:pt>
                <c:pt idx="84">
                  <c:v>0.32022900637825263</c:v>
                </c:pt>
                <c:pt idx="85">
                  <c:v>0.32047896675757825</c:v>
                </c:pt>
                <c:pt idx="86">
                  <c:v>0.3215518897444245</c:v>
                </c:pt>
                <c:pt idx="87">
                  <c:v>0.3222509181108465</c:v>
                </c:pt>
                <c:pt idx="88">
                  <c:v>0.32791494559660728</c:v>
                </c:pt>
                <c:pt idx="89">
                  <c:v>0.33028139939912776</c:v>
                </c:pt>
                <c:pt idx="90">
                  <c:v>0.33644945042508656</c:v>
                </c:pt>
                <c:pt idx="91">
                  <c:v>0.3403898850824742</c:v>
                </c:pt>
                <c:pt idx="92">
                  <c:v>0.34467525588239023</c:v>
                </c:pt>
                <c:pt idx="93">
                  <c:v>0.34654591241984334</c:v>
                </c:pt>
                <c:pt idx="94">
                  <c:v>0.36295359408318995</c:v>
                </c:pt>
                <c:pt idx="95">
                  <c:v>0.3693832277921712</c:v>
                </c:pt>
                <c:pt idx="96">
                  <c:v>0.37080274863133028</c:v>
                </c:pt>
                <c:pt idx="97">
                  <c:v>0.37270674161416156</c:v>
                </c:pt>
                <c:pt idx="98">
                  <c:v>0.37413377429856876</c:v>
                </c:pt>
                <c:pt idx="99">
                  <c:v>0.44436139567154104</c:v>
                </c:pt>
              </c:numCache>
            </c:numRef>
          </c:xVal>
          <c:yVal>
            <c:numRef>
              <c:f>SimData!$R$5:$R$104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50062848"/>
        <c:axId val="50064384"/>
      </c:scatterChart>
      <c:valAx>
        <c:axId val="50062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64384"/>
        <c:crosses val="autoZero"/>
        <c:crossBetween val="midCat"/>
      </c:valAx>
      <c:valAx>
        <c:axId val="50064384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3.0135623179635647E-2"/>
              <c:y val="0.426301793777201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62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16138395053666"/>
          <c:y val="0.89168125198397896"/>
          <c:w val="0.34090923721962824"/>
          <c:h val="8.17078438072968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48815488"/>
        <c:axId val="48981120"/>
      </c:scatterChart>
      <c:valAx>
        <c:axId val="48815488"/>
        <c:scaling>
          <c:orientation val="minMax"/>
          <c:min val="1.4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81120"/>
        <c:crosses val="autoZero"/>
        <c:crossBetween val="midCat"/>
      </c:valAx>
      <c:valAx>
        <c:axId val="4898112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15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GRK Distribution for Corn Yield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49010176"/>
        <c:axId val="49011712"/>
      </c:scatterChart>
      <c:valAx>
        <c:axId val="49010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11712"/>
        <c:crosses val="autoZero"/>
        <c:crossBetween val="midCat"/>
      </c:valAx>
      <c:valAx>
        <c:axId val="49011712"/>
        <c:scaling>
          <c:orientation val="minMax"/>
          <c:max val="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10176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9525</xdr:rowOff>
    </xdr:from>
    <xdr:to>
      <xdr:col>12</xdr:col>
      <xdr:colOff>228600</xdr:colOff>
      <xdr:row>20</xdr:row>
      <xdr:rowOff>133350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20</xdr:row>
      <xdr:rowOff>133350</xdr:rowOff>
    </xdr:from>
    <xdr:to>
      <xdr:col>12</xdr:col>
      <xdr:colOff>247650</xdr:colOff>
      <xdr:row>39</xdr:row>
      <xdr:rowOff>114300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858</xdr:row>
      <xdr:rowOff>0</xdr:rowOff>
    </xdr:from>
    <xdr:to>
      <xdr:col>9</xdr:col>
      <xdr:colOff>209550</xdr:colOff>
      <xdr:row>858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5</xdr:row>
      <xdr:rowOff>0</xdr:rowOff>
    </xdr:from>
    <xdr:to>
      <xdr:col>10</xdr:col>
      <xdr:colOff>571500</xdr:colOff>
      <xdr:row>5</xdr:row>
      <xdr:rowOff>0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600075</xdr:colOff>
      <xdr:row>524</xdr:row>
      <xdr:rowOff>9525</xdr:rowOff>
    </xdr:from>
    <xdr:to>
      <xdr:col>11</xdr:col>
      <xdr:colOff>180975</xdr:colOff>
      <xdr:row>551</xdr:row>
      <xdr:rowOff>28575</xdr:rowOff>
    </xdr:to>
    <xdr:pic>
      <xdr:nvPicPr>
        <xdr:cNvPr id="119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53275" y="80019525"/>
          <a:ext cx="3286125" cy="41338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9"/>
  <sheetViews>
    <sheetView workbookViewId="0"/>
  </sheetViews>
  <sheetFormatPr defaultRowHeight="12"/>
  <sheetData>
    <row r="1" spans="1:18">
      <c r="A1" t="s">
        <v>381</v>
      </c>
    </row>
    <row r="2" spans="1:18">
      <c r="A2" t="s">
        <v>45</v>
      </c>
      <c r="B2" t="str">
        <f ca="1">ADDRESS(ROW(Sheet1!$E$695),COLUMN(Sheet1!$E$695),4,,_xll.WSNAME(Sheet1!$E$695))</f>
        <v>Sheet1!E695</v>
      </c>
      <c r="C2" t="str">
        <f ca="1">ADDRESS(ROW(Sheet1!$E$696),COLUMN(Sheet1!$E$696),4,,_xll.WSNAME(Sheet1!$E$696))</f>
        <v>Sheet1!E696</v>
      </c>
    </row>
    <row r="3" spans="1:18">
      <c r="A3" t="s">
        <v>8</v>
      </c>
      <c r="B3">
        <f>AVERAGE(B9:B108)</f>
        <v>0.23942783873625931</v>
      </c>
      <c r="C3">
        <f>AVERAGE(C9:C108)</f>
        <v>0.25901639217444844</v>
      </c>
    </row>
    <row r="4" spans="1:18">
      <c r="A4" t="s">
        <v>367</v>
      </c>
      <c r="B4">
        <f>STDEV(B9:B108)</f>
        <v>5.2043276892301059E-2</v>
      </c>
      <c r="C4">
        <f>STDEV(C9:C108)</f>
        <v>5.9555463526226843E-2</v>
      </c>
      <c r="D4" t="str">
        <f>SimData!$B$8</f>
        <v>Dirichlet 2</v>
      </c>
      <c r="E4" t="s">
        <v>380</v>
      </c>
      <c r="O4" t="str">
        <f>SimData!$B$8</f>
        <v>Dirichlet 2</v>
      </c>
      <c r="P4" t="s">
        <v>380</v>
      </c>
      <c r="Q4" t="str">
        <f>SimData!$C$8</f>
        <v>Dirichlet 3</v>
      </c>
      <c r="R4" t="s">
        <v>380</v>
      </c>
    </row>
    <row r="5" spans="1:18">
      <c r="A5" t="s">
        <v>368</v>
      </c>
      <c r="B5">
        <f>100*B4/B3</f>
        <v>21.736518680114347</v>
      </c>
      <c r="C5">
        <f>100*C4/C3</f>
        <v>22.992932233461126</v>
      </c>
      <c r="D5">
        <f>SMALL(SimData!$B$9:$B$108,1)</f>
        <v>0.13346861988952693</v>
      </c>
      <c r="E5">
        <v>0</v>
      </c>
      <c r="O5">
        <f>SMALL(SimData!$B$9:$B$108,1)</f>
        <v>0.13346861988952693</v>
      </c>
      <c r="P5">
        <v>0</v>
      </c>
      <c r="Q5">
        <f>SMALL(SimData!$C$9:$C$108,1)</f>
        <v>0.1305191518369688</v>
      </c>
      <c r="R5">
        <v>0</v>
      </c>
    </row>
    <row r="6" spans="1:18">
      <c r="A6" t="s">
        <v>10</v>
      </c>
      <c r="B6">
        <f>MIN(B9:B108)</f>
        <v>0.13346861988952693</v>
      </c>
      <c r="C6">
        <f>MIN(C9:C108)</f>
        <v>0.1305191518369688</v>
      </c>
      <c r="D6">
        <f>SMALL(SimData!$B$9:$B$108,2)</f>
        <v>0.13539906201895882</v>
      </c>
      <c r="E6">
        <f>1/(COUNT(SimData!$B$9:$B$108)-1)+$E$5</f>
        <v>1.0101010101010102E-2</v>
      </c>
      <c r="O6">
        <f>SMALL(SimData!$B$9:$B$108,2)</f>
        <v>0.13539906201895882</v>
      </c>
      <c r="P6">
        <f>1/(COUNT(SimData!$B$9:$B$108)-1)+$P$5</f>
        <v>1.0101010101010102E-2</v>
      </c>
      <c r="Q6">
        <f>SMALL(SimData!$C$9:$C$108,2)</f>
        <v>0.13943870376047418</v>
      </c>
      <c r="R6">
        <f>1/(COUNT(SimData!$C$9:$C$108)-1)+$R$5</f>
        <v>1.0101010101010102E-2</v>
      </c>
    </row>
    <row r="7" spans="1:18">
      <c r="A7" t="s">
        <v>11</v>
      </c>
      <c r="B7">
        <f>MAX(B9:B108)</f>
        <v>0.3897800570775895</v>
      </c>
      <c r="C7">
        <f>MAX(C9:C108)</f>
        <v>0.44436139567154104</v>
      </c>
      <c r="D7">
        <f>SMALL(SimData!$B$9:$B$108,3)</f>
        <v>0.13971906991289129</v>
      </c>
      <c r="E7">
        <f>1/(COUNT(SimData!$B$9:$B$108)-1)+$E$6</f>
        <v>2.0202020202020204E-2</v>
      </c>
      <c r="O7">
        <f>SMALL(SimData!$B$9:$B$108,3)</f>
        <v>0.13971906991289129</v>
      </c>
      <c r="P7">
        <f>1/(COUNT(SimData!$B$9:$B$108)-1)+$P$6</f>
        <v>2.0202020202020204E-2</v>
      </c>
      <c r="Q7">
        <f>SMALL(SimData!$C$9:$C$108,3)</f>
        <v>0.14988554150160036</v>
      </c>
      <c r="R7">
        <f>1/(COUNT(SimData!$C$9:$C$108)-1)+$R$6</f>
        <v>2.0202020202020204E-2</v>
      </c>
    </row>
    <row r="8" spans="1:18">
      <c r="A8" t="s">
        <v>369</v>
      </c>
      <c r="B8" t="str">
        <f>Sheet1!$D$695</f>
        <v>Dirichlet 2</v>
      </c>
      <c r="C8" t="str">
        <f>Sheet1!$D$696</f>
        <v>Dirichlet 3</v>
      </c>
      <c r="D8">
        <f>SMALL(SimData!$B$9:$B$108,4)</f>
        <v>0.14509501677272277</v>
      </c>
      <c r="E8">
        <f>1/(COUNT(SimData!$B$9:$B$108)-1)+$E$7</f>
        <v>3.0303030303030304E-2</v>
      </c>
      <c r="O8">
        <f>SMALL(SimData!$B$9:$B$108,4)</f>
        <v>0.14509501677272277</v>
      </c>
      <c r="P8">
        <f>1/(COUNT(SimData!$B$9:$B$108)-1)+$P$7</f>
        <v>3.0303030303030304E-2</v>
      </c>
      <c r="Q8">
        <f>SMALL(SimData!$C$9:$C$108,4)</f>
        <v>0.15473850889742732</v>
      </c>
      <c r="R8">
        <f>1/(COUNT(SimData!$C$9:$C$108)-1)+$R$7</f>
        <v>3.0303030303030304E-2</v>
      </c>
    </row>
    <row r="9" spans="1:18">
      <c r="A9">
        <v>1</v>
      </c>
      <c r="B9">
        <v>0.13346861988952693</v>
      </c>
      <c r="C9">
        <v>0.31268737984911438</v>
      </c>
      <c r="D9">
        <f>SMALL(SimData!$B$9:$B$108,5)</f>
        <v>0.15275138740848701</v>
      </c>
      <c r="E9">
        <f>1/(COUNT(SimData!$B$9:$B$108)-1)+$E$8</f>
        <v>4.0404040404040407E-2</v>
      </c>
      <c r="O9">
        <f>SMALL(SimData!$B$9:$B$108,5)</f>
        <v>0.15275138740848701</v>
      </c>
      <c r="P9">
        <f>1/(COUNT(SimData!$B$9:$B$108)-1)+$P$8</f>
        <v>4.0404040404040407E-2</v>
      </c>
      <c r="Q9">
        <f>SMALL(SimData!$C$9:$C$108,5)</f>
        <v>0.15756765090884636</v>
      </c>
      <c r="R9">
        <f>1/(COUNT(SimData!$C$9:$C$108)-1)+$R$8</f>
        <v>4.0404040404040407E-2</v>
      </c>
    </row>
    <row r="10" spans="1:18">
      <c r="A10">
        <v>2</v>
      </c>
      <c r="B10">
        <v>0.23009348719850894</v>
      </c>
      <c r="C10">
        <v>0.19474704685643163</v>
      </c>
      <c r="D10">
        <f>SMALL(SimData!$B$9:$B$108,6)</f>
        <v>0.15322873659230149</v>
      </c>
      <c r="E10">
        <f>1/(COUNT(SimData!$B$9:$B$108)-1)+$E$9</f>
        <v>5.0505050505050511E-2</v>
      </c>
      <c r="O10">
        <f>SMALL(SimData!$B$9:$B$108,6)</f>
        <v>0.15322873659230149</v>
      </c>
      <c r="P10">
        <f>1/(COUNT(SimData!$B$9:$B$108)-1)+$P$9</f>
        <v>5.0505050505050511E-2</v>
      </c>
      <c r="Q10">
        <f>SMALL(SimData!$C$9:$C$108,6)</f>
        <v>0.16822116451075048</v>
      </c>
      <c r="R10">
        <f>1/(COUNT(SimData!$C$9:$C$108)-1)+$R$9</f>
        <v>5.0505050505050511E-2</v>
      </c>
    </row>
    <row r="11" spans="1:18">
      <c r="A11">
        <v>3</v>
      </c>
      <c r="B11">
        <v>0.17212347824294433</v>
      </c>
      <c r="C11">
        <v>0.34654591241984334</v>
      </c>
      <c r="D11">
        <f>SMALL(SimData!$B$9:$B$108,7)</f>
        <v>0.16382444999275372</v>
      </c>
      <c r="E11">
        <f>1/(COUNT(SimData!$B$9:$B$108)-1)+$E$10</f>
        <v>6.0606060606060615E-2</v>
      </c>
      <c r="O11">
        <f>SMALL(SimData!$B$9:$B$108,7)</f>
        <v>0.16382444999275372</v>
      </c>
      <c r="P11">
        <f>1/(COUNT(SimData!$B$9:$B$108)-1)+$P$10</f>
        <v>6.0606060606060615E-2</v>
      </c>
      <c r="Q11">
        <f>SMALL(SimData!$C$9:$C$108,7)</f>
        <v>0.17715877789258308</v>
      </c>
      <c r="R11">
        <f>1/(COUNT(SimData!$C$9:$C$108)-1)+$R$10</f>
        <v>6.0606060606060615E-2</v>
      </c>
    </row>
    <row r="12" spans="1:18">
      <c r="A12">
        <v>4</v>
      </c>
      <c r="B12">
        <v>0.18962320192384102</v>
      </c>
      <c r="C12">
        <v>0.2714023653665037</v>
      </c>
      <c r="D12">
        <f>SMALL(SimData!$B$9:$B$108,8)</f>
        <v>0.16506581271984691</v>
      </c>
      <c r="E12">
        <f>1/(COUNT(SimData!$B$9:$B$108)-1)+$E$11</f>
        <v>7.0707070707070718E-2</v>
      </c>
      <c r="O12">
        <f>SMALL(SimData!$B$9:$B$108,8)</f>
        <v>0.16506581271984691</v>
      </c>
      <c r="P12">
        <f>1/(COUNT(SimData!$B$9:$B$108)-1)+$P$11</f>
        <v>7.0707070707070718E-2</v>
      </c>
      <c r="Q12">
        <f>SMALL(SimData!$C$9:$C$108,8)</f>
        <v>0.18095516049856558</v>
      </c>
      <c r="R12">
        <f>1/(COUNT(SimData!$C$9:$C$108)-1)+$R$11</f>
        <v>7.0707070707070718E-2</v>
      </c>
    </row>
    <row r="13" spans="1:18">
      <c r="A13">
        <v>5</v>
      </c>
      <c r="B13">
        <v>0.20196482339487809</v>
      </c>
      <c r="C13">
        <v>0.21380631027839411</v>
      </c>
      <c r="D13">
        <f>SMALL(SimData!$B$9:$B$108,9)</f>
        <v>0.16664448985223215</v>
      </c>
      <c r="E13">
        <f>1/(COUNT(SimData!$B$9:$B$108)-1)+$E$12</f>
        <v>8.0808080808080815E-2</v>
      </c>
      <c r="O13">
        <f>SMALL(SimData!$B$9:$B$108,9)</f>
        <v>0.16664448985223215</v>
      </c>
      <c r="P13">
        <f>1/(COUNT(SimData!$B$9:$B$108)-1)+$P$12</f>
        <v>8.0808080808080815E-2</v>
      </c>
      <c r="Q13">
        <f>SMALL(SimData!$C$9:$C$108,9)</f>
        <v>0.19099809877178786</v>
      </c>
      <c r="R13">
        <f>1/(COUNT(SimData!$C$9:$C$108)-1)+$R$12</f>
        <v>8.0808080808080815E-2</v>
      </c>
    </row>
    <row r="14" spans="1:18">
      <c r="A14">
        <v>6</v>
      </c>
      <c r="B14">
        <v>0.22944937852324476</v>
      </c>
      <c r="C14">
        <v>0.24483771501512586</v>
      </c>
      <c r="D14">
        <f>SMALL(SimData!$B$9:$B$108,10)</f>
        <v>0.16672899025665575</v>
      </c>
      <c r="E14">
        <f>1/(COUNT(SimData!$B$9:$B$108)-1)+$E$13</f>
        <v>9.0909090909090912E-2</v>
      </c>
      <c r="O14">
        <f>SMALL(SimData!$B$9:$B$108,10)</f>
        <v>0.16672899025665575</v>
      </c>
      <c r="P14">
        <f>1/(COUNT(SimData!$B$9:$B$108)-1)+$P$13</f>
        <v>9.0909090909090912E-2</v>
      </c>
      <c r="Q14">
        <f>SMALL(SimData!$C$9:$C$108,10)</f>
        <v>0.19327385804152369</v>
      </c>
      <c r="R14">
        <f>1/(COUNT(SimData!$C$9:$C$108)-1)+$R$13</f>
        <v>9.0909090909090912E-2</v>
      </c>
    </row>
    <row r="15" spans="1:18">
      <c r="A15">
        <v>7</v>
      </c>
      <c r="B15">
        <v>0.1694401390370979</v>
      </c>
      <c r="C15">
        <v>0.30657423427328495</v>
      </c>
      <c r="D15">
        <f>SMALL(SimData!$B$9:$B$108,11)</f>
        <v>0.1694401390370979</v>
      </c>
      <c r="E15">
        <f>1/(COUNT(SimData!$B$9:$B$108)-1)+$E$14</f>
        <v>0.10101010101010101</v>
      </c>
      <c r="O15">
        <f>SMALL(SimData!$B$9:$B$108,11)</f>
        <v>0.1694401390370979</v>
      </c>
      <c r="P15">
        <f>1/(COUNT(SimData!$B$9:$B$108)-1)+$P$14</f>
        <v>0.10101010101010101</v>
      </c>
      <c r="Q15">
        <f>SMALL(SimData!$C$9:$C$108,11)</f>
        <v>0.1941323090909356</v>
      </c>
      <c r="R15">
        <f>1/(COUNT(SimData!$C$9:$C$108)-1)+$R$14</f>
        <v>0.10101010101010101</v>
      </c>
    </row>
    <row r="16" spans="1:18">
      <c r="A16">
        <v>8</v>
      </c>
      <c r="B16">
        <v>0.32555667793366716</v>
      </c>
      <c r="C16">
        <v>0.3403898850824742</v>
      </c>
      <c r="D16">
        <f>SMALL(SimData!$B$9:$B$108,12)</f>
        <v>0.17212347824294433</v>
      </c>
      <c r="E16">
        <f>1/(COUNT(SimData!$B$9:$B$108)-1)+$E$15</f>
        <v>0.1111111111111111</v>
      </c>
      <c r="O16">
        <f>SMALL(SimData!$B$9:$B$108,12)</f>
        <v>0.17212347824294433</v>
      </c>
      <c r="P16">
        <f>1/(COUNT(SimData!$B$9:$B$108)-1)+$P$15</f>
        <v>0.1111111111111111</v>
      </c>
      <c r="Q16">
        <f>SMALL(SimData!$C$9:$C$108,12)</f>
        <v>0.19474704685643163</v>
      </c>
      <c r="R16">
        <f>1/(COUNT(SimData!$C$9:$C$108)-1)+$R$15</f>
        <v>0.1111111111111111</v>
      </c>
    </row>
    <row r="17" spans="1:18">
      <c r="A17">
        <v>9</v>
      </c>
      <c r="B17">
        <v>0.22975199092427659</v>
      </c>
      <c r="C17">
        <v>0.2319015021989671</v>
      </c>
      <c r="D17">
        <f>SMALL(SimData!$B$9:$B$108,13)</f>
        <v>0.17252489576123622</v>
      </c>
      <c r="E17">
        <f>1/(COUNT(SimData!$B$9:$B$108)-1)+$E$16</f>
        <v>0.1212121212121212</v>
      </c>
      <c r="O17">
        <f>SMALL(SimData!$B$9:$B$108,13)</f>
        <v>0.17252489576123622</v>
      </c>
      <c r="P17">
        <f>1/(COUNT(SimData!$B$9:$B$108)-1)+$P$16</f>
        <v>0.1212121212121212</v>
      </c>
      <c r="Q17">
        <f>SMALL(SimData!$C$9:$C$108,13)</f>
        <v>0.19631952957550899</v>
      </c>
      <c r="R17">
        <f>1/(COUNT(SimData!$C$9:$C$108)-1)+$R$16</f>
        <v>0.1212121212121212</v>
      </c>
    </row>
    <row r="18" spans="1:18">
      <c r="A18">
        <v>10</v>
      </c>
      <c r="B18">
        <v>0.22094977145330261</v>
      </c>
      <c r="C18">
        <v>0.15473850889742732</v>
      </c>
      <c r="D18">
        <f>SMALL(SimData!$B$9:$B$108,14)</f>
        <v>0.17449595366555887</v>
      </c>
      <c r="E18">
        <f>1/(COUNT(SimData!$B$9:$B$108)-1)+$E$17</f>
        <v>0.1313131313131313</v>
      </c>
      <c r="O18">
        <f>SMALL(SimData!$B$9:$B$108,14)</f>
        <v>0.17449595366555887</v>
      </c>
      <c r="P18">
        <f>1/(COUNT(SimData!$B$9:$B$108)-1)+$P$17</f>
        <v>0.1313131313131313</v>
      </c>
      <c r="Q18">
        <f>SMALL(SimData!$C$9:$C$108,14)</f>
        <v>0.19644978908337479</v>
      </c>
      <c r="R18">
        <f>1/(COUNT(SimData!$C$9:$C$108)-1)+$R$17</f>
        <v>0.1313131313131313</v>
      </c>
    </row>
    <row r="19" spans="1:18">
      <c r="A19">
        <v>11</v>
      </c>
      <c r="B19">
        <v>0.26874111782625121</v>
      </c>
      <c r="C19">
        <v>0.202675656540692</v>
      </c>
      <c r="D19">
        <f>SMALL(SimData!$B$9:$B$108,15)</f>
        <v>0.17856874766584746</v>
      </c>
      <c r="E19">
        <f>1/(COUNT(SimData!$B$9:$B$108)-1)+$E$18</f>
        <v>0.14141414141414141</v>
      </c>
      <c r="O19">
        <f>SMALL(SimData!$B$9:$B$108,15)</f>
        <v>0.17856874766584746</v>
      </c>
      <c r="P19">
        <f>1/(COUNT(SimData!$B$9:$B$108)-1)+$P$18</f>
        <v>0.14141414141414141</v>
      </c>
      <c r="Q19">
        <f>SMALL(SimData!$C$9:$C$108,15)</f>
        <v>0.19652113931751536</v>
      </c>
      <c r="R19">
        <f>1/(COUNT(SimData!$C$9:$C$108)-1)+$R$18</f>
        <v>0.14141414141414141</v>
      </c>
    </row>
    <row r="20" spans="1:18">
      <c r="A20">
        <v>12</v>
      </c>
      <c r="B20">
        <v>0.20177853643600055</v>
      </c>
      <c r="C20">
        <v>0.22077224476249976</v>
      </c>
      <c r="D20">
        <f>SMALL(SimData!$B$9:$B$108,16)</f>
        <v>0.18962320192384102</v>
      </c>
      <c r="E20">
        <f>1/(COUNT(SimData!$B$9:$B$108)-1)+$E$19</f>
        <v>0.15151515151515152</v>
      </c>
      <c r="O20">
        <f>SMALL(SimData!$B$9:$B$108,16)</f>
        <v>0.18962320192384102</v>
      </c>
      <c r="P20">
        <f>1/(COUNT(SimData!$B$9:$B$108)-1)+$P$19</f>
        <v>0.15151515151515152</v>
      </c>
      <c r="Q20">
        <f>SMALL(SimData!$C$9:$C$108,16)</f>
        <v>0.19830446058181123</v>
      </c>
      <c r="R20">
        <f>1/(COUNT(SimData!$C$9:$C$108)-1)+$R$19</f>
        <v>0.15151515151515152</v>
      </c>
    </row>
    <row r="21" spans="1:18">
      <c r="A21">
        <v>13</v>
      </c>
      <c r="B21">
        <v>0.28630031083102681</v>
      </c>
      <c r="C21">
        <v>0.21441015350113407</v>
      </c>
      <c r="D21">
        <f>SMALL(SimData!$B$9:$B$108,17)</f>
        <v>0.19138072311099635</v>
      </c>
      <c r="E21">
        <f>1/(COUNT(SimData!$B$9:$B$108)-1)+$E$20</f>
        <v>0.16161616161616163</v>
      </c>
      <c r="O21">
        <f>SMALL(SimData!$B$9:$B$108,17)</f>
        <v>0.19138072311099635</v>
      </c>
      <c r="P21">
        <f>1/(COUNT(SimData!$B$9:$B$108)-1)+$P$20</f>
        <v>0.16161616161616163</v>
      </c>
      <c r="Q21">
        <f>SMALL(SimData!$C$9:$C$108,17)</f>
        <v>0.19929486074732877</v>
      </c>
      <c r="R21">
        <f>1/(COUNT(SimData!$C$9:$C$108)-1)+$R$20</f>
        <v>0.16161616161616163</v>
      </c>
    </row>
    <row r="22" spans="1:18">
      <c r="A22">
        <v>14</v>
      </c>
      <c r="B22">
        <v>0.2105579947457217</v>
      </c>
      <c r="C22">
        <v>0.23402213865234778</v>
      </c>
      <c r="D22">
        <f>SMALL(SimData!$B$9:$B$108,18)</f>
        <v>0.19304885567110661</v>
      </c>
      <c r="E22">
        <f>1/(COUNT(SimData!$B$9:$B$108)-1)+$E$21</f>
        <v>0.17171717171717174</v>
      </c>
      <c r="O22">
        <f>SMALL(SimData!$B$9:$B$108,18)</f>
        <v>0.19304885567110661</v>
      </c>
      <c r="P22">
        <f>1/(COUNT(SimData!$B$9:$B$108)-1)+$P$21</f>
        <v>0.17171717171717174</v>
      </c>
      <c r="Q22">
        <f>SMALL(SimData!$C$9:$C$108,18)</f>
        <v>0.202675656540692</v>
      </c>
      <c r="R22">
        <f>1/(COUNT(SimData!$C$9:$C$108)-1)+$R$21</f>
        <v>0.17171717171717174</v>
      </c>
    </row>
    <row r="23" spans="1:18">
      <c r="A23">
        <v>15</v>
      </c>
      <c r="B23">
        <v>0.29578725284505808</v>
      </c>
      <c r="C23">
        <v>0.20970651398615139</v>
      </c>
      <c r="D23">
        <f>SMALL(SimData!$B$9:$B$108,19)</f>
        <v>0.1937699129666744</v>
      </c>
      <c r="E23">
        <f>1/(COUNT(SimData!$B$9:$B$108)-1)+$E$22</f>
        <v>0.18181818181818185</v>
      </c>
      <c r="O23">
        <f>SMALL(SimData!$B$9:$B$108,19)</f>
        <v>0.1937699129666744</v>
      </c>
      <c r="P23">
        <f>1/(COUNT(SimData!$B$9:$B$108)-1)+$P$22</f>
        <v>0.18181818181818185</v>
      </c>
      <c r="Q23">
        <f>SMALL(SimData!$C$9:$C$108,19)</f>
        <v>0.20289640206065754</v>
      </c>
      <c r="R23">
        <f>1/(COUNT(SimData!$C$9:$C$108)-1)+$R$22</f>
        <v>0.18181818181818185</v>
      </c>
    </row>
    <row r="24" spans="1:18">
      <c r="A24">
        <v>16</v>
      </c>
      <c r="B24">
        <v>0.27516251490552152</v>
      </c>
      <c r="C24">
        <v>0.19929486074732877</v>
      </c>
      <c r="D24">
        <f>SMALL(SimData!$B$9:$B$108,20)</f>
        <v>0.19476436822222101</v>
      </c>
      <c r="E24">
        <f>1/(COUNT(SimData!$B$9:$B$108)-1)+$E$23</f>
        <v>0.19191919191919196</v>
      </c>
      <c r="O24">
        <f>SMALL(SimData!$B$9:$B$108,20)</f>
        <v>0.19476436822222101</v>
      </c>
      <c r="P24">
        <f>1/(COUNT(SimData!$B$9:$B$108)-1)+$P$23</f>
        <v>0.19191919191919196</v>
      </c>
      <c r="Q24">
        <f>SMALL(SimData!$C$9:$C$108,20)</f>
        <v>0.20359549147667283</v>
      </c>
      <c r="R24">
        <f>1/(COUNT(SimData!$C$9:$C$108)-1)+$R$23</f>
        <v>0.19191919191919196</v>
      </c>
    </row>
    <row r="25" spans="1:18">
      <c r="A25">
        <v>17</v>
      </c>
      <c r="B25">
        <v>0.16506581271984691</v>
      </c>
      <c r="C25">
        <v>0.24735567631601604</v>
      </c>
      <c r="D25">
        <f>SMALL(SimData!$B$9:$B$108,21)</f>
        <v>0.19656160474578399</v>
      </c>
      <c r="E25">
        <f>1/(COUNT(SimData!$B$9:$B$108)-1)+$E$24</f>
        <v>0.20202020202020207</v>
      </c>
      <c r="O25">
        <f>SMALL(SimData!$B$9:$B$108,21)</f>
        <v>0.19656160474578399</v>
      </c>
      <c r="P25">
        <f>1/(COUNT(SimData!$B$9:$B$108)-1)+$P$24</f>
        <v>0.20202020202020207</v>
      </c>
      <c r="Q25">
        <f>SMALL(SimData!$C$9:$C$108,21)</f>
        <v>0.20397719421177679</v>
      </c>
      <c r="R25">
        <f>1/(COUNT(SimData!$C$9:$C$108)-1)+$R$24</f>
        <v>0.20202020202020207</v>
      </c>
    </row>
    <row r="26" spans="1:18">
      <c r="A26">
        <v>18</v>
      </c>
      <c r="B26">
        <v>0.26044378996449519</v>
      </c>
      <c r="C26">
        <v>0.24225066150390911</v>
      </c>
      <c r="D26">
        <f>SMALL(SimData!$B$9:$B$108,22)</f>
        <v>0.20177853643600055</v>
      </c>
      <c r="E26">
        <f>1/(COUNT(SimData!$B$9:$B$108)-1)+$E$25</f>
        <v>0.21212121212121218</v>
      </c>
      <c r="O26">
        <f>SMALL(SimData!$B$9:$B$108,22)</f>
        <v>0.20177853643600055</v>
      </c>
      <c r="P26">
        <f>1/(COUNT(SimData!$B$9:$B$108)-1)+$P$25</f>
        <v>0.21212121212121218</v>
      </c>
      <c r="Q26">
        <f>SMALL(SimData!$C$9:$C$108,22)</f>
        <v>0.20970651398615139</v>
      </c>
      <c r="R26">
        <f>1/(COUNT(SimData!$C$9:$C$108)-1)+$R$25</f>
        <v>0.21212121212121218</v>
      </c>
    </row>
    <row r="27" spans="1:18">
      <c r="A27">
        <v>19</v>
      </c>
      <c r="B27">
        <v>0.28854333392162401</v>
      </c>
      <c r="C27">
        <v>0.32791494559660728</v>
      </c>
      <c r="D27">
        <f>SMALL(SimData!$B$9:$B$108,23)</f>
        <v>0.20196482339487809</v>
      </c>
      <c r="E27">
        <f>1/(COUNT(SimData!$B$9:$B$108)-1)+$E$26</f>
        <v>0.22222222222222229</v>
      </c>
      <c r="O27">
        <f>SMALL(SimData!$B$9:$B$108,23)</f>
        <v>0.20196482339487809</v>
      </c>
      <c r="P27">
        <f>1/(COUNT(SimData!$B$9:$B$108)-1)+$P$26</f>
        <v>0.22222222222222229</v>
      </c>
      <c r="Q27">
        <f>SMALL(SimData!$C$9:$C$108,23)</f>
        <v>0.21126033322388513</v>
      </c>
      <c r="R27">
        <f>1/(COUNT(SimData!$C$9:$C$108)-1)+$R$26</f>
        <v>0.22222222222222229</v>
      </c>
    </row>
    <row r="28" spans="1:18">
      <c r="A28">
        <v>20</v>
      </c>
      <c r="B28">
        <v>0.21180780587993989</v>
      </c>
      <c r="C28">
        <v>0.269985304666298</v>
      </c>
      <c r="D28">
        <f>SMALL(SimData!$B$9:$B$108,24)</f>
        <v>0.20297882564754197</v>
      </c>
      <c r="E28">
        <f>1/(COUNT(SimData!$B$9:$B$108)-1)+$E$27</f>
        <v>0.2323232323232324</v>
      </c>
      <c r="O28">
        <f>SMALL(SimData!$B$9:$B$108,24)</f>
        <v>0.20297882564754197</v>
      </c>
      <c r="P28">
        <f>1/(COUNT(SimData!$B$9:$B$108)-1)+$P$27</f>
        <v>0.2323232323232324</v>
      </c>
      <c r="Q28">
        <f>SMALL(SimData!$C$9:$C$108,24)</f>
        <v>0.21380631027839411</v>
      </c>
      <c r="R28">
        <f>1/(COUNT(SimData!$C$9:$C$108)-1)+$R$27</f>
        <v>0.2323232323232324</v>
      </c>
    </row>
    <row r="29" spans="1:18">
      <c r="A29">
        <v>21</v>
      </c>
      <c r="B29">
        <v>0.22430246847397575</v>
      </c>
      <c r="C29">
        <v>0.19644978908337479</v>
      </c>
      <c r="D29">
        <f>SMALL(SimData!$B$9:$B$108,25)</f>
        <v>0.20395142910458344</v>
      </c>
      <c r="E29">
        <f>1/(COUNT(SimData!$B$9:$B$108)-1)+$E$28</f>
        <v>0.24242424242424251</v>
      </c>
      <c r="O29">
        <f>SMALL(SimData!$B$9:$B$108,25)</f>
        <v>0.20395142910458344</v>
      </c>
      <c r="P29">
        <f>1/(COUNT(SimData!$B$9:$B$108)-1)+$P$28</f>
        <v>0.24242424242424251</v>
      </c>
      <c r="Q29">
        <f>SMALL(SimData!$C$9:$C$108,25)</f>
        <v>0.21441015350113407</v>
      </c>
      <c r="R29">
        <f>1/(COUNT(SimData!$C$9:$C$108)-1)+$R$28</f>
        <v>0.24242424242424251</v>
      </c>
    </row>
    <row r="30" spans="1:18">
      <c r="A30">
        <v>22</v>
      </c>
      <c r="B30">
        <v>0.28385794951600624</v>
      </c>
      <c r="C30">
        <v>0.29938999008502204</v>
      </c>
      <c r="D30">
        <f>SMALL(SimData!$B$9:$B$108,26)</f>
        <v>0.20409132262953866</v>
      </c>
      <c r="E30">
        <f>1/(COUNT(SimData!$B$9:$B$108)-1)+$E$29</f>
        <v>0.2525252525252526</v>
      </c>
      <c r="O30">
        <f>SMALL(SimData!$B$9:$B$108,26)</f>
        <v>0.20409132262953866</v>
      </c>
      <c r="P30">
        <f>1/(COUNT(SimData!$B$9:$B$108)-1)+$P$29</f>
        <v>0.2525252525252526</v>
      </c>
      <c r="Q30">
        <f>SMALL(SimData!$C$9:$C$108,26)</f>
        <v>0.21478548284767598</v>
      </c>
      <c r="R30">
        <f>1/(COUNT(SimData!$C$9:$C$108)-1)+$R$29</f>
        <v>0.2525252525252526</v>
      </c>
    </row>
    <row r="31" spans="1:18">
      <c r="A31">
        <v>23</v>
      </c>
      <c r="B31">
        <v>0.20297882564754197</v>
      </c>
      <c r="C31">
        <v>0.21126033322388513</v>
      </c>
      <c r="D31">
        <f>SMALL(SimData!$B$9:$B$108,27)</f>
        <v>0.20832238623891852</v>
      </c>
      <c r="E31">
        <f>1/(COUNT(SimData!$B$9:$B$108)-1)+$E$30</f>
        <v>0.26262626262626271</v>
      </c>
      <c r="O31">
        <f>SMALL(SimData!$B$9:$B$108,27)</f>
        <v>0.20832238623891852</v>
      </c>
      <c r="P31">
        <f>1/(COUNT(SimData!$B$9:$B$108)-1)+$P$30</f>
        <v>0.26262626262626271</v>
      </c>
      <c r="Q31">
        <f>SMALL(SimData!$C$9:$C$108,27)</f>
        <v>0.21480167420356802</v>
      </c>
      <c r="R31">
        <f>1/(COUNT(SimData!$C$9:$C$108)-1)+$R$30</f>
        <v>0.26262626262626271</v>
      </c>
    </row>
    <row r="32" spans="1:18">
      <c r="A32">
        <v>24</v>
      </c>
      <c r="B32">
        <v>0.32555557409320407</v>
      </c>
      <c r="C32">
        <v>0.21480167420356802</v>
      </c>
      <c r="D32">
        <f>SMALL(SimData!$B$9:$B$108,28)</f>
        <v>0.21010445453945226</v>
      </c>
      <c r="E32">
        <f>1/(COUNT(SimData!$B$9:$B$108)-1)+$E$31</f>
        <v>0.27272727272727282</v>
      </c>
      <c r="O32">
        <f>SMALL(SimData!$B$9:$B$108,28)</f>
        <v>0.21010445453945226</v>
      </c>
      <c r="P32">
        <f>1/(COUNT(SimData!$B$9:$B$108)-1)+$P$31</f>
        <v>0.27272727272727282</v>
      </c>
      <c r="Q32">
        <f>SMALL(SimData!$C$9:$C$108,28)</f>
        <v>0.21775000111622553</v>
      </c>
      <c r="R32">
        <f>1/(COUNT(SimData!$C$9:$C$108)-1)+$R$31</f>
        <v>0.27272727272727282</v>
      </c>
    </row>
    <row r="33" spans="1:18">
      <c r="A33">
        <v>25</v>
      </c>
      <c r="B33">
        <v>0.15275138740848701</v>
      </c>
      <c r="C33">
        <v>0.27853575190139995</v>
      </c>
      <c r="D33">
        <f>SMALL(SimData!$B$9:$B$108,29)</f>
        <v>0.2104062611792572</v>
      </c>
      <c r="E33">
        <f>1/(COUNT(SimData!$B$9:$B$108)-1)+$E$32</f>
        <v>0.28282828282828293</v>
      </c>
      <c r="O33">
        <f>SMALL(SimData!$B$9:$B$108,29)</f>
        <v>0.2104062611792572</v>
      </c>
      <c r="P33">
        <f>1/(COUNT(SimData!$B$9:$B$108)-1)+$P$32</f>
        <v>0.28282828282828293</v>
      </c>
      <c r="Q33">
        <f>SMALL(SimData!$C$9:$C$108,29)</f>
        <v>0.22077224476249976</v>
      </c>
      <c r="R33">
        <f>1/(COUNT(SimData!$C$9:$C$108)-1)+$R$32</f>
        <v>0.28282828282828293</v>
      </c>
    </row>
    <row r="34" spans="1:18">
      <c r="A34">
        <v>26</v>
      </c>
      <c r="B34">
        <v>0.27916302856479963</v>
      </c>
      <c r="C34">
        <v>0.24074984413201628</v>
      </c>
      <c r="D34">
        <f>SMALL(SimData!$B$9:$B$108,30)</f>
        <v>0.2105579947457217</v>
      </c>
      <c r="E34">
        <f>1/(COUNT(SimData!$B$9:$B$108)-1)+$E$33</f>
        <v>0.29292929292929304</v>
      </c>
      <c r="O34">
        <f>SMALL(SimData!$B$9:$B$108,30)</f>
        <v>0.2105579947457217</v>
      </c>
      <c r="P34">
        <f>1/(COUNT(SimData!$B$9:$B$108)-1)+$P$33</f>
        <v>0.29292929292929304</v>
      </c>
      <c r="Q34">
        <f>SMALL(SimData!$C$9:$C$108,30)</f>
        <v>0.22349045702259449</v>
      </c>
      <c r="R34">
        <f>1/(COUNT(SimData!$C$9:$C$108)-1)+$R$33</f>
        <v>0.29292929292929304</v>
      </c>
    </row>
    <row r="35" spans="1:18">
      <c r="A35">
        <v>27</v>
      </c>
      <c r="B35">
        <v>0.23752262894392459</v>
      </c>
      <c r="C35">
        <v>0.25317944981927559</v>
      </c>
      <c r="D35">
        <f>SMALL(SimData!$B$9:$B$108,31)</f>
        <v>0.21180780587993989</v>
      </c>
      <c r="E35">
        <f>1/(COUNT(SimData!$B$9:$B$108)-1)+$E$34</f>
        <v>0.30303030303030315</v>
      </c>
      <c r="O35">
        <f>SMALL(SimData!$B$9:$B$108,31)</f>
        <v>0.21180780587993989</v>
      </c>
      <c r="P35">
        <f>1/(COUNT(SimData!$B$9:$B$108)-1)+$P$34</f>
        <v>0.30303030303030315</v>
      </c>
      <c r="Q35">
        <f>SMALL(SimData!$C$9:$C$108,31)</f>
        <v>0.22410965816262174</v>
      </c>
      <c r="R35">
        <f>1/(COUNT(SimData!$C$9:$C$108)-1)+$R$34</f>
        <v>0.30303030303030315</v>
      </c>
    </row>
    <row r="36" spans="1:18">
      <c r="A36">
        <v>28</v>
      </c>
      <c r="B36">
        <v>0.13539906201895882</v>
      </c>
      <c r="C36">
        <v>0.32047896675757825</v>
      </c>
      <c r="D36">
        <f>SMALL(SimData!$B$9:$B$108,32)</f>
        <v>0.21208969436901975</v>
      </c>
      <c r="E36">
        <f>1/(COUNT(SimData!$B$9:$B$108)-1)+$E$35</f>
        <v>0.31313131313131326</v>
      </c>
      <c r="O36">
        <f>SMALL(SimData!$B$9:$B$108,32)</f>
        <v>0.21208969436901975</v>
      </c>
      <c r="P36">
        <f>1/(COUNT(SimData!$B$9:$B$108)-1)+$P$35</f>
        <v>0.31313131313131326</v>
      </c>
      <c r="Q36">
        <f>SMALL(SimData!$C$9:$C$108,32)</f>
        <v>0.22665929457036868</v>
      </c>
      <c r="R36">
        <f>1/(COUNT(SimData!$C$9:$C$108)-1)+$R$35</f>
        <v>0.31313131313131326</v>
      </c>
    </row>
    <row r="37" spans="1:18">
      <c r="A37">
        <v>29</v>
      </c>
      <c r="B37">
        <v>0.21915302592129524</v>
      </c>
      <c r="C37">
        <v>0.34467525588239023</v>
      </c>
      <c r="D37">
        <f>SMALL(SimData!$B$9:$B$108,33)</f>
        <v>0.21378877461187359</v>
      </c>
      <c r="E37">
        <f>1/(COUNT(SimData!$B$9:$B$108)-1)+$E$36</f>
        <v>0.32323232323232337</v>
      </c>
      <c r="O37">
        <f>SMALL(SimData!$B$9:$B$108,33)</f>
        <v>0.21378877461187359</v>
      </c>
      <c r="P37">
        <f>1/(COUNT(SimData!$B$9:$B$108)-1)+$P$36</f>
        <v>0.32323232323232337</v>
      </c>
      <c r="Q37">
        <f>SMALL(SimData!$C$9:$C$108,33)</f>
        <v>0.22667990769995647</v>
      </c>
      <c r="R37">
        <f>1/(COUNT(SimData!$C$9:$C$108)-1)+$R$36</f>
        <v>0.32323232323232337</v>
      </c>
    </row>
    <row r="38" spans="1:18">
      <c r="A38">
        <v>30</v>
      </c>
      <c r="B38">
        <v>0.22850517920734414</v>
      </c>
      <c r="C38">
        <v>0.28211820089034184</v>
      </c>
      <c r="D38">
        <f>SMALL(SimData!$B$9:$B$108,34)</f>
        <v>0.21469345099007583</v>
      </c>
      <c r="E38">
        <f>1/(COUNT(SimData!$B$9:$B$108)-1)+$E$37</f>
        <v>0.33333333333333348</v>
      </c>
      <c r="O38">
        <f>SMALL(SimData!$B$9:$B$108,34)</f>
        <v>0.21469345099007583</v>
      </c>
      <c r="P38">
        <f>1/(COUNT(SimData!$B$9:$B$108)-1)+$P$37</f>
        <v>0.33333333333333348</v>
      </c>
      <c r="Q38">
        <f>SMALL(SimData!$C$9:$C$108,34)</f>
        <v>0.22671851322353825</v>
      </c>
      <c r="R38">
        <f>1/(COUNT(SimData!$C$9:$C$108)-1)+$R$37</f>
        <v>0.33333333333333348</v>
      </c>
    </row>
    <row r="39" spans="1:18">
      <c r="A39">
        <v>31</v>
      </c>
      <c r="B39">
        <v>0.2759944691237704</v>
      </c>
      <c r="C39">
        <v>0.15756765090884636</v>
      </c>
      <c r="D39">
        <f>SMALL(SimData!$B$9:$B$108,35)</f>
        <v>0.21514692854297751</v>
      </c>
      <c r="E39">
        <f>1/(COUNT(SimData!$B$9:$B$108)-1)+$E$38</f>
        <v>0.34343434343434359</v>
      </c>
      <c r="O39">
        <f>SMALL(SimData!$B$9:$B$108,35)</f>
        <v>0.21514692854297751</v>
      </c>
      <c r="P39">
        <f>1/(COUNT(SimData!$B$9:$B$108)-1)+$P$38</f>
        <v>0.34343434343434359</v>
      </c>
      <c r="Q39">
        <f>SMALL(SimData!$C$9:$C$108,35)</f>
        <v>0.22706053232240114</v>
      </c>
      <c r="R39">
        <f>1/(COUNT(SimData!$C$9:$C$108)-1)+$R$38</f>
        <v>0.34343434343434359</v>
      </c>
    </row>
    <row r="40" spans="1:18">
      <c r="A40">
        <v>32</v>
      </c>
      <c r="B40">
        <v>0.2976739797592195</v>
      </c>
      <c r="C40">
        <v>0.20289640206065754</v>
      </c>
      <c r="D40">
        <f>SMALL(SimData!$B$9:$B$108,36)</f>
        <v>0.21915302592129524</v>
      </c>
      <c r="E40">
        <f>1/(COUNT(SimData!$B$9:$B$108)-1)+$E$39</f>
        <v>0.3535353535353537</v>
      </c>
      <c r="O40">
        <f>SMALL(SimData!$B$9:$B$108,36)</f>
        <v>0.21915302592129524</v>
      </c>
      <c r="P40">
        <f>1/(COUNT(SimData!$B$9:$B$108)-1)+$P$39</f>
        <v>0.3535353535353537</v>
      </c>
      <c r="Q40">
        <f>SMALL(SimData!$C$9:$C$108,36)</f>
        <v>0.22878063940548865</v>
      </c>
      <c r="R40">
        <f>1/(COUNT(SimData!$C$9:$C$108)-1)+$R$39</f>
        <v>0.3535353535353537</v>
      </c>
    </row>
    <row r="41" spans="1:18">
      <c r="A41">
        <v>33</v>
      </c>
      <c r="B41">
        <v>0.23925734552498873</v>
      </c>
      <c r="C41">
        <v>0.22665929457036868</v>
      </c>
      <c r="D41">
        <f>SMALL(SimData!$B$9:$B$108,37)</f>
        <v>0.2202072585996169</v>
      </c>
      <c r="E41">
        <f>1/(COUNT(SimData!$B$9:$B$108)-1)+$E$40</f>
        <v>0.36363636363636381</v>
      </c>
      <c r="O41">
        <f>SMALL(SimData!$B$9:$B$108,37)</f>
        <v>0.2202072585996169</v>
      </c>
      <c r="P41">
        <f>1/(COUNT(SimData!$B$9:$B$108)-1)+$P$40</f>
        <v>0.36363636363636381</v>
      </c>
      <c r="Q41">
        <f>SMALL(SimData!$C$9:$C$108,37)</f>
        <v>0.22941175985546933</v>
      </c>
      <c r="R41">
        <f>1/(COUNT(SimData!$C$9:$C$108)-1)+$R$40</f>
        <v>0.36363636363636381</v>
      </c>
    </row>
    <row r="42" spans="1:18">
      <c r="A42">
        <v>34</v>
      </c>
      <c r="B42">
        <v>0.26616496987375332</v>
      </c>
      <c r="C42">
        <v>0.24723218701318217</v>
      </c>
      <c r="D42">
        <f>SMALL(SimData!$B$9:$B$108,38)</f>
        <v>0.22094977145330261</v>
      </c>
      <c r="E42">
        <f>1/(COUNT(SimData!$B$9:$B$108)-1)+$E$41</f>
        <v>0.37373737373737392</v>
      </c>
      <c r="O42">
        <f>SMALL(SimData!$B$9:$B$108,38)</f>
        <v>0.22094977145330261</v>
      </c>
      <c r="P42">
        <f>1/(COUNT(SimData!$B$9:$B$108)-1)+$P$41</f>
        <v>0.37373737373737392</v>
      </c>
      <c r="Q42">
        <f>SMALL(SimData!$C$9:$C$108,38)</f>
        <v>0.23116866809333295</v>
      </c>
      <c r="R42">
        <f>1/(COUNT(SimData!$C$9:$C$108)-1)+$R$41</f>
        <v>0.37373737373737392</v>
      </c>
    </row>
    <row r="43" spans="1:18">
      <c r="A43">
        <v>35</v>
      </c>
      <c r="B43">
        <v>0.38876332712004613</v>
      </c>
      <c r="C43">
        <v>0.22706053232240114</v>
      </c>
      <c r="D43">
        <f>SMALL(SimData!$B$9:$B$108,39)</f>
        <v>0.22365372262778746</v>
      </c>
      <c r="E43">
        <f>1/(COUNT(SimData!$B$9:$B$108)-1)+$E$42</f>
        <v>0.38383838383838403</v>
      </c>
      <c r="O43">
        <f>SMALL(SimData!$B$9:$B$108,39)</f>
        <v>0.22365372262778746</v>
      </c>
      <c r="P43">
        <f>1/(COUNT(SimData!$B$9:$B$108)-1)+$P$42</f>
        <v>0.38383838383838403</v>
      </c>
      <c r="Q43">
        <f>SMALL(SimData!$C$9:$C$108,39)</f>
        <v>0.2319015021989671</v>
      </c>
      <c r="R43">
        <f>1/(COUNT(SimData!$C$9:$C$108)-1)+$R$42</f>
        <v>0.38383838383838403</v>
      </c>
    </row>
    <row r="44" spans="1:18">
      <c r="A44">
        <v>36</v>
      </c>
      <c r="B44">
        <v>0.29391019229581145</v>
      </c>
      <c r="C44">
        <v>0.26489651299587735</v>
      </c>
      <c r="D44">
        <f>SMALL(SimData!$B$9:$B$108,40)</f>
        <v>0.22430246847397575</v>
      </c>
      <c r="E44">
        <f>1/(COUNT(SimData!$B$9:$B$108)-1)+$E$43</f>
        <v>0.39393939393939414</v>
      </c>
      <c r="O44">
        <f>SMALL(SimData!$B$9:$B$108,40)</f>
        <v>0.22430246847397575</v>
      </c>
      <c r="P44">
        <f>1/(COUNT(SimData!$B$9:$B$108)-1)+$P$43</f>
        <v>0.39393939393939414</v>
      </c>
      <c r="Q44">
        <f>SMALL(SimData!$C$9:$C$108,40)</f>
        <v>0.23402213865234778</v>
      </c>
      <c r="R44">
        <f>1/(COUNT(SimData!$C$9:$C$108)-1)+$R$43</f>
        <v>0.39393939393939414</v>
      </c>
    </row>
    <row r="45" spans="1:18">
      <c r="A45">
        <v>37</v>
      </c>
      <c r="B45">
        <v>0.25231142548472707</v>
      </c>
      <c r="C45">
        <v>0.31350270799721464</v>
      </c>
      <c r="D45">
        <f>SMALL(SimData!$B$9:$B$108,41)</f>
        <v>0.22850517920734414</v>
      </c>
      <c r="E45">
        <f>1/(COUNT(SimData!$B$9:$B$108)-1)+$E$44</f>
        <v>0.40404040404040426</v>
      </c>
      <c r="O45">
        <f>SMALL(SimData!$B$9:$B$108,41)</f>
        <v>0.22850517920734414</v>
      </c>
      <c r="P45">
        <f>1/(COUNT(SimData!$B$9:$B$108)-1)+$P$44</f>
        <v>0.40404040404040426</v>
      </c>
      <c r="Q45">
        <f>SMALL(SimData!$C$9:$C$108,41)</f>
        <v>0.23759836971713705</v>
      </c>
      <c r="R45">
        <f>1/(COUNT(SimData!$C$9:$C$108)-1)+$R$44</f>
        <v>0.40404040404040426</v>
      </c>
    </row>
    <row r="46" spans="1:18">
      <c r="A46">
        <v>38</v>
      </c>
      <c r="B46">
        <v>0.17856874766584746</v>
      </c>
      <c r="C46">
        <v>0.19327385804152369</v>
      </c>
      <c r="D46">
        <f>SMALL(SimData!$B$9:$B$108,42)</f>
        <v>0.22944937852324476</v>
      </c>
      <c r="E46">
        <f>1/(COUNT(SimData!$B$9:$B$108)-1)+$E$45</f>
        <v>0.41414141414141437</v>
      </c>
      <c r="O46">
        <f>SMALL(SimData!$B$9:$B$108,42)</f>
        <v>0.22944937852324476</v>
      </c>
      <c r="P46">
        <f>1/(COUNT(SimData!$B$9:$B$108)-1)+$P$45</f>
        <v>0.41414141414141437</v>
      </c>
      <c r="Q46">
        <f>SMALL(SimData!$C$9:$C$108,42)</f>
        <v>0.23902103741434272</v>
      </c>
      <c r="R46">
        <f>1/(COUNT(SimData!$C$9:$C$108)-1)+$R$45</f>
        <v>0.41414141414141437</v>
      </c>
    </row>
    <row r="47" spans="1:18">
      <c r="A47">
        <v>39</v>
      </c>
      <c r="B47">
        <v>0.16382444999275372</v>
      </c>
      <c r="C47">
        <v>0.19631952957550899</v>
      </c>
      <c r="D47">
        <f>SMALL(SimData!$B$9:$B$108,43)</f>
        <v>0.22975199092427659</v>
      </c>
      <c r="E47">
        <f>1/(COUNT(SimData!$B$9:$B$108)-1)+$E$46</f>
        <v>0.42424242424242448</v>
      </c>
      <c r="O47">
        <f>SMALL(SimData!$B$9:$B$108,43)</f>
        <v>0.22975199092427659</v>
      </c>
      <c r="P47">
        <f>1/(COUNT(SimData!$B$9:$B$108)-1)+$P$46</f>
        <v>0.42424242424242448</v>
      </c>
      <c r="Q47">
        <f>SMALL(SimData!$C$9:$C$108,43)</f>
        <v>0.24074984413201628</v>
      </c>
      <c r="R47">
        <f>1/(COUNT(SimData!$C$9:$C$108)-1)+$R$46</f>
        <v>0.42424242424242448</v>
      </c>
    </row>
    <row r="48" spans="1:18">
      <c r="A48">
        <v>40</v>
      </c>
      <c r="B48">
        <v>0.24846220513510126</v>
      </c>
      <c r="C48">
        <v>0.24565436240975574</v>
      </c>
      <c r="D48">
        <f>SMALL(SimData!$B$9:$B$108,44)</f>
        <v>0.23009348719850894</v>
      </c>
      <c r="E48">
        <f>1/(COUNT(SimData!$B$9:$B$108)-1)+$E$47</f>
        <v>0.43434343434343459</v>
      </c>
      <c r="O48">
        <f>SMALL(SimData!$B$9:$B$108,44)</f>
        <v>0.23009348719850894</v>
      </c>
      <c r="P48">
        <f>1/(COUNT(SimData!$B$9:$B$108)-1)+$P$47</f>
        <v>0.43434343434343459</v>
      </c>
      <c r="Q48">
        <f>SMALL(SimData!$C$9:$C$108,44)</f>
        <v>0.24083997888628172</v>
      </c>
      <c r="R48">
        <f>1/(COUNT(SimData!$C$9:$C$108)-1)+$R$47</f>
        <v>0.43434343434343459</v>
      </c>
    </row>
    <row r="49" spans="1:18">
      <c r="A49">
        <v>41</v>
      </c>
      <c r="B49">
        <v>0.28374556097698617</v>
      </c>
      <c r="C49">
        <v>0.29452587967332183</v>
      </c>
      <c r="D49">
        <f>SMALL(SimData!$B$9:$B$108,45)</f>
        <v>0.23197877331835151</v>
      </c>
      <c r="E49">
        <f>1/(COUNT(SimData!$B$9:$B$108)-1)+$E$48</f>
        <v>0.4444444444444447</v>
      </c>
      <c r="O49">
        <f>SMALL(SimData!$B$9:$B$108,45)</f>
        <v>0.23197877331835151</v>
      </c>
      <c r="P49">
        <f>1/(COUNT(SimData!$B$9:$B$108)-1)+$P$48</f>
        <v>0.4444444444444447</v>
      </c>
      <c r="Q49">
        <f>SMALL(SimData!$C$9:$C$108,45)</f>
        <v>0.24225066150390911</v>
      </c>
      <c r="R49">
        <f>1/(COUNT(SimData!$C$9:$C$108)-1)+$R$48</f>
        <v>0.4444444444444447</v>
      </c>
    </row>
    <row r="50" spans="1:18">
      <c r="A50">
        <v>42</v>
      </c>
      <c r="B50">
        <v>0.255097282193057</v>
      </c>
      <c r="C50">
        <v>0.21775000111622553</v>
      </c>
      <c r="D50">
        <f>SMALL(SimData!$B$9:$B$108,46)</f>
        <v>0.2371891988808964</v>
      </c>
      <c r="E50">
        <f>1/(COUNT(SimData!$B$9:$B$108)-1)+$E$49</f>
        <v>0.45454545454545481</v>
      </c>
      <c r="O50">
        <f>SMALL(SimData!$B$9:$B$108,46)</f>
        <v>0.2371891988808964</v>
      </c>
      <c r="P50">
        <f>1/(COUNT(SimData!$B$9:$B$108)-1)+$P$49</f>
        <v>0.45454545454545481</v>
      </c>
      <c r="Q50">
        <f>SMALL(SimData!$C$9:$C$108,46)</f>
        <v>0.24293048021916921</v>
      </c>
      <c r="R50">
        <f>1/(COUNT(SimData!$C$9:$C$108)-1)+$R$49</f>
        <v>0.45454545454545481</v>
      </c>
    </row>
    <row r="51" spans="1:18">
      <c r="A51">
        <v>43</v>
      </c>
      <c r="B51">
        <v>0.13971906991289129</v>
      </c>
      <c r="C51">
        <v>0.24083997888628172</v>
      </c>
      <c r="D51">
        <f>SMALL(SimData!$B$9:$B$108,47)</f>
        <v>0.23752262894392459</v>
      </c>
      <c r="E51">
        <f>1/(COUNT(SimData!$B$9:$B$108)-1)+$E$50</f>
        <v>0.46464646464646492</v>
      </c>
      <c r="O51">
        <f>SMALL(SimData!$B$9:$B$108,47)</f>
        <v>0.23752262894392459</v>
      </c>
      <c r="P51">
        <f>1/(COUNT(SimData!$B$9:$B$108)-1)+$P$50</f>
        <v>0.46464646464646492</v>
      </c>
      <c r="Q51">
        <f>SMALL(SimData!$C$9:$C$108,47)</f>
        <v>0.24483771501512586</v>
      </c>
      <c r="R51">
        <f>1/(COUNT(SimData!$C$9:$C$108)-1)+$R$50</f>
        <v>0.46464646464646492</v>
      </c>
    </row>
    <row r="52" spans="1:18">
      <c r="A52">
        <v>44</v>
      </c>
      <c r="B52">
        <v>0.21208969436901975</v>
      </c>
      <c r="C52">
        <v>0.31636309961245346</v>
      </c>
      <c r="D52">
        <f>SMALL(SimData!$B$9:$B$108,48)</f>
        <v>0.23834645330659002</v>
      </c>
      <c r="E52">
        <f>1/(COUNT(SimData!$B$9:$B$108)-1)+$E$51</f>
        <v>0.47474747474747503</v>
      </c>
      <c r="O52">
        <f>SMALL(SimData!$B$9:$B$108,48)</f>
        <v>0.23834645330659002</v>
      </c>
      <c r="P52">
        <f>1/(COUNT(SimData!$B$9:$B$108)-1)+$P$51</f>
        <v>0.47474747474747503</v>
      </c>
      <c r="Q52">
        <f>SMALL(SimData!$C$9:$C$108,48)</f>
        <v>0.24565436240975574</v>
      </c>
      <c r="R52">
        <f>1/(COUNT(SimData!$C$9:$C$108)-1)+$R$51</f>
        <v>0.47474747474747503</v>
      </c>
    </row>
    <row r="53" spans="1:18">
      <c r="A53">
        <v>45</v>
      </c>
      <c r="B53">
        <v>0.31119697990123729</v>
      </c>
      <c r="C53">
        <v>0.36295359408318995</v>
      </c>
      <c r="D53">
        <f>SMALL(SimData!$B$9:$B$108,49)</f>
        <v>0.23925734552498873</v>
      </c>
      <c r="E53">
        <f>1/(COUNT(SimData!$B$9:$B$108)-1)+$E$52</f>
        <v>0.48484848484848514</v>
      </c>
      <c r="O53">
        <f>SMALL(SimData!$B$9:$B$108,49)</f>
        <v>0.23925734552498873</v>
      </c>
      <c r="P53">
        <f>1/(COUNT(SimData!$B$9:$B$108)-1)+$P$52</f>
        <v>0.48484848484848514</v>
      </c>
      <c r="Q53">
        <f>SMALL(SimData!$C$9:$C$108,49)</f>
        <v>0.24723218701318217</v>
      </c>
      <c r="R53">
        <f>1/(COUNT(SimData!$C$9:$C$108)-1)+$R$52</f>
        <v>0.48484848484848514</v>
      </c>
    </row>
    <row r="54" spans="1:18">
      <c r="A54">
        <v>46</v>
      </c>
      <c r="B54">
        <v>0.25646247505791947</v>
      </c>
      <c r="C54">
        <v>0.31085215657814941</v>
      </c>
      <c r="D54">
        <f>SMALL(SimData!$B$9:$B$108,50)</f>
        <v>0.24143022983704143</v>
      </c>
      <c r="E54">
        <f>1/(COUNT(SimData!$B$9:$B$108)-1)+$E$53</f>
        <v>0.49494949494949525</v>
      </c>
      <c r="O54">
        <f>SMALL(SimData!$B$9:$B$108,50)</f>
        <v>0.24143022983704143</v>
      </c>
      <c r="P54">
        <f>1/(COUNT(SimData!$B$9:$B$108)-1)+$P$53</f>
        <v>0.49494949494949525</v>
      </c>
      <c r="Q54">
        <f>SMALL(SimData!$C$9:$C$108,50)</f>
        <v>0.24735567631601604</v>
      </c>
      <c r="R54">
        <f>1/(COUNT(SimData!$C$9:$C$108)-1)+$R$53</f>
        <v>0.49494949494949525</v>
      </c>
    </row>
    <row r="55" spans="1:18">
      <c r="A55">
        <v>47</v>
      </c>
      <c r="B55">
        <v>0.27753619788034478</v>
      </c>
      <c r="C55">
        <v>0.19830446058181123</v>
      </c>
      <c r="D55">
        <f>SMALL(SimData!$B$9:$B$108,51)</f>
        <v>0.24422070426119852</v>
      </c>
      <c r="E55">
        <f>1/(COUNT(SimData!$B$9:$B$108)-1)+$E$54</f>
        <v>0.50505050505050531</v>
      </c>
      <c r="O55">
        <f>SMALL(SimData!$B$9:$B$108,51)</f>
        <v>0.24422070426119852</v>
      </c>
      <c r="P55">
        <f>1/(COUNT(SimData!$B$9:$B$108)-1)+$P$54</f>
        <v>0.50505050505050531</v>
      </c>
      <c r="Q55">
        <f>SMALL(SimData!$C$9:$C$108,51)</f>
        <v>0.25317944981927559</v>
      </c>
      <c r="R55">
        <f>1/(COUNT(SimData!$C$9:$C$108)-1)+$R$54</f>
        <v>0.50505050505050531</v>
      </c>
    </row>
    <row r="56" spans="1:18">
      <c r="A56">
        <v>48</v>
      </c>
      <c r="B56">
        <v>0.24422070426119852</v>
      </c>
      <c r="C56">
        <v>0.22667990769995647</v>
      </c>
      <c r="D56">
        <f>SMALL(SimData!$B$9:$B$108,52)</f>
        <v>0.24515321449455746</v>
      </c>
      <c r="E56">
        <f>1/(COUNT(SimData!$B$9:$B$108)-1)+$E$55</f>
        <v>0.51515151515151536</v>
      </c>
      <c r="O56">
        <f>SMALL(SimData!$B$9:$B$108,52)</f>
        <v>0.24515321449455746</v>
      </c>
      <c r="P56">
        <f>1/(COUNT(SimData!$B$9:$B$108)-1)+$P$55</f>
        <v>0.51515151515151536</v>
      </c>
      <c r="Q56">
        <f>SMALL(SimData!$C$9:$C$108,52)</f>
        <v>0.26164935884883261</v>
      </c>
      <c r="R56">
        <f>1/(COUNT(SimData!$C$9:$C$108)-1)+$R$55</f>
        <v>0.51515151515151536</v>
      </c>
    </row>
    <row r="57" spans="1:18">
      <c r="A57">
        <v>49</v>
      </c>
      <c r="B57">
        <v>0.25569160693381465</v>
      </c>
      <c r="C57">
        <v>0.2821817028833758</v>
      </c>
      <c r="D57">
        <f>SMALL(SimData!$B$9:$B$108,53)</f>
        <v>0.24596676012542465</v>
      </c>
      <c r="E57">
        <f>1/(COUNT(SimData!$B$9:$B$108)-1)+$E$56</f>
        <v>0.52525252525252542</v>
      </c>
      <c r="O57">
        <f>SMALL(SimData!$B$9:$B$108,53)</f>
        <v>0.24596676012542465</v>
      </c>
      <c r="P57">
        <f>1/(COUNT(SimData!$B$9:$B$108)-1)+$P$56</f>
        <v>0.52525252525252542</v>
      </c>
      <c r="Q57">
        <f>SMALL(SimData!$C$9:$C$108,53)</f>
        <v>0.26489651299587735</v>
      </c>
      <c r="R57">
        <f>1/(COUNT(SimData!$C$9:$C$108)-1)+$R$56</f>
        <v>0.52525252525252542</v>
      </c>
    </row>
    <row r="58" spans="1:18">
      <c r="A58">
        <v>50</v>
      </c>
      <c r="B58">
        <v>0.24515321449455746</v>
      </c>
      <c r="C58">
        <v>0.37270674161416156</v>
      </c>
      <c r="D58">
        <f>SMALL(SimData!$B$9:$B$108,54)</f>
        <v>0.24775894180013558</v>
      </c>
      <c r="E58">
        <f>1/(COUNT(SimData!$B$9:$B$108)-1)+$E$57</f>
        <v>0.53535353535353547</v>
      </c>
      <c r="O58">
        <f>SMALL(SimData!$B$9:$B$108,54)</f>
        <v>0.24775894180013558</v>
      </c>
      <c r="P58">
        <f>1/(COUNT(SimData!$B$9:$B$108)-1)+$P$57</f>
        <v>0.53535353535353547</v>
      </c>
      <c r="Q58">
        <f>SMALL(SimData!$C$9:$C$108,54)</f>
        <v>0.26619474318147868</v>
      </c>
      <c r="R58">
        <f>1/(COUNT(SimData!$C$9:$C$108)-1)+$R$57</f>
        <v>0.53535353535353547</v>
      </c>
    </row>
    <row r="59" spans="1:18">
      <c r="A59">
        <v>51</v>
      </c>
      <c r="B59">
        <v>0.21469345099007583</v>
      </c>
      <c r="C59">
        <v>0.23759836971713705</v>
      </c>
      <c r="D59">
        <f>SMALL(SimData!$B$9:$B$108,55)</f>
        <v>0.24802326881324421</v>
      </c>
      <c r="E59">
        <f>1/(COUNT(SimData!$B$9:$B$108)-1)+$E$58</f>
        <v>0.54545454545454553</v>
      </c>
      <c r="O59">
        <f>SMALL(SimData!$B$9:$B$108,55)</f>
        <v>0.24802326881324421</v>
      </c>
      <c r="P59">
        <f>1/(COUNT(SimData!$B$9:$B$108)-1)+$P$58</f>
        <v>0.54545454545454553</v>
      </c>
      <c r="Q59">
        <f>SMALL(SimData!$C$9:$C$108,55)</f>
        <v>0.269985304666298</v>
      </c>
      <c r="R59">
        <f>1/(COUNT(SimData!$C$9:$C$108)-1)+$R$58</f>
        <v>0.54545454545454553</v>
      </c>
    </row>
    <row r="60" spans="1:18">
      <c r="A60">
        <v>52</v>
      </c>
      <c r="B60">
        <v>0.2577509555921963</v>
      </c>
      <c r="C60">
        <v>0.27597339458655756</v>
      </c>
      <c r="D60">
        <f>SMALL(SimData!$B$9:$B$108,56)</f>
        <v>0.24843862057193675</v>
      </c>
      <c r="E60">
        <f>1/(COUNT(SimData!$B$9:$B$108)-1)+$E$59</f>
        <v>0.55555555555555558</v>
      </c>
      <c r="O60">
        <f>SMALL(SimData!$B$9:$B$108,56)</f>
        <v>0.24843862057193675</v>
      </c>
      <c r="P60">
        <f>1/(COUNT(SimData!$B$9:$B$108)-1)+$P$59</f>
        <v>0.55555555555555558</v>
      </c>
      <c r="Q60">
        <f>SMALL(SimData!$C$9:$C$108,56)</f>
        <v>0.2714023653665037</v>
      </c>
      <c r="R60">
        <f>1/(COUNT(SimData!$C$9:$C$108)-1)+$R$59</f>
        <v>0.55555555555555558</v>
      </c>
    </row>
    <row r="61" spans="1:18">
      <c r="A61">
        <v>53</v>
      </c>
      <c r="B61">
        <v>0.28014060007161068</v>
      </c>
      <c r="C61">
        <v>0.21478548284767598</v>
      </c>
      <c r="D61">
        <f>SMALL(SimData!$B$9:$B$108,57)</f>
        <v>0.24846220513510126</v>
      </c>
      <c r="E61">
        <f>1/(COUNT(SimData!$B$9:$B$108)-1)+$E$60</f>
        <v>0.56565656565656564</v>
      </c>
      <c r="O61">
        <f>SMALL(SimData!$B$9:$B$108,57)</f>
        <v>0.24846220513510126</v>
      </c>
      <c r="P61">
        <f>1/(COUNT(SimData!$B$9:$B$108)-1)+$P$60</f>
        <v>0.56565656565656564</v>
      </c>
      <c r="Q61">
        <f>SMALL(SimData!$C$9:$C$108,57)</f>
        <v>0.27178054878554125</v>
      </c>
      <c r="R61">
        <f>1/(COUNT(SimData!$C$9:$C$108)-1)+$R$60</f>
        <v>0.56565656565656564</v>
      </c>
    </row>
    <row r="62" spans="1:18">
      <c r="A62">
        <v>54</v>
      </c>
      <c r="B62">
        <v>0.25278837895313683</v>
      </c>
      <c r="C62">
        <v>0.17715877789258308</v>
      </c>
      <c r="D62">
        <f>SMALL(SimData!$B$9:$B$108,58)</f>
        <v>0.24858301719998521</v>
      </c>
      <c r="E62">
        <f>1/(COUNT(SimData!$B$9:$B$108)-1)+$E$61</f>
        <v>0.57575757575757569</v>
      </c>
      <c r="O62">
        <f>SMALL(SimData!$B$9:$B$108,58)</f>
        <v>0.24858301719998521</v>
      </c>
      <c r="P62">
        <f>1/(COUNT(SimData!$B$9:$B$108)-1)+$P$61</f>
        <v>0.57575757575757569</v>
      </c>
      <c r="Q62">
        <f>SMALL(SimData!$C$9:$C$108,58)</f>
        <v>0.27385577335357053</v>
      </c>
      <c r="R62">
        <f>1/(COUNT(SimData!$C$9:$C$108)-1)+$R$61</f>
        <v>0.57575757575757569</v>
      </c>
    </row>
    <row r="63" spans="1:18">
      <c r="A63">
        <v>55</v>
      </c>
      <c r="B63">
        <v>0.25834187882946336</v>
      </c>
      <c r="C63">
        <v>0.29475523266775572</v>
      </c>
      <c r="D63">
        <f>SMALL(SimData!$B$9:$B$108,59)</f>
        <v>0.25013115251590179</v>
      </c>
      <c r="E63">
        <f>1/(COUNT(SimData!$B$9:$B$108)-1)+$E$62</f>
        <v>0.58585858585858575</v>
      </c>
      <c r="O63">
        <f>SMALL(SimData!$B$9:$B$108,59)</f>
        <v>0.25013115251590179</v>
      </c>
      <c r="P63">
        <f>1/(COUNT(SimData!$B$9:$B$108)-1)+$P$62</f>
        <v>0.58585858585858575</v>
      </c>
      <c r="Q63">
        <f>SMALL(SimData!$C$9:$C$108,59)</f>
        <v>0.27398539202553895</v>
      </c>
      <c r="R63">
        <f>1/(COUNT(SimData!$C$9:$C$108)-1)+$R$62</f>
        <v>0.58585858585858575</v>
      </c>
    </row>
    <row r="64" spans="1:18">
      <c r="A64">
        <v>56</v>
      </c>
      <c r="B64">
        <v>0.29659142491358909</v>
      </c>
      <c r="C64">
        <v>0.31455329110255648</v>
      </c>
      <c r="D64">
        <f>SMALL(SimData!$B$9:$B$108,60)</f>
        <v>0.2520290913832714</v>
      </c>
      <c r="E64">
        <f>1/(COUNT(SimData!$B$9:$B$108)-1)+$E$63</f>
        <v>0.5959595959595958</v>
      </c>
      <c r="O64">
        <f>SMALL(SimData!$B$9:$B$108,60)</f>
        <v>0.2520290913832714</v>
      </c>
      <c r="P64">
        <f>1/(COUNT(SimData!$B$9:$B$108)-1)+$P$63</f>
        <v>0.5959595959595958</v>
      </c>
      <c r="Q64">
        <f>SMALL(SimData!$C$9:$C$108,60)</f>
        <v>0.27597339458655756</v>
      </c>
      <c r="R64">
        <f>1/(COUNT(SimData!$C$9:$C$108)-1)+$R$63</f>
        <v>0.5959595959595958</v>
      </c>
    </row>
    <row r="65" spans="1:18">
      <c r="A65">
        <v>57</v>
      </c>
      <c r="B65">
        <v>0.2202072585996169</v>
      </c>
      <c r="C65">
        <v>0.29389061260149185</v>
      </c>
      <c r="D65">
        <f>SMALL(SimData!$B$9:$B$108,61)</f>
        <v>0.25231142548472707</v>
      </c>
      <c r="E65">
        <f>1/(COUNT(SimData!$B$9:$B$108)-1)+$E$64</f>
        <v>0.60606060606060586</v>
      </c>
      <c r="O65">
        <f>SMALL(SimData!$B$9:$B$108,61)</f>
        <v>0.25231142548472707</v>
      </c>
      <c r="P65">
        <f>1/(COUNT(SimData!$B$9:$B$108)-1)+$P$64</f>
        <v>0.60606060606060586</v>
      </c>
      <c r="Q65">
        <f>SMALL(SimData!$C$9:$C$108,61)</f>
        <v>0.27853575190139995</v>
      </c>
      <c r="R65">
        <f>1/(COUNT(SimData!$C$9:$C$108)-1)+$R$64</f>
        <v>0.60606060606060586</v>
      </c>
    </row>
    <row r="66" spans="1:18">
      <c r="A66">
        <v>58</v>
      </c>
      <c r="B66">
        <v>0.24802326881324421</v>
      </c>
      <c r="C66">
        <v>0.19099809877178786</v>
      </c>
      <c r="D66">
        <f>SMALL(SimData!$B$9:$B$108,62)</f>
        <v>0.25278837895313683</v>
      </c>
      <c r="E66">
        <f>1/(COUNT(SimData!$B$9:$B$108)-1)+$E$65</f>
        <v>0.61616161616161591</v>
      </c>
      <c r="O66">
        <f>SMALL(SimData!$B$9:$B$108,62)</f>
        <v>0.25278837895313683</v>
      </c>
      <c r="P66">
        <f>1/(COUNT(SimData!$B$9:$B$108)-1)+$P$65</f>
        <v>0.61616161616161591</v>
      </c>
      <c r="Q66">
        <f>SMALL(SimData!$C$9:$C$108,62)</f>
        <v>0.28162041227692886</v>
      </c>
      <c r="R66">
        <f>1/(COUNT(SimData!$C$9:$C$108)-1)+$R$65</f>
        <v>0.61616161616161591</v>
      </c>
    </row>
    <row r="67" spans="1:18">
      <c r="A67">
        <v>59</v>
      </c>
      <c r="B67">
        <v>0.19476436822222101</v>
      </c>
      <c r="C67">
        <v>0.29093947419288091</v>
      </c>
      <c r="D67">
        <f>SMALL(SimData!$B$9:$B$108,63)</f>
        <v>0.255097282193057</v>
      </c>
      <c r="E67">
        <f>1/(COUNT(SimData!$B$9:$B$108)-1)+$E$66</f>
        <v>0.62626262626262597</v>
      </c>
      <c r="O67">
        <f>SMALL(SimData!$B$9:$B$108,63)</f>
        <v>0.255097282193057</v>
      </c>
      <c r="P67">
        <f>1/(COUNT(SimData!$B$9:$B$108)-1)+$P$66</f>
        <v>0.62626262626262597</v>
      </c>
      <c r="Q67">
        <f>SMALL(SimData!$C$9:$C$108,63)</f>
        <v>0.28197981665791272</v>
      </c>
      <c r="R67">
        <f>1/(COUNT(SimData!$C$9:$C$108)-1)+$R$66</f>
        <v>0.62626262626262597</v>
      </c>
    </row>
    <row r="68" spans="1:18">
      <c r="A68">
        <v>60</v>
      </c>
      <c r="B68">
        <v>0.3897800570775895</v>
      </c>
      <c r="C68">
        <v>0.18095516049856558</v>
      </c>
      <c r="D68">
        <f>SMALL(SimData!$B$9:$B$108,64)</f>
        <v>0.25569160693381465</v>
      </c>
      <c r="E68">
        <f>1/(COUNT(SimData!$B$9:$B$108)-1)+$E$67</f>
        <v>0.63636363636363602</v>
      </c>
      <c r="O68">
        <f>SMALL(SimData!$B$9:$B$108,64)</f>
        <v>0.25569160693381465</v>
      </c>
      <c r="P68">
        <f>1/(COUNT(SimData!$B$9:$B$108)-1)+$P$67</f>
        <v>0.63636363636363602</v>
      </c>
      <c r="Q68">
        <f>SMALL(SimData!$C$9:$C$108,64)</f>
        <v>0.28211820089034184</v>
      </c>
      <c r="R68">
        <f>1/(COUNT(SimData!$C$9:$C$108)-1)+$R$67</f>
        <v>0.63636363636363602</v>
      </c>
    </row>
    <row r="69" spans="1:18">
      <c r="A69">
        <v>61</v>
      </c>
      <c r="B69">
        <v>0.27891157053286636</v>
      </c>
      <c r="C69">
        <v>0.26164935884883261</v>
      </c>
      <c r="D69">
        <f>SMALL(SimData!$B$9:$B$108,65)</f>
        <v>0.25637208742810424</v>
      </c>
      <c r="E69">
        <f>1/(COUNT(SimData!$B$9:$B$108)-1)+$E$68</f>
        <v>0.64646464646464608</v>
      </c>
      <c r="O69">
        <f>SMALL(SimData!$B$9:$B$108,65)</f>
        <v>0.25637208742810424</v>
      </c>
      <c r="P69">
        <f>1/(COUNT(SimData!$B$9:$B$108)-1)+$P$68</f>
        <v>0.64646464646464608</v>
      </c>
      <c r="Q69">
        <f>SMALL(SimData!$C$9:$C$108,65)</f>
        <v>0.2821817028833758</v>
      </c>
      <c r="R69">
        <f>1/(COUNT(SimData!$C$9:$C$108)-1)+$R$68</f>
        <v>0.64646464646464608</v>
      </c>
    </row>
    <row r="70" spans="1:18">
      <c r="A70">
        <v>62</v>
      </c>
      <c r="B70">
        <v>0.24775894180013558</v>
      </c>
      <c r="C70">
        <v>0.28654680932847232</v>
      </c>
      <c r="D70">
        <f>SMALL(SimData!$B$9:$B$108,66)</f>
        <v>0.25646247505791947</v>
      </c>
      <c r="E70">
        <f>1/(COUNT(SimData!$B$9:$B$108)-1)+$E$69</f>
        <v>0.65656565656565613</v>
      </c>
      <c r="O70">
        <f>SMALL(SimData!$B$9:$B$108,66)</f>
        <v>0.25646247505791947</v>
      </c>
      <c r="P70">
        <f>1/(COUNT(SimData!$B$9:$B$108)-1)+$P$69</f>
        <v>0.65656565656565613</v>
      </c>
      <c r="Q70">
        <f>SMALL(SimData!$C$9:$C$108,66)</f>
        <v>0.28518066226553035</v>
      </c>
      <c r="R70">
        <f>1/(COUNT(SimData!$C$9:$C$108)-1)+$R$69</f>
        <v>0.65656565656565613</v>
      </c>
    </row>
    <row r="71" spans="1:18">
      <c r="A71">
        <v>63</v>
      </c>
      <c r="B71">
        <v>0.24596676012542465</v>
      </c>
      <c r="C71">
        <v>0.33644945042508656</v>
      </c>
      <c r="D71">
        <f>SMALL(SimData!$B$9:$B$108,67)</f>
        <v>0.25682309100389689</v>
      </c>
      <c r="E71">
        <f>1/(COUNT(SimData!$B$9:$B$108)-1)+$E$70</f>
        <v>0.66666666666666619</v>
      </c>
      <c r="O71">
        <f>SMALL(SimData!$B$9:$B$108,67)</f>
        <v>0.25682309100389689</v>
      </c>
      <c r="P71">
        <f>1/(COUNT(SimData!$B$9:$B$108)-1)+$P$70</f>
        <v>0.66666666666666619</v>
      </c>
      <c r="Q71">
        <f>SMALL(SimData!$C$9:$C$108,67)</f>
        <v>0.2862971277240251</v>
      </c>
      <c r="R71">
        <f>1/(COUNT(SimData!$C$9:$C$108)-1)+$R$70</f>
        <v>0.66666666666666619</v>
      </c>
    </row>
    <row r="72" spans="1:18">
      <c r="A72">
        <v>64</v>
      </c>
      <c r="B72">
        <v>0.20832238623891852</v>
      </c>
      <c r="C72">
        <v>0.23902103741434272</v>
      </c>
      <c r="D72">
        <f>SMALL(SimData!$B$9:$B$108,68)</f>
        <v>0.2577509555921963</v>
      </c>
      <c r="E72">
        <f>1/(COUNT(SimData!$B$9:$B$108)-1)+$E$71</f>
        <v>0.67676767676767624</v>
      </c>
      <c r="O72">
        <f>SMALL(SimData!$B$9:$B$108,68)</f>
        <v>0.2577509555921963</v>
      </c>
      <c r="P72">
        <f>1/(COUNT(SimData!$B$9:$B$108)-1)+$P$71</f>
        <v>0.67676767676767624</v>
      </c>
      <c r="Q72">
        <f>SMALL(SimData!$C$9:$C$108,68)</f>
        <v>0.28654680932847232</v>
      </c>
      <c r="R72">
        <f>1/(COUNT(SimData!$C$9:$C$108)-1)+$R$71</f>
        <v>0.67676767676767624</v>
      </c>
    </row>
    <row r="73" spans="1:18">
      <c r="A73">
        <v>65</v>
      </c>
      <c r="B73">
        <v>0.19656160474578399</v>
      </c>
      <c r="C73">
        <v>0.29531481073736982</v>
      </c>
      <c r="D73">
        <f>SMALL(SimData!$B$9:$B$108,69)</f>
        <v>0.25834187882946336</v>
      </c>
      <c r="E73">
        <f>1/(COUNT(SimData!$B$9:$B$108)-1)+$E$72</f>
        <v>0.6868686868686863</v>
      </c>
      <c r="O73">
        <f>SMALL(SimData!$B$9:$B$108,69)</f>
        <v>0.25834187882946336</v>
      </c>
      <c r="P73">
        <f>1/(COUNT(SimData!$B$9:$B$108)-1)+$P$72</f>
        <v>0.6868686868686863</v>
      </c>
      <c r="Q73">
        <f>SMALL(SimData!$C$9:$C$108,69)</f>
        <v>0.29093947419288091</v>
      </c>
      <c r="R73">
        <f>1/(COUNT(SimData!$C$9:$C$108)-1)+$R$72</f>
        <v>0.6868686868686863</v>
      </c>
    </row>
    <row r="74" spans="1:18">
      <c r="A74">
        <v>66</v>
      </c>
      <c r="B74">
        <v>0.26916418565063921</v>
      </c>
      <c r="C74">
        <v>0.28197981665791272</v>
      </c>
      <c r="D74">
        <f>SMALL(SimData!$B$9:$B$108,70)</f>
        <v>0.26044378996449519</v>
      </c>
      <c r="E74">
        <f>1/(COUNT(SimData!$B$9:$B$108)-1)+$E$73</f>
        <v>0.69696969696969635</v>
      </c>
      <c r="O74">
        <f>SMALL(SimData!$B$9:$B$108,70)</f>
        <v>0.26044378996449519</v>
      </c>
      <c r="P74">
        <f>1/(COUNT(SimData!$B$9:$B$108)-1)+$P$73</f>
        <v>0.69696969696969635</v>
      </c>
      <c r="Q74">
        <f>SMALL(SimData!$C$9:$C$108,70)</f>
        <v>0.29245625248256774</v>
      </c>
      <c r="R74">
        <f>1/(COUNT(SimData!$C$9:$C$108)-1)+$R$73</f>
        <v>0.69696969696969635</v>
      </c>
    </row>
    <row r="75" spans="1:18">
      <c r="A75">
        <v>67</v>
      </c>
      <c r="B75">
        <v>0.23834645330659002</v>
      </c>
      <c r="C75">
        <v>0.20359549147667283</v>
      </c>
      <c r="D75">
        <f>SMALL(SimData!$B$9:$B$108,71)</f>
        <v>0.26604906460297523</v>
      </c>
      <c r="E75">
        <f>1/(COUNT(SimData!$B$9:$B$108)-1)+$E$74</f>
        <v>0.70707070707070641</v>
      </c>
      <c r="O75">
        <f>SMALL(SimData!$B$9:$B$108,71)</f>
        <v>0.26604906460297523</v>
      </c>
      <c r="P75">
        <f>1/(COUNT(SimData!$B$9:$B$108)-1)+$P$74</f>
        <v>0.70707070707070641</v>
      </c>
      <c r="Q75">
        <f>SMALL(SimData!$C$9:$C$108,71)</f>
        <v>0.29389061260149185</v>
      </c>
      <c r="R75">
        <f>1/(COUNT(SimData!$C$9:$C$108)-1)+$R$74</f>
        <v>0.70707070707070641</v>
      </c>
    </row>
    <row r="76" spans="1:18">
      <c r="A76">
        <v>68</v>
      </c>
      <c r="B76">
        <v>0.26604906460297523</v>
      </c>
      <c r="C76">
        <v>0.14988554150160036</v>
      </c>
      <c r="D76">
        <f>SMALL(SimData!$B$9:$B$108,72)</f>
        <v>0.26616496987375332</v>
      </c>
      <c r="E76">
        <f>1/(COUNT(SimData!$B$9:$B$108)-1)+$E$75</f>
        <v>0.71717171717171646</v>
      </c>
      <c r="O76">
        <f>SMALL(SimData!$B$9:$B$108,72)</f>
        <v>0.26616496987375332</v>
      </c>
      <c r="P76">
        <f>1/(COUNT(SimData!$B$9:$B$108)-1)+$P$75</f>
        <v>0.71717171717171646</v>
      </c>
      <c r="Q76">
        <f>SMALL(SimData!$C$9:$C$108,72)</f>
        <v>0.29452587967332183</v>
      </c>
      <c r="R76">
        <f>1/(COUNT(SimData!$C$9:$C$108)-1)+$R$75</f>
        <v>0.71717171717171646</v>
      </c>
    </row>
    <row r="77" spans="1:18">
      <c r="A77">
        <v>69</v>
      </c>
      <c r="B77">
        <v>0.30787950528222063</v>
      </c>
      <c r="C77">
        <v>0.13943870376047418</v>
      </c>
      <c r="D77">
        <f>SMALL(SimData!$B$9:$B$108,73)</f>
        <v>0.26874111782625121</v>
      </c>
      <c r="E77">
        <f>1/(COUNT(SimData!$B$9:$B$108)-1)+$E$76</f>
        <v>0.72727272727272652</v>
      </c>
      <c r="O77">
        <f>SMALL(SimData!$B$9:$B$108,73)</f>
        <v>0.26874111782625121</v>
      </c>
      <c r="P77">
        <f>1/(COUNT(SimData!$B$9:$B$108)-1)+$P$76</f>
        <v>0.72727272727272652</v>
      </c>
      <c r="Q77">
        <f>SMALL(SimData!$C$9:$C$108,73)</f>
        <v>0.29475523266775572</v>
      </c>
      <c r="R77">
        <f>1/(COUNT(SimData!$C$9:$C$108)-1)+$R$76</f>
        <v>0.72727272727272652</v>
      </c>
    </row>
    <row r="78" spans="1:18">
      <c r="A78">
        <v>70</v>
      </c>
      <c r="B78">
        <v>0.31408037926693633</v>
      </c>
      <c r="C78">
        <v>0.28162041227692886</v>
      </c>
      <c r="D78">
        <f>SMALL(SimData!$B$9:$B$108,74)</f>
        <v>0.26916418565063921</v>
      </c>
      <c r="E78">
        <f>1/(COUNT(SimData!$B$9:$B$108)-1)+$E$77</f>
        <v>0.73737373737373657</v>
      </c>
      <c r="O78">
        <f>SMALL(SimData!$B$9:$B$108,74)</f>
        <v>0.26916418565063921</v>
      </c>
      <c r="P78">
        <f>1/(COUNT(SimData!$B$9:$B$108)-1)+$P$77</f>
        <v>0.73737373737373657</v>
      </c>
      <c r="Q78">
        <f>SMALL(SimData!$C$9:$C$108,74)</f>
        <v>0.29531481073736982</v>
      </c>
      <c r="R78">
        <f>1/(COUNT(SimData!$C$9:$C$108)-1)+$R$77</f>
        <v>0.73737373737373657</v>
      </c>
    </row>
    <row r="79" spans="1:18">
      <c r="A79">
        <v>71</v>
      </c>
      <c r="B79">
        <v>0.15322873659230149</v>
      </c>
      <c r="C79">
        <v>0.28518066226553035</v>
      </c>
      <c r="D79">
        <f>SMALL(SimData!$B$9:$B$108,75)</f>
        <v>0.27516251490552152</v>
      </c>
      <c r="E79">
        <f>1/(COUNT(SimData!$B$9:$B$108)-1)+$E$78</f>
        <v>0.74747474747474663</v>
      </c>
      <c r="O79">
        <f>SMALL(SimData!$B$9:$B$108,75)</f>
        <v>0.27516251490552152</v>
      </c>
      <c r="P79">
        <f>1/(COUNT(SimData!$B$9:$B$108)-1)+$P$78</f>
        <v>0.74747474747474663</v>
      </c>
      <c r="Q79">
        <f>SMALL(SimData!$C$9:$C$108,75)</f>
        <v>0.29938999008502204</v>
      </c>
      <c r="R79">
        <f>1/(COUNT(SimData!$C$9:$C$108)-1)+$R$78</f>
        <v>0.74747474747474663</v>
      </c>
    </row>
    <row r="80" spans="1:18">
      <c r="A80">
        <v>72</v>
      </c>
      <c r="B80">
        <v>0.16664448985223215</v>
      </c>
      <c r="C80">
        <v>0.44436139567154104</v>
      </c>
      <c r="D80">
        <f>SMALL(SimData!$B$9:$B$108,76)</f>
        <v>0.2759944691237704</v>
      </c>
      <c r="E80">
        <f>1/(COUNT(SimData!$B$9:$B$108)-1)+$E$79</f>
        <v>0.75757575757575668</v>
      </c>
      <c r="O80">
        <f>SMALL(SimData!$B$9:$B$108,76)</f>
        <v>0.2759944691237704</v>
      </c>
      <c r="P80">
        <f>1/(COUNT(SimData!$B$9:$B$108)-1)+$P$79</f>
        <v>0.75757575757575668</v>
      </c>
      <c r="Q80">
        <f>SMALL(SimData!$C$9:$C$108,76)</f>
        <v>0.30274414995127835</v>
      </c>
      <c r="R80">
        <f>1/(COUNT(SimData!$C$9:$C$108)-1)+$R$79</f>
        <v>0.75757575757575668</v>
      </c>
    </row>
    <row r="81" spans="1:18">
      <c r="A81">
        <v>73</v>
      </c>
      <c r="B81">
        <v>0.16672899025665575</v>
      </c>
      <c r="C81">
        <v>0.22349045702259449</v>
      </c>
      <c r="D81">
        <f>SMALL(SimData!$B$9:$B$108,77)</f>
        <v>0.27753619788034478</v>
      </c>
      <c r="E81">
        <f>1/(COUNT(SimData!$B$9:$B$108)-1)+$E$80</f>
        <v>0.76767676767676674</v>
      </c>
      <c r="O81">
        <f>SMALL(SimData!$B$9:$B$108,77)</f>
        <v>0.27753619788034478</v>
      </c>
      <c r="P81">
        <f>1/(COUNT(SimData!$B$9:$B$108)-1)+$P$80</f>
        <v>0.76767676767676674</v>
      </c>
      <c r="Q81">
        <f>SMALL(SimData!$C$9:$C$108,77)</f>
        <v>0.30504157007502858</v>
      </c>
      <c r="R81">
        <f>1/(COUNT(SimData!$C$9:$C$108)-1)+$R$80</f>
        <v>0.76767676767676674</v>
      </c>
    </row>
    <row r="82" spans="1:18">
      <c r="A82">
        <v>74</v>
      </c>
      <c r="B82">
        <v>0.19304885567110661</v>
      </c>
      <c r="C82">
        <v>0.1941323090909356</v>
      </c>
      <c r="D82">
        <f>SMALL(SimData!$B$9:$B$108,78)</f>
        <v>0.278126768791501</v>
      </c>
      <c r="E82">
        <f>1/(COUNT(SimData!$B$9:$B$108)-1)+$E$81</f>
        <v>0.77777777777777679</v>
      </c>
      <c r="O82">
        <f>SMALL(SimData!$B$9:$B$108,78)</f>
        <v>0.278126768791501</v>
      </c>
      <c r="P82">
        <f>1/(COUNT(SimData!$B$9:$B$108)-1)+$P$81</f>
        <v>0.77777777777777679</v>
      </c>
      <c r="Q82">
        <f>SMALL(SimData!$C$9:$C$108,78)</f>
        <v>0.30657423427328495</v>
      </c>
      <c r="R82">
        <f>1/(COUNT(SimData!$C$9:$C$108)-1)+$R$81</f>
        <v>0.77777777777777679</v>
      </c>
    </row>
    <row r="83" spans="1:18">
      <c r="A83">
        <v>75</v>
      </c>
      <c r="B83">
        <v>0.25682309100389689</v>
      </c>
      <c r="C83">
        <v>0.27385577335357053</v>
      </c>
      <c r="D83">
        <f>SMALL(SimData!$B$9:$B$108,79)</f>
        <v>0.27891157053286636</v>
      </c>
      <c r="E83">
        <f>1/(COUNT(SimData!$B$9:$B$108)-1)+$E$82</f>
        <v>0.78787878787878685</v>
      </c>
      <c r="O83">
        <f>SMALL(SimData!$B$9:$B$108,79)</f>
        <v>0.27891157053286636</v>
      </c>
      <c r="P83">
        <f>1/(COUNT(SimData!$B$9:$B$108)-1)+$P$82</f>
        <v>0.78787878787878685</v>
      </c>
      <c r="Q83">
        <f>SMALL(SimData!$C$9:$C$108,79)</f>
        <v>0.31085215657814941</v>
      </c>
      <c r="R83">
        <f>1/(COUNT(SimData!$C$9:$C$108)-1)+$R$82</f>
        <v>0.78787878787878685</v>
      </c>
    </row>
    <row r="84" spans="1:18">
      <c r="A84">
        <v>76</v>
      </c>
      <c r="B84">
        <v>0.29082002090470405</v>
      </c>
      <c r="C84">
        <v>0.24293048021916921</v>
      </c>
      <c r="D84">
        <f>SMALL(SimData!$B$9:$B$108,80)</f>
        <v>0.27916302856479963</v>
      </c>
      <c r="E84">
        <f>1/(COUNT(SimData!$B$9:$B$108)-1)+$E$83</f>
        <v>0.7979797979797969</v>
      </c>
      <c r="O84">
        <f>SMALL(SimData!$B$9:$B$108,80)</f>
        <v>0.27916302856479963</v>
      </c>
      <c r="P84">
        <f>1/(COUNT(SimData!$B$9:$B$108)-1)+$P$83</f>
        <v>0.7979797979797969</v>
      </c>
      <c r="Q84">
        <f>SMALL(SimData!$C$9:$C$108,80)</f>
        <v>0.31268737984911438</v>
      </c>
      <c r="R84">
        <f>1/(COUNT(SimData!$C$9:$C$108)-1)+$R$83</f>
        <v>0.7979797979797969</v>
      </c>
    </row>
    <row r="85" spans="1:18">
      <c r="A85">
        <v>77</v>
      </c>
      <c r="B85">
        <v>0.20395142910458344</v>
      </c>
      <c r="C85">
        <v>0.37080274863133028</v>
      </c>
      <c r="D85">
        <f>SMALL(SimData!$B$9:$B$108,81)</f>
        <v>0.28014060007161068</v>
      </c>
      <c r="E85">
        <f>1/(COUNT(SimData!$B$9:$B$108)-1)+$E$84</f>
        <v>0.80808080808080696</v>
      </c>
      <c r="O85">
        <f>SMALL(SimData!$B$9:$B$108,81)</f>
        <v>0.28014060007161068</v>
      </c>
      <c r="P85">
        <f>1/(COUNT(SimData!$B$9:$B$108)-1)+$P$84</f>
        <v>0.80808080808080696</v>
      </c>
      <c r="Q85">
        <f>SMALL(SimData!$C$9:$C$108,81)</f>
        <v>0.31350270799721464</v>
      </c>
      <c r="R85">
        <f>1/(COUNT(SimData!$C$9:$C$108)-1)+$R$84</f>
        <v>0.80808080808080696</v>
      </c>
    </row>
    <row r="86" spans="1:18">
      <c r="A86">
        <v>78</v>
      </c>
      <c r="B86">
        <v>0.22365372262778746</v>
      </c>
      <c r="C86">
        <v>0.30274414995127835</v>
      </c>
      <c r="D86">
        <f>SMALL(SimData!$B$9:$B$108,82)</f>
        <v>0.28374556097698617</v>
      </c>
      <c r="E86">
        <f>1/(COUNT(SimData!$B$9:$B$108)-1)+$E$85</f>
        <v>0.81818181818181701</v>
      </c>
      <c r="O86">
        <f>SMALL(SimData!$B$9:$B$108,82)</f>
        <v>0.28374556097698617</v>
      </c>
      <c r="P86">
        <f>1/(COUNT(SimData!$B$9:$B$108)-1)+$P$85</f>
        <v>0.81818181818181701</v>
      </c>
      <c r="Q86">
        <f>SMALL(SimData!$C$9:$C$108,82)</f>
        <v>0.31455329110255648</v>
      </c>
      <c r="R86">
        <f>1/(COUNT(SimData!$C$9:$C$108)-1)+$R$85</f>
        <v>0.81818181818181701</v>
      </c>
    </row>
    <row r="87" spans="1:18">
      <c r="A87">
        <v>79</v>
      </c>
      <c r="B87">
        <v>0.20409132262953866</v>
      </c>
      <c r="C87">
        <v>0.27398539202553895</v>
      </c>
      <c r="D87">
        <f>SMALL(SimData!$B$9:$B$108,83)</f>
        <v>0.28385794951600624</v>
      </c>
      <c r="E87">
        <f>1/(COUNT(SimData!$B$9:$B$108)-1)+$E$86</f>
        <v>0.82828282828282707</v>
      </c>
      <c r="O87">
        <f>SMALL(SimData!$B$9:$B$108,83)</f>
        <v>0.28385794951600624</v>
      </c>
      <c r="P87">
        <f>1/(COUNT(SimData!$B$9:$B$108)-1)+$P$86</f>
        <v>0.82828282828282707</v>
      </c>
      <c r="Q87">
        <f>SMALL(SimData!$C$9:$C$108,83)</f>
        <v>0.31636309961245346</v>
      </c>
      <c r="R87">
        <f>1/(COUNT(SimData!$C$9:$C$108)-1)+$R$86</f>
        <v>0.82828282828282707</v>
      </c>
    </row>
    <row r="88" spans="1:18">
      <c r="A88">
        <v>80</v>
      </c>
      <c r="B88">
        <v>0.21514692854297751</v>
      </c>
      <c r="C88">
        <v>0.26619474318147868</v>
      </c>
      <c r="D88">
        <f>SMALL(SimData!$B$9:$B$108,84)</f>
        <v>0.28630031083102681</v>
      </c>
      <c r="E88">
        <f>1/(COUNT(SimData!$B$9:$B$108)-1)+$E$87</f>
        <v>0.83838383838383712</v>
      </c>
      <c r="O88">
        <f>SMALL(SimData!$B$9:$B$108,84)</f>
        <v>0.28630031083102681</v>
      </c>
      <c r="P88">
        <f>1/(COUNT(SimData!$B$9:$B$108)-1)+$P$87</f>
        <v>0.83838383838383712</v>
      </c>
      <c r="Q88">
        <f>SMALL(SimData!$C$9:$C$108,84)</f>
        <v>0.3181393422035062</v>
      </c>
      <c r="R88">
        <f>1/(COUNT(SimData!$C$9:$C$108)-1)+$R$87</f>
        <v>0.83838383838383712</v>
      </c>
    </row>
    <row r="89" spans="1:18">
      <c r="A89">
        <v>81</v>
      </c>
      <c r="B89">
        <v>0.31769041599026077</v>
      </c>
      <c r="C89">
        <v>0.20397719421177679</v>
      </c>
      <c r="D89">
        <f>SMALL(SimData!$B$9:$B$108,85)</f>
        <v>0.28854333392162401</v>
      </c>
      <c r="E89">
        <f>1/(COUNT(SimData!$B$9:$B$108)-1)+$E$88</f>
        <v>0.84848484848484718</v>
      </c>
      <c r="O89">
        <f>SMALL(SimData!$B$9:$B$108,85)</f>
        <v>0.28854333392162401</v>
      </c>
      <c r="P89">
        <f>1/(COUNT(SimData!$B$9:$B$108)-1)+$P$88</f>
        <v>0.84848484848484718</v>
      </c>
      <c r="Q89">
        <f>SMALL(SimData!$C$9:$C$108,85)</f>
        <v>0.32022900637825263</v>
      </c>
      <c r="R89">
        <f>1/(COUNT(SimData!$C$9:$C$108)-1)+$R$88</f>
        <v>0.84848484848484718</v>
      </c>
    </row>
    <row r="90" spans="1:18">
      <c r="A90">
        <v>82</v>
      </c>
      <c r="B90">
        <v>0.17252489576123622</v>
      </c>
      <c r="C90">
        <v>0.32022900637825263</v>
      </c>
      <c r="D90">
        <f>SMALL(SimData!$B$9:$B$108,86)</f>
        <v>0.29082002090470405</v>
      </c>
      <c r="E90">
        <f>1/(COUNT(SimData!$B$9:$B$108)-1)+$E$89</f>
        <v>0.85858585858585723</v>
      </c>
      <c r="O90">
        <f>SMALL(SimData!$B$9:$B$108,86)</f>
        <v>0.29082002090470405</v>
      </c>
      <c r="P90">
        <f>1/(COUNT(SimData!$B$9:$B$108)-1)+$P$89</f>
        <v>0.85858585858585723</v>
      </c>
      <c r="Q90">
        <f>SMALL(SimData!$C$9:$C$108,86)</f>
        <v>0.32047896675757825</v>
      </c>
      <c r="R90">
        <f>1/(COUNT(SimData!$C$9:$C$108)-1)+$R$89</f>
        <v>0.85858585858585723</v>
      </c>
    </row>
    <row r="91" spans="1:18">
      <c r="A91">
        <v>83</v>
      </c>
      <c r="B91">
        <v>0.24858301719998521</v>
      </c>
      <c r="C91">
        <v>0.37413377429856876</v>
      </c>
      <c r="D91">
        <f>SMALL(SimData!$B$9:$B$108,87)</f>
        <v>0.29391019229581145</v>
      </c>
      <c r="E91">
        <f>1/(COUNT(SimData!$B$9:$B$108)-1)+$E$90</f>
        <v>0.86868686868686729</v>
      </c>
      <c r="O91">
        <f>SMALL(SimData!$B$9:$B$108,87)</f>
        <v>0.29391019229581145</v>
      </c>
      <c r="P91">
        <f>1/(COUNT(SimData!$B$9:$B$108)-1)+$P$90</f>
        <v>0.86868686868686729</v>
      </c>
      <c r="Q91">
        <f>SMALL(SimData!$C$9:$C$108,87)</f>
        <v>0.3215518897444245</v>
      </c>
      <c r="R91">
        <f>1/(COUNT(SimData!$C$9:$C$108)-1)+$R$90</f>
        <v>0.86868686868686729</v>
      </c>
    </row>
    <row r="92" spans="1:18">
      <c r="A92">
        <v>84</v>
      </c>
      <c r="B92">
        <v>0.2104062611792572</v>
      </c>
      <c r="C92">
        <v>0.3181393422035062</v>
      </c>
      <c r="D92">
        <f>SMALL(SimData!$B$9:$B$108,88)</f>
        <v>0.29578725284505808</v>
      </c>
      <c r="E92">
        <f>1/(COUNT(SimData!$B$9:$B$108)-1)+$E$91</f>
        <v>0.87878787878787734</v>
      </c>
      <c r="O92">
        <f>SMALL(SimData!$B$9:$B$108,88)</f>
        <v>0.29578725284505808</v>
      </c>
      <c r="P92">
        <f>1/(COUNT(SimData!$B$9:$B$108)-1)+$P$91</f>
        <v>0.87878787878787734</v>
      </c>
      <c r="Q92">
        <f>SMALL(SimData!$C$9:$C$108,88)</f>
        <v>0.3222509181108465</v>
      </c>
      <c r="R92">
        <f>1/(COUNT(SimData!$C$9:$C$108)-1)+$R$91</f>
        <v>0.87878787878787734</v>
      </c>
    </row>
    <row r="93" spans="1:18">
      <c r="A93">
        <v>85</v>
      </c>
      <c r="B93">
        <v>0.25637208742810424</v>
      </c>
      <c r="C93">
        <v>0.22941175985546933</v>
      </c>
      <c r="D93">
        <f>SMALL(SimData!$B$9:$B$108,89)</f>
        <v>0.29659142491358909</v>
      </c>
      <c r="E93">
        <f>1/(COUNT(SimData!$B$9:$B$108)-1)+$E$92</f>
        <v>0.8888888888888874</v>
      </c>
      <c r="O93">
        <f>SMALL(SimData!$B$9:$B$108,89)</f>
        <v>0.29659142491358909</v>
      </c>
      <c r="P93">
        <f>1/(COUNT(SimData!$B$9:$B$108)-1)+$P$92</f>
        <v>0.8888888888888874</v>
      </c>
      <c r="Q93">
        <f>SMALL(SimData!$C$9:$C$108,89)</f>
        <v>0.32791494559660728</v>
      </c>
      <c r="R93">
        <f>1/(COUNT(SimData!$C$9:$C$108)-1)+$R$92</f>
        <v>0.8888888888888874</v>
      </c>
    </row>
    <row r="94" spans="1:18">
      <c r="A94">
        <v>86</v>
      </c>
      <c r="B94">
        <v>0.14509501677272277</v>
      </c>
      <c r="C94">
        <v>0.3693832277921712</v>
      </c>
      <c r="D94">
        <f>SMALL(SimData!$B$9:$B$108,90)</f>
        <v>0.2976739797592195</v>
      </c>
      <c r="E94">
        <f>1/(COUNT(SimData!$B$9:$B$108)-1)+$E$93</f>
        <v>0.89898989898989745</v>
      </c>
      <c r="O94">
        <f>SMALL(SimData!$B$9:$B$108,90)</f>
        <v>0.2976739797592195</v>
      </c>
      <c r="P94">
        <f>1/(COUNT(SimData!$B$9:$B$108)-1)+$P$93</f>
        <v>0.89898989898989745</v>
      </c>
      <c r="Q94">
        <f>SMALL(SimData!$C$9:$C$108,90)</f>
        <v>0.33028139939912776</v>
      </c>
      <c r="R94">
        <f>1/(COUNT(SimData!$C$9:$C$108)-1)+$R$93</f>
        <v>0.89898989898989745</v>
      </c>
    </row>
    <row r="95" spans="1:18">
      <c r="A95">
        <v>87</v>
      </c>
      <c r="B95">
        <v>0.25013115251590179</v>
      </c>
      <c r="C95">
        <v>0.3215518897444245</v>
      </c>
      <c r="D95">
        <f>SMALL(SimData!$B$9:$B$108,91)</f>
        <v>0.30787950528222063</v>
      </c>
      <c r="E95">
        <f>1/(COUNT(SimData!$B$9:$B$108)-1)+$E$94</f>
        <v>0.90909090909090751</v>
      </c>
      <c r="O95">
        <f>SMALL(SimData!$B$9:$B$108,91)</f>
        <v>0.30787950528222063</v>
      </c>
      <c r="P95">
        <f>1/(COUNT(SimData!$B$9:$B$108)-1)+$P$94</f>
        <v>0.90909090909090751</v>
      </c>
      <c r="Q95">
        <f>SMALL(SimData!$C$9:$C$108,91)</f>
        <v>0.33644945042508656</v>
      </c>
      <c r="R95">
        <f>1/(COUNT(SimData!$C$9:$C$108)-1)+$R$94</f>
        <v>0.90909090909090751</v>
      </c>
    </row>
    <row r="96" spans="1:18">
      <c r="A96">
        <v>88</v>
      </c>
      <c r="B96">
        <v>0.278126768791501</v>
      </c>
      <c r="C96">
        <v>0.22410965816262174</v>
      </c>
      <c r="D96">
        <f>SMALL(SimData!$B$9:$B$108,92)</f>
        <v>0.31119697990123729</v>
      </c>
      <c r="E96">
        <f>1/(COUNT(SimData!$B$9:$B$108)-1)+$E$95</f>
        <v>0.91919191919191756</v>
      </c>
      <c r="O96">
        <f>SMALL(SimData!$B$9:$B$108,92)</f>
        <v>0.31119697990123729</v>
      </c>
      <c r="P96">
        <f>1/(COUNT(SimData!$B$9:$B$108)-1)+$P$95</f>
        <v>0.91919191919191756</v>
      </c>
      <c r="Q96">
        <f>SMALL(SimData!$C$9:$C$108,92)</f>
        <v>0.3403898850824742</v>
      </c>
      <c r="R96">
        <f>1/(COUNT(SimData!$C$9:$C$108)-1)+$R$95</f>
        <v>0.91919191919191756</v>
      </c>
    </row>
    <row r="97" spans="1:18">
      <c r="A97">
        <v>89</v>
      </c>
      <c r="B97">
        <v>0.17449595366555887</v>
      </c>
      <c r="C97">
        <v>0.2862971277240251</v>
      </c>
      <c r="D97">
        <f>SMALL(SimData!$B$9:$B$108,93)</f>
        <v>0.31408037926693633</v>
      </c>
      <c r="E97">
        <f>1/(COUNT(SimData!$B$9:$B$108)-1)+$E$96</f>
        <v>0.92929292929292762</v>
      </c>
      <c r="O97">
        <f>SMALL(SimData!$B$9:$B$108,93)</f>
        <v>0.31408037926693633</v>
      </c>
      <c r="P97">
        <f>1/(COUNT(SimData!$B$9:$B$108)-1)+$P$96</f>
        <v>0.92929292929292762</v>
      </c>
      <c r="Q97">
        <f>SMALL(SimData!$C$9:$C$108,93)</f>
        <v>0.34467525588239023</v>
      </c>
      <c r="R97">
        <f>1/(COUNT(SimData!$C$9:$C$108)-1)+$R$96</f>
        <v>0.92929292929292762</v>
      </c>
    </row>
    <row r="98" spans="1:18">
      <c r="A98">
        <v>90</v>
      </c>
      <c r="B98">
        <v>0.1937699129666744</v>
      </c>
      <c r="C98">
        <v>0.27178054878554125</v>
      </c>
      <c r="D98">
        <f>SMALL(SimData!$B$9:$B$108,94)</f>
        <v>0.31769041599026077</v>
      </c>
      <c r="E98">
        <f>1/(COUNT(SimData!$B$9:$B$108)-1)+$E$97</f>
        <v>0.93939393939393767</v>
      </c>
      <c r="O98">
        <f>SMALL(SimData!$B$9:$B$108,94)</f>
        <v>0.31769041599026077</v>
      </c>
      <c r="P98">
        <f>1/(COUNT(SimData!$B$9:$B$108)-1)+$P$97</f>
        <v>0.93939393939393767</v>
      </c>
      <c r="Q98">
        <f>SMALL(SimData!$C$9:$C$108,94)</f>
        <v>0.34654591241984334</v>
      </c>
      <c r="R98">
        <f>1/(COUNT(SimData!$C$9:$C$108)-1)+$R$97</f>
        <v>0.93939393939393767</v>
      </c>
    </row>
    <row r="99" spans="1:18">
      <c r="A99">
        <v>91</v>
      </c>
      <c r="B99">
        <v>0.23197877331835151</v>
      </c>
      <c r="C99">
        <v>0.22878063940548865</v>
      </c>
      <c r="D99">
        <f>SMALL(SimData!$B$9:$B$108,95)</f>
        <v>0.32555557409320407</v>
      </c>
      <c r="E99">
        <f>1/(COUNT(SimData!$B$9:$B$108)-1)+$E$98</f>
        <v>0.94949494949494773</v>
      </c>
      <c r="O99">
        <f>SMALL(SimData!$B$9:$B$108,95)</f>
        <v>0.32555557409320407</v>
      </c>
      <c r="P99">
        <f>1/(COUNT(SimData!$B$9:$B$108)-1)+$P$98</f>
        <v>0.94949494949494773</v>
      </c>
      <c r="Q99">
        <f>SMALL(SimData!$C$9:$C$108,95)</f>
        <v>0.36295359408318995</v>
      </c>
      <c r="R99">
        <f>1/(COUNT(SimData!$C$9:$C$108)-1)+$R$98</f>
        <v>0.94949494949494773</v>
      </c>
    </row>
    <row r="100" spans="1:18">
      <c r="A100">
        <v>92</v>
      </c>
      <c r="B100">
        <v>0.33153204004677328</v>
      </c>
      <c r="C100">
        <v>0.16822116451075048</v>
      </c>
      <c r="D100">
        <f>SMALL(SimData!$B$9:$B$108,96)</f>
        <v>0.32555667793366716</v>
      </c>
      <c r="E100">
        <f>1/(COUNT(SimData!$B$9:$B$108)-1)+$E$99</f>
        <v>0.95959595959595778</v>
      </c>
      <c r="O100">
        <f>SMALL(SimData!$B$9:$B$108,96)</f>
        <v>0.32555667793366716</v>
      </c>
      <c r="P100">
        <f>1/(COUNT(SimData!$B$9:$B$108)-1)+$P$99</f>
        <v>0.95959595959595778</v>
      </c>
      <c r="Q100">
        <f>SMALL(SimData!$C$9:$C$108,96)</f>
        <v>0.3693832277921712</v>
      </c>
      <c r="R100">
        <f>1/(COUNT(SimData!$C$9:$C$108)-1)+$R$99</f>
        <v>0.95959595959595778</v>
      </c>
    </row>
    <row r="101" spans="1:18">
      <c r="A101">
        <v>93</v>
      </c>
      <c r="B101">
        <v>0.2520290913832714</v>
      </c>
      <c r="C101">
        <v>0.3222509181108465</v>
      </c>
      <c r="D101">
        <f>SMALL(SimData!$B$9:$B$108,97)</f>
        <v>0.33153204004677328</v>
      </c>
      <c r="E101">
        <f>1/(COUNT(SimData!$B$9:$B$108)-1)+$E$100</f>
        <v>0.96969696969696784</v>
      </c>
      <c r="O101">
        <f>SMALL(SimData!$B$9:$B$108,97)</f>
        <v>0.33153204004677328</v>
      </c>
      <c r="P101">
        <f>1/(COUNT(SimData!$B$9:$B$108)-1)+$P$100</f>
        <v>0.96969696969696784</v>
      </c>
      <c r="Q101">
        <f>SMALL(SimData!$C$9:$C$108,97)</f>
        <v>0.37080274863133028</v>
      </c>
      <c r="R101">
        <f>1/(COUNT(SimData!$C$9:$C$108)-1)+$R$100</f>
        <v>0.96969696969696784</v>
      </c>
    </row>
    <row r="102" spans="1:18">
      <c r="A102">
        <v>94</v>
      </c>
      <c r="B102">
        <v>0.24843862057193675</v>
      </c>
      <c r="C102">
        <v>0.33028139939912776</v>
      </c>
      <c r="D102">
        <f>SMALL(SimData!$B$9:$B$108,98)</f>
        <v>0.33581333790375989</v>
      </c>
      <c r="E102">
        <f>1/(COUNT(SimData!$B$9:$B$108)-1)+$E$101</f>
        <v>0.97979797979797789</v>
      </c>
      <c r="O102">
        <f>SMALL(SimData!$B$9:$B$108,98)</f>
        <v>0.33581333790375989</v>
      </c>
      <c r="P102">
        <f>1/(COUNT(SimData!$B$9:$B$108)-1)+$P$101</f>
        <v>0.97979797979797789</v>
      </c>
      <c r="Q102">
        <f>SMALL(SimData!$C$9:$C$108,98)</f>
        <v>0.37270674161416156</v>
      </c>
      <c r="R102">
        <f>1/(COUNT(SimData!$C$9:$C$108)-1)+$R$101</f>
        <v>0.97979797979797789</v>
      </c>
    </row>
    <row r="103" spans="1:18">
      <c r="A103">
        <v>95</v>
      </c>
      <c r="B103">
        <v>0.21378877461187359</v>
      </c>
      <c r="C103">
        <v>0.19652113931751536</v>
      </c>
      <c r="D103">
        <f>SMALL(SimData!$B$9:$B$108,99)</f>
        <v>0.38876332712004613</v>
      </c>
      <c r="E103">
        <f>1/(COUNT(SimData!$B$9:$B$108)-1)+$E$102</f>
        <v>0.98989898989898795</v>
      </c>
      <c r="O103">
        <f>SMALL(SimData!$B$9:$B$108,99)</f>
        <v>0.38876332712004613</v>
      </c>
      <c r="P103">
        <f>1/(COUNT(SimData!$B$9:$B$108)-1)+$P$102</f>
        <v>0.98989898989898795</v>
      </c>
      <c r="Q103">
        <f>SMALL(SimData!$C$9:$C$108,99)</f>
        <v>0.37413377429856876</v>
      </c>
      <c r="R103">
        <f>1/(COUNT(SimData!$C$9:$C$108)-1)+$R$102</f>
        <v>0.98989898989898795</v>
      </c>
    </row>
    <row r="104" spans="1:18">
      <c r="A104">
        <v>96</v>
      </c>
      <c r="B104">
        <v>0.24143022983704143</v>
      </c>
      <c r="C104">
        <v>0.23116866809333295</v>
      </c>
      <c r="D104">
        <f>SMALL(SimData!$B$9:$B$108,100)</f>
        <v>0.3897800570775895</v>
      </c>
      <c r="E104">
        <f>1/(COUNT(SimData!$B$9:$B$108)-1)+$E$103</f>
        <v>0.999999999999998</v>
      </c>
      <c r="O104">
        <f>SMALL(SimData!$B$9:$B$108,100)</f>
        <v>0.3897800570775895</v>
      </c>
      <c r="P104">
        <f>1/(COUNT(SimData!$B$9:$B$108)-1)+$P$103</f>
        <v>0.999999999999998</v>
      </c>
      <c r="Q104">
        <f>SMALL(SimData!$C$9:$C$108,100)</f>
        <v>0.44436139567154104</v>
      </c>
      <c r="R104">
        <f>1/(COUNT(SimData!$C$9:$C$108)-1)+$R$103</f>
        <v>0.999999999999998</v>
      </c>
    </row>
    <row r="105" spans="1:18">
      <c r="A105">
        <v>97</v>
      </c>
      <c r="B105">
        <v>0.2371891988808964</v>
      </c>
      <c r="C105">
        <v>0.22671851322353825</v>
      </c>
    </row>
    <row r="106" spans="1:18">
      <c r="A106">
        <v>98</v>
      </c>
      <c r="B106">
        <v>0.21010445453945226</v>
      </c>
      <c r="C106">
        <v>0.29245625248256774</v>
      </c>
    </row>
    <row r="107" spans="1:18">
      <c r="A107">
        <v>99</v>
      </c>
      <c r="B107">
        <v>0.19138072311099635</v>
      </c>
      <c r="C107">
        <v>0.30504157007502858</v>
      </c>
    </row>
    <row r="108" spans="1:18">
      <c r="A108">
        <v>100</v>
      </c>
      <c r="B108">
        <v>0.33581333790375989</v>
      </c>
      <c r="C108">
        <v>0.1305191518369688</v>
      </c>
    </row>
    <row r="110" spans="1:18">
      <c r="A110" t="s">
        <v>370</v>
      </c>
    </row>
    <row r="111" spans="1:18">
      <c r="A111" t="s">
        <v>371</v>
      </c>
      <c r="B111" t="str">
        <f>IF(ISBLANK($B110)=TRUE,"",_xll.EDF(B9:B108,$B110))</f>
        <v/>
      </c>
      <c r="C111" t="str">
        <f>IF(ISBLANK($C110)=TRUE,"",_xll.EDF(C9:C108,$C110))</f>
        <v/>
      </c>
    </row>
    <row r="112" spans="1:18">
      <c r="A112" t="s">
        <v>372</v>
      </c>
    </row>
    <row r="113" spans="1:3">
      <c r="A113" t="s">
        <v>373</v>
      </c>
      <c r="B113" t="str">
        <f>IF(ISBLANK($B112)=TRUE,"",_xll.EDF(B9:B108,$B112))</f>
        <v/>
      </c>
      <c r="C113" t="str">
        <f>IF(ISBLANK($C112)=TRUE,"",_xll.EDF(C9:C108,$C112))</f>
        <v/>
      </c>
    </row>
    <row r="114" spans="1:3">
      <c r="A114" t="s">
        <v>374</v>
      </c>
    </row>
    <row r="115" spans="1:3">
      <c r="A115" t="s">
        <v>375</v>
      </c>
      <c r="B115" t="str">
        <f>IF(ISBLANK($B114)=TRUE,"",_xll.EDF(B9:B108,$B114))</f>
        <v/>
      </c>
      <c r="C115" t="str">
        <f>IF(ISBLANK($C114)=TRUE,"",_xll.EDF(C9:C108,$C114))</f>
        <v/>
      </c>
    </row>
    <row r="116" spans="1:3">
      <c r="A116" t="s">
        <v>376</v>
      </c>
    </row>
    <row r="117" spans="1:3">
      <c r="A117" t="s">
        <v>377</v>
      </c>
      <c r="B117" t="str">
        <f>IF(ISBLANK($B116)=TRUE,"",_xll.EDF(B9:B108,$B116))</f>
        <v/>
      </c>
      <c r="C117" t="str">
        <f>IF(ISBLANK($C116)=TRUE,"",_xll.EDF(C9:C108,$C116))</f>
        <v/>
      </c>
    </row>
    <row r="118" spans="1:3">
      <c r="A118" t="s">
        <v>378</v>
      </c>
    </row>
    <row r="119" spans="1:3">
      <c r="A119" t="s">
        <v>379</v>
      </c>
      <c r="B119" t="str">
        <f>IF(ISBLANK($B118)=TRUE,"",_xll.EDF(B9:B108,$B118))</f>
        <v/>
      </c>
      <c r="C119" t="str">
        <f>IF(ISBLANK($C118)=TRUE,"",_xll.EDF(C9:C108,$C118))</f>
        <v/>
      </c>
    </row>
  </sheetData>
  <sheetCalcPr fullCalcOnLoad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E16"/>
  <sheetViews>
    <sheetView workbookViewId="0"/>
  </sheetViews>
  <sheetFormatPr defaultRowHeight="12"/>
  <sheetData>
    <row r="1" spans="1:5">
      <c r="A1" t="s">
        <v>3</v>
      </c>
      <c r="B1" t="s">
        <v>6</v>
      </c>
      <c r="C1" t="s">
        <v>7</v>
      </c>
      <c r="D1" t="s">
        <v>13</v>
      </c>
    </row>
    <row r="2" spans="1:5">
      <c r="A2">
        <v>0</v>
      </c>
      <c r="B2">
        <v>0</v>
      </c>
      <c r="C2">
        <v>0</v>
      </c>
      <c r="D2">
        <v>1</v>
      </c>
      <c r="E2">
        <v>7.6923076923076927E-2</v>
      </c>
    </row>
    <row r="3" spans="1:5">
      <c r="A3">
        <v>0</v>
      </c>
      <c r="B3">
        <v>0</v>
      </c>
      <c r="C3">
        <v>0</v>
      </c>
      <c r="D3">
        <v>1.3333333333333333</v>
      </c>
      <c r="E3">
        <v>0.15384615384615385</v>
      </c>
    </row>
    <row r="4" spans="1:5">
      <c r="A4">
        <v>0.10606060606060605</v>
      </c>
      <c r="B4">
        <v>0</v>
      </c>
      <c r="C4">
        <v>0.14607614607614605</v>
      </c>
      <c r="D4">
        <v>1.6666666666666665</v>
      </c>
      <c r="E4">
        <v>0.23076923076923078</v>
      </c>
    </row>
    <row r="5" spans="1:5">
      <c r="A5">
        <v>0.22269128921974962</v>
      </c>
      <c r="B5">
        <v>0</v>
      </c>
      <c r="C5">
        <v>0.35069868403201737</v>
      </c>
      <c r="D5">
        <v>2</v>
      </c>
      <c r="E5">
        <v>0.30769230769230771</v>
      </c>
    </row>
    <row r="6" spans="1:5">
      <c r="A6">
        <v>0.51282051282051266</v>
      </c>
      <c r="B6">
        <v>0</v>
      </c>
      <c r="C6">
        <v>0.90598290598290554</v>
      </c>
      <c r="D6">
        <v>2.333333333333333</v>
      </c>
      <c r="E6">
        <v>0.38461538461538464</v>
      </c>
    </row>
    <row r="7" spans="1:5">
      <c r="A7">
        <v>0.90346907993966818</v>
      </c>
      <c r="B7">
        <v>0.31886916502301116</v>
      </c>
      <c r="C7">
        <v>0.95263951734539976</v>
      </c>
      <c r="D7">
        <v>2.6666666666666665</v>
      </c>
      <c r="E7">
        <v>0.46153846153846156</v>
      </c>
    </row>
    <row r="8" spans="1:5">
      <c r="A8">
        <v>0.96516690856313503</v>
      </c>
      <c r="B8">
        <v>0.38461538461538464</v>
      </c>
      <c r="C8">
        <v>0.98280542986425345</v>
      </c>
      <c r="D8">
        <v>3</v>
      </c>
      <c r="E8">
        <v>0.53846153846153844</v>
      </c>
    </row>
    <row r="9" spans="1:5">
      <c r="A9">
        <v>1</v>
      </c>
      <c r="B9">
        <v>0.58547008547008539</v>
      </c>
      <c r="C9">
        <v>1</v>
      </c>
      <c r="D9">
        <v>3.333333333333333</v>
      </c>
      <c r="E9">
        <v>0.61538461538461542</v>
      </c>
    </row>
    <row r="10" spans="1:5">
      <c r="A10">
        <v>1</v>
      </c>
      <c r="B10">
        <v>0.81576448243114885</v>
      </c>
      <c r="C10">
        <v>1</v>
      </c>
      <c r="D10">
        <v>3.6666666666666665</v>
      </c>
      <c r="E10">
        <v>0.69230769230769229</v>
      </c>
    </row>
    <row r="11" spans="1:5">
      <c r="A11">
        <v>1</v>
      </c>
      <c r="B11">
        <v>0.88328912466843501</v>
      </c>
      <c r="C11">
        <v>1</v>
      </c>
      <c r="D11">
        <v>4</v>
      </c>
      <c r="E11">
        <v>0.76923076923076927</v>
      </c>
    </row>
    <row r="12" spans="1:5">
      <c r="A12">
        <v>1</v>
      </c>
      <c r="B12">
        <v>0.93333333333333335</v>
      </c>
      <c r="C12">
        <v>1</v>
      </c>
      <c r="D12">
        <v>4.333333333333333</v>
      </c>
      <c r="E12">
        <v>0.84615384615384615</v>
      </c>
    </row>
    <row r="13" spans="1:5">
      <c r="A13">
        <v>1</v>
      </c>
      <c r="B13">
        <v>1</v>
      </c>
      <c r="C13">
        <v>1</v>
      </c>
      <c r="D13">
        <v>4.6666666666666661</v>
      </c>
      <c r="E13">
        <v>0.92307692307692313</v>
      </c>
    </row>
    <row r="14" spans="1:5">
      <c r="A14">
        <v>1</v>
      </c>
      <c r="B14">
        <v>1</v>
      </c>
      <c r="C14">
        <v>1</v>
      </c>
      <c r="D14">
        <v>5</v>
      </c>
      <c r="E14">
        <v>1</v>
      </c>
    </row>
    <row r="15" spans="1:5">
      <c r="A15">
        <v>30.227040097900002</v>
      </c>
      <c r="B15">
        <v>42.825491627399991</v>
      </c>
      <c r="C15">
        <v>27.667788442900001</v>
      </c>
    </row>
    <row r="16" spans="1:5">
      <c r="A16">
        <v>-10.311218277735913</v>
      </c>
      <c r="B16">
        <v>-9.3702884197592091</v>
      </c>
      <c r="C16">
        <v>-10.516502790864161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E16"/>
  <sheetViews>
    <sheetView workbookViewId="0"/>
  </sheetViews>
  <sheetFormatPr defaultRowHeight="12"/>
  <sheetData>
    <row r="1" spans="1:5">
      <c r="A1" t="s">
        <v>3</v>
      </c>
      <c r="B1" t="s">
        <v>6</v>
      </c>
      <c r="C1" t="s">
        <v>7</v>
      </c>
      <c r="D1" t="s">
        <v>13</v>
      </c>
    </row>
    <row r="2" spans="1:5">
      <c r="A2">
        <v>0</v>
      </c>
      <c r="B2">
        <v>0</v>
      </c>
      <c r="C2">
        <v>0</v>
      </c>
      <c r="D2">
        <v>1</v>
      </c>
      <c r="E2">
        <v>7.6923076923076927E-2</v>
      </c>
    </row>
    <row r="3" spans="1:5">
      <c r="A3">
        <v>0</v>
      </c>
      <c r="B3">
        <v>0</v>
      </c>
      <c r="C3">
        <v>0</v>
      </c>
      <c r="D3">
        <v>1.3333333333333333</v>
      </c>
      <c r="E3">
        <v>0.15384615384615385</v>
      </c>
    </row>
    <row r="4" spans="1:5">
      <c r="A4">
        <v>0.10606060606060605</v>
      </c>
      <c r="B4">
        <v>0</v>
      </c>
      <c r="C4">
        <v>0.14607614607614605</v>
      </c>
      <c r="D4">
        <v>1.6666666666666665</v>
      </c>
      <c r="E4">
        <v>0.23076923076923078</v>
      </c>
    </row>
    <row r="5" spans="1:5">
      <c r="A5">
        <v>0.22269128921974962</v>
      </c>
      <c r="B5">
        <v>0</v>
      </c>
      <c r="C5">
        <v>0.35069868403201737</v>
      </c>
      <c r="D5">
        <v>2</v>
      </c>
      <c r="E5">
        <v>0.30769230769230771</v>
      </c>
    </row>
    <row r="6" spans="1:5">
      <c r="A6">
        <v>0.51282051282051266</v>
      </c>
      <c r="B6">
        <v>0</v>
      </c>
      <c r="C6">
        <v>0.90598290598290554</v>
      </c>
      <c r="D6">
        <v>2.333333333333333</v>
      </c>
      <c r="E6">
        <v>0.38461538461538464</v>
      </c>
    </row>
    <row r="7" spans="1:5">
      <c r="A7">
        <v>0.90346907993966818</v>
      </c>
      <c r="B7">
        <v>0.31886916502301116</v>
      </c>
      <c r="C7">
        <v>0.95263951734539976</v>
      </c>
      <c r="D7">
        <v>2.6666666666666665</v>
      </c>
      <c r="E7">
        <v>0.46153846153846156</v>
      </c>
    </row>
    <row r="8" spans="1:5">
      <c r="A8">
        <v>0.96516690856313503</v>
      </c>
      <c r="B8">
        <v>0.38461538461538464</v>
      </c>
      <c r="C8">
        <v>0.98280542986425345</v>
      </c>
      <c r="D8">
        <v>3</v>
      </c>
      <c r="E8">
        <v>0.53846153846153844</v>
      </c>
    </row>
    <row r="9" spans="1:5">
      <c r="A9">
        <v>1</v>
      </c>
      <c r="B9">
        <v>0.58547008547008539</v>
      </c>
      <c r="C9">
        <v>1</v>
      </c>
      <c r="D9">
        <v>3.333333333333333</v>
      </c>
      <c r="E9">
        <v>0.61538461538461542</v>
      </c>
    </row>
    <row r="10" spans="1:5">
      <c r="A10">
        <v>1</v>
      </c>
      <c r="B10">
        <v>0.81576448243114885</v>
      </c>
      <c r="C10">
        <v>1</v>
      </c>
      <c r="D10">
        <v>3.6666666666666665</v>
      </c>
      <c r="E10">
        <v>0.69230769230769229</v>
      </c>
    </row>
    <row r="11" spans="1:5">
      <c r="A11">
        <v>1</v>
      </c>
      <c r="B11">
        <v>0.88328912466843501</v>
      </c>
      <c r="C11">
        <v>1</v>
      </c>
      <c r="D11">
        <v>4</v>
      </c>
      <c r="E11">
        <v>0.76923076923076927</v>
      </c>
    </row>
    <row r="12" spans="1:5">
      <c r="A12">
        <v>1</v>
      </c>
      <c r="B12">
        <v>0.93333333333333335</v>
      </c>
      <c r="C12">
        <v>1</v>
      </c>
      <c r="D12">
        <v>4.333333333333333</v>
      </c>
      <c r="E12">
        <v>0.84615384615384615</v>
      </c>
    </row>
    <row r="13" spans="1:5">
      <c r="A13">
        <v>1</v>
      </c>
      <c r="B13">
        <v>1</v>
      </c>
      <c r="C13">
        <v>1</v>
      </c>
      <c r="D13">
        <v>4.6666666666666661</v>
      </c>
      <c r="E13">
        <v>0.92307692307692313</v>
      </c>
    </row>
    <row r="14" spans="1:5">
      <c r="A14">
        <v>1</v>
      </c>
      <c r="B14">
        <v>1</v>
      </c>
      <c r="C14">
        <v>1</v>
      </c>
      <c r="D14">
        <v>5</v>
      </c>
      <c r="E14">
        <v>1</v>
      </c>
    </row>
    <row r="15" spans="1:5">
      <c r="A15">
        <v>30.227040097900002</v>
      </c>
      <c r="B15">
        <v>42.825491627399991</v>
      </c>
      <c r="C15">
        <v>27.667788442900001</v>
      </c>
    </row>
    <row r="16" spans="1:5">
      <c r="A16">
        <v>-10.311218277735913</v>
      </c>
      <c r="B16">
        <v>-9.3702884197592091</v>
      </c>
      <c r="C16">
        <v>-10.516502790864161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1038"/>
  <sheetViews>
    <sheetView tabSelected="1" zoomScaleNormal="100" workbookViewId="0">
      <selection activeCell="A3" sqref="A3"/>
    </sheetView>
  </sheetViews>
  <sheetFormatPr defaultColWidth="13.7109375" defaultRowHeight="12"/>
  <cols>
    <col min="1" max="2" width="13.7109375" customWidth="1"/>
    <col min="3" max="3" width="14" customWidth="1"/>
    <col min="4" max="4" width="13.85546875" customWidth="1"/>
    <col min="5" max="6" width="13.7109375" customWidth="1"/>
    <col min="7" max="7" width="15.5703125" customWidth="1"/>
    <col min="8" max="8" width="14.42578125" customWidth="1"/>
  </cols>
  <sheetData>
    <row r="1" spans="1:17">
      <c r="A1" s="2" t="str">
        <f ca="1">_xll.WBNAME()</f>
        <v>Probability Distributions Demo.xlsx</v>
      </c>
      <c r="E1" s="2"/>
    </row>
    <row r="2" spans="1:17">
      <c r="A2" t="s">
        <v>350</v>
      </c>
      <c r="E2" s="2"/>
    </row>
    <row r="3" spans="1:17">
      <c r="A3" t="s">
        <v>402</v>
      </c>
    </row>
    <row r="5" spans="1:17">
      <c r="A5" s="21" t="s">
        <v>43</v>
      </c>
      <c r="B5" s="6"/>
      <c r="C5" s="6"/>
      <c r="D5" s="6"/>
      <c r="E5" s="6"/>
      <c r="F5" s="5"/>
      <c r="G5" s="5"/>
      <c r="H5" s="5"/>
    </row>
    <row r="6" spans="1:17">
      <c r="A6" s="87" t="s">
        <v>351</v>
      </c>
      <c r="B6" s="5"/>
      <c r="C6" s="5"/>
      <c r="D6" s="5"/>
      <c r="E6" s="5"/>
      <c r="F6" s="5"/>
      <c r="G6" s="5"/>
      <c r="H6" s="5"/>
      <c r="P6" s="3"/>
      <c r="Q6" s="3"/>
    </row>
    <row r="7" spans="1:17">
      <c r="B7" s="3"/>
      <c r="C7" s="3"/>
      <c r="D7" s="3"/>
      <c r="E7" s="7"/>
      <c r="F7" s="7"/>
      <c r="G7" s="7"/>
      <c r="H7" s="7"/>
      <c r="P7" s="3"/>
      <c r="Q7" s="3"/>
    </row>
    <row r="8" spans="1:17">
      <c r="A8" s="2" t="s">
        <v>240</v>
      </c>
      <c r="B8" s="3"/>
      <c r="C8" s="3"/>
      <c r="D8" s="3"/>
      <c r="E8" s="3"/>
      <c r="F8" s="3"/>
      <c r="G8" s="3"/>
      <c r="H8" s="3"/>
      <c r="P8" s="3"/>
      <c r="Q8" s="3"/>
    </row>
    <row r="9" spans="1:17">
      <c r="A9" t="s">
        <v>0</v>
      </c>
      <c r="C9" s="22">
        <v>10</v>
      </c>
      <c r="D9" s="3"/>
      <c r="E9" s="3"/>
      <c r="F9" s="3"/>
      <c r="G9" s="3"/>
      <c r="H9" s="3"/>
      <c r="P9" s="3"/>
      <c r="Q9" s="3"/>
    </row>
    <row r="10" spans="1:17">
      <c r="A10" t="s">
        <v>2</v>
      </c>
      <c r="C10" s="22">
        <v>20</v>
      </c>
      <c r="D10" s="3"/>
      <c r="E10" s="3"/>
      <c r="F10" s="3"/>
      <c r="G10" s="3"/>
      <c r="H10" s="3"/>
      <c r="P10" s="3"/>
      <c r="Q10" s="3"/>
    </row>
    <row r="11" spans="1:17">
      <c r="A11" t="s">
        <v>220</v>
      </c>
      <c r="B11" s="3"/>
      <c r="C11" s="3">
        <f ca="1">_xll.UNIFORM(0,1)</f>
        <v>0.220611572265625</v>
      </c>
      <c r="E11" s="8" t="s">
        <v>146</v>
      </c>
      <c r="F11" s="78" t="s">
        <v>147</v>
      </c>
      <c r="G11" s="3"/>
      <c r="H11" s="3"/>
      <c r="P11" s="3"/>
      <c r="Q11" s="3"/>
    </row>
    <row r="12" spans="1:17">
      <c r="A12" t="s">
        <v>21</v>
      </c>
      <c r="B12" s="3"/>
      <c r="D12" t="s">
        <v>215</v>
      </c>
      <c r="E12" s="3">
        <f ca="1">_xll.UNIFORM(10,20)</f>
        <v>16.302490234375</v>
      </c>
      <c r="F12" s="23" t="str">
        <f ca="1">_xll.VFORMULA(E12)</f>
        <v>=UNIFORM(10,20)</v>
      </c>
      <c r="G12" s="3"/>
      <c r="H12" s="3"/>
      <c r="Q12" s="3"/>
    </row>
    <row r="13" spans="1:17">
      <c r="A13" t="s">
        <v>20</v>
      </c>
      <c r="B13" s="3"/>
      <c r="D13" t="s">
        <v>145</v>
      </c>
      <c r="E13" s="3">
        <f ca="1">_xll.UNIFORM(C9,C10)</f>
        <v>13.133544921875</v>
      </c>
      <c r="F13" s="23" t="str">
        <f ca="1">_xll.VFORMULA(E13)</f>
        <v>=UNIFORM(C9,C10)</v>
      </c>
      <c r="G13" s="3"/>
      <c r="H13" s="3"/>
      <c r="Q13" s="3"/>
    </row>
    <row r="14" spans="1:17">
      <c r="A14" t="s">
        <v>216</v>
      </c>
      <c r="B14" s="3"/>
      <c r="C14" s="3"/>
      <c r="D14" t="s">
        <v>217</v>
      </c>
      <c r="E14" s="3">
        <f ca="1">_xll.UNIFORM(C9,C10,C11)</f>
        <v>12.20611572265625</v>
      </c>
      <c r="F14" s="23" t="str">
        <f ca="1">_xll.VFORMULA(E14)</f>
        <v>=UNIFORM(C9,C10,C11)</v>
      </c>
      <c r="G14" s="3"/>
      <c r="H14" s="3"/>
      <c r="Q14" s="3"/>
    </row>
    <row r="15" spans="1:17">
      <c r="B15" s="3"/>
      <c r="C15" s="3"/>
      <c r="E15" s="3"/>
      <c r="F15" s="3"/>
      <c r="G15" s="3"/>
      <c r="H15" s="3"/>
      <c r="Q15" s="3"/>
    </row>
    <row r="16" spans="1:17">
      <c r="H16" s="3"/>
      <c r="Q16" s="3"/>
    </row>
    <row r="17" spans="1:17">
      <c r="A17" s="2" t="s">
        <v>241</v>
      </c>
      <c r="B17" s="3"/>
      <c r="C17" s="3"/>
      <c r="D17" s="3"/>
      <c r="E17" s="3"/>
      <c r="F17" s="3"/>
      <c r="H17" s="3"/>
      <c r="Q17" s="3"/>
    </row>
    <row r="18" spans="1:17">
      <c r="A18" t="s">
        <v>8</v>
      </c>
      <c r="C18" s="3">
        <v>10</v>
      </c>
      <c r="D18" s="3"/>
      <c r="E18" s="3"/>
      <c r="F18" s="3"/>
      <c r="H18" s="3"/>
      <c r="Q18" s="3"/>
    </row>
    <row r="19" spans="1:17">
      <c r="A19" t="s">
        <v>23</v>
      </c>
      <c r="C19" s="3">
        <v>3</v>
      </c>
      <c r="D19" s="3"/>
      <c r="E19" s="8"/>
      <c r="H19" s="3"/>
      <c r="Q19" s="3"/>
    </row>
    <row r="20" spans="1:17">
      <c r="A20" t="s">
        <v>219</v>
      </c>
      <c r="B20" s="3"/>
      <c r="C20" s="3">
        <f ca="1">_xll.UNIFORM()</f>
        <v>0.457916259765625</v>
      </c>
      <c r="E20" s="2" t="s">
        <v>146</v>
      </c>
      <c r="F20" s="78" t="s">
        <v>121</v>
      </c>
      <c r="H20" s="3"/>
      <c r="Q20" s="3"/>
    </row>
    <row r="21" spans="1:17">
      <c r="A21" t="str">
        <f>A12</f>
        <v>Specific Formula using actual numbers</v>
      </c>
      <c r="B21" s="3"/>
      <c r="C21" s="3"/>
      <c r="D21" t="s">
        <v>148</v>
      </c>
      <c r="E21" s="3">
        <f ca="1">_xll.NORM(10,3)</f>
        <v>18.256471437804301</v>
      </c>
      <c r="F21" s="23" t="str">
        <f ca="1">_xll.VFORMULA(E21)</f>
        <v>=NORM(10,3)</v>
      </c>
      <c r="H21" s="3"/>
      <c r="Q21" s="3"/>
    </row>
    <row r="22" spans="1:17">
      <c r="A22" t="str">
        <f>A13</f>
        <v>General Formula using cell references</v>
      </c>
      <c r="B22" s="3"/>
      <c r="C22" s="3"/>
      <c r="D22" t="s">
        <v>148</v>
      </c>
      <c r="E22" s="3">
        <f ca="1">_xll.NORM(C18,C19)</f>
        <v>6.3434441805254691</v>
      </c>
      <c r="F22" s="23" t="str">
        <f ca="1">_xll.VFORMULA(E22)</f>
        <v>=NORM(C18,C19)</v>
      </c>
      <c r="H22" s="3"/>
      <c r="P22" s="3"/>
      <c r="Q22" s="3"/>
    </row>
    <row r="23" spans="1:17">
      <c r="A23" t="s">
        <v>44</v>
      </c>
      <c r="B23" s="3"/>
      <c r="C23" s="3"/>
      <c r="D23" t="s">
        <v>148</v>
      </c>
      <c r="E23" s="3">
        <f ca="1">_xll.NORM(C18,C19,C20)</f>
        <v>9.6829459429262634</v>
      </c>
      <c r="F23" s="23" t="str">
        <f ca="1">_xll.VFORMULA(E23)</f>
        <v>=NORM(C18,C19,C20)</v>
      </c>
      <c r="H23" s="3"/>
      <c r="Q23" s="3"/>
    </row>
    <row r="24" spans="1:17">
      <c r="A24" t="str">
        <f>A14</f>
        <v>General Formula using cell references and USD</v>
      </c>
      <c r="B24" s="3"/>
      <c r="C24" s="3"/>
      <c r="D24" t="s">
        <v>149</v>
      </c>
      <c r="E24" s="3">
        <f ca="1">_xll.NORM()</f>
        <v>1.6254583154967639</v>
      </c>
      <c r="F24" s="23" t="str">
        <f ca="1">_xll.VFORMULA(E24)</f>
        <v>=NORM()</v>
      </c>
      <c r="G24" s="3"/>
      <c r="H24" s="3"/>
      <c r="Q24" s="3"/>
    </row>
    <row r="25" spans="1:17">
      <c r="B25" s="3"/>
      <c r="C25" s="3"/>
      <c r="D25" s="3"/>
      <c r="E25" s="3"/>
      <c r="F25" s="3"/>
      <c r="G25" s="3"/>
      <c r="Q25" s="3"/>
    </row>
    <row r="26" spans="1:17">
      <c r="A26" s="2" t="s">
        <v>243</v>
      </c>
      <c r="B26" s="3"/>
      <c r="C26" s="3"/>
      <c r="D26" s="3"/>
      <c r="E26" s="3"/>
      <c r="F26" s="3"/>
      <c r="G26" s="3"/>
      <c r="Q26" s="3"/>
    </row>
    <row r="27" spans="1:17">
      <c r="A27" s="2" t="s">
        <v>26</v>
      </c>
      <c r="B27" s="3"/>
      <c r="C27" s="3"/>
      <c r="D27" s="3"/>
      <c r="E27" s="3"/>
      <c r="F27" s="3"/>
      <c r="G27" s="3"/>
      <c r="Q27" s="3"/>
    </row>
    <row r="28" spans="1:17">
      <c r="A28" t="s">
        <v>8</v>
      </c>
      <c r="C28" s="3">
        <v>10</v>
      </c>
      <c r="D28" s="3"/>
      <c r="E28" s="3"/>
      <c r="F28" s="3"/>
      <c r="G28" s="3"/>
      <c r="Q28" s="3"/>
    </row>
    <row r="29" spans="1:17">
      <c r="A29" t="s">
        <v>24</v>
      </c>
      <c r="C29" s="3">
        <v>3</v>
      </c>
      <c r="D29" s="3"/>
      <c r="E29" s="3"/>
      <c r="F29" s="8"/>
      <c r="G29" s="3"/>
      <c r="Q29" s="3"/>
    </row>
    <row r="30" spans="1:17">
      <c r="A30" t="s">
        <v>0</v>
      </c>
      <c r="C30" s="3">
        <v>5</v>
      </c>
      <c r="D30" s="3"/>
      <c r="E30" s="3"/>
      <c r="G30" s="3"/>
      <c r="Q30" s="3"/>
    </row>
    <row r="31" spans="1:17">
      <c r="A31" t="s">
        <v>2</v>
      </c>
      <c r="C31" s="3">
        <v>12.5</v>
      </c>
      <c r="D31" s="3"/>
      <c r="G31" s="3"/>
      <c r="Q31" s="3"/>
    </row>
    <row r="32" spans="1:17">
      <c r="A32" t="s">
        <v>167</v>
      </c>
      <c r="B32" s="3"/>
      <c r="C32" s="3">
        <f ca="1">_xll.UNIFORM()</f>
        <v>0.264923095703125</v>
      </c>
      <c r="D32" s="3"/>
      <c r="E32" s="8" t="s">
        <v>146</v>
      </c>
      <c r="F32" s="78" t="str">
        <f>F20</f>
        <v>Formula</v>
      </c>
      <c r="G32" s="3"/>
      <c r="H32" s="3"/>
      <c r="I32" s="3"/>
      <c r="Q32" s="3"/>
    </row>
    <row r="33" spans="1:17">
      <c r="A33" t="str">
        <f>A21</f>
        <v>Specific Formula using actual numbers</v>
      </c>
      <c r="B33" s="3"/>
      <c r="C33" s="3"/>
      <c r="D33" t="s">
        <v>152</v>
      </c>
      <c r="E33" s="3">
        <f ca="1">_xll.TNORM(10,3,5,12.5)</f>
        <v>8.6635803763588264</v>
      </c>
      <c r="F33" s="23" t="str">
        <f ca="1">_xll.VFORMULA(E33)</f>
        <v>=TNORM(10,3,5,12.5)</v>
      </c>
      <c r="G33" s="3"/>
      <c r="H33" s="3"/>
      <c r="I33" s="3"/>
      <c r="Q33" s="3"/>
    </row>
    <row r="34" spans="1:17">
      <c r="A34" t="str">
        <f>A22</f>
        <v>General Formula using cell references</v>
      </c>
      <c r="B34" s="3"/>
      <c r="C34" s="3"/>
      <c r="D34" t="str">
        <f>D33</f>
        <v>Tnorm Min Max</v>
      </c>
      <c r="E34" s="3">
        <f ca="1">_xll.TNORM(C28,C29,C30,C31)</f>
        <v>11.934930710001263</v>
      </c>
      <c r="F34" s="23" t="str">
        <f ca="1">_xll.VFORMULA(E34)</f>
        <v>=TNORM(C28,C29,C30,C31)</v>
      </c>
      <c r="G34" s="3"/>
      <c r="H34" s="3"/>
      <c r="I34" s="3"/>
      <c r="Q34" s="3"/>
    </row>
    <row r="35" spans="1:17">
      <c r="A35" t="str">
        <f>A23</f>
        <v>General Formula specifying the USD</v>
      </c>
      <c r="B35" s="3"/>
      <c r="C35" s="3"/>
      <c r="D35" t="str">
        <f>D34</f>
        <v>Tnorm Min Max</v>
      </c>
      <c r="E35" s="3">
        <f ca="1">_xll.TNORM(C28,C29,C30,C31,C32)</f>
        <v>7.9429006170676688</v>
      </c>
      <c r="F35" s="23" t="str">
        <f ca="1">_xll.VFORMULA(E35)</f>
        <v>=TNORM(C28,C29,C30,C31,C32)</v>
      </c>
      <c r="G35" s="3"/>
      <c r="H35" s="3"/>
      <c r="I35" s="3"/>
      <c r="Q35" s="3"/>
    </row>
    <row r="36" spans="1:17">
      <c r="B36" s="3"/>
      <c r="C36" s="3"/>
      <c r="E36" s="3"/>
      <c r="F36" s="3"/>
      <c r="G36" s="3"/>
      <c r="H36" s="3"/>
      <c r="I36" s="3"/>
      <c r="Q36" s="3"/>
    </row>
    <row r="37" spans="1:17">
      <c r="A37" s="2" t="s">
        <v>41</v>
      </c>
      <c r="B37" s="3"/>
      <c r="C37" s="3"/>
      <c r="E37" s="3"/>
      <c r="F37" s="3"/>
      <c r="G37" s="3"/>
      <c r="H37" s="3"/>
      <c r="I37" s="3"/>
      <c r="Q37" s="3"/>
    </row>
    <row r="38" spans="1:17">
      <c r="A38" t="s">
        <v>8</v>
      </c>
      <c r="C38" s="3">
        <v>10</v>
      </c>
      <c r="E38" s="3"/>
      <c r="F38" s="3"/>
      <c r="G38" s="3"/>
      <c r="H38" s="3"/>
      <c r="I38" s="3"/>
      <c r="Q38" s="3"/>
    </row>
    <row r="39" spans="1:17">
      <c r="A39" t="s">
        <v>25</v>
      </c>
      <c r="C39" s="3">
        <v>3</v>
      </c>
      <c r="E39" s="3"/>
      <c r="F39" s="3"/>
      <c r="G39" s="3"/>
      <c r="H39" s="3"/>
      <c r="I39" s="3"/>
      <c r="Q39" s="3"/>
    </row>
    <row r="40" spans="1:17">
      <c r="A40" t="s">
        <v>0</v>
      </c>
      <c r="C40" s="3">
        <v>5</v>
      </c>
      <c r="E40" s="8" t="s">
        <v>146</v>
      </c>
      <c r="F40" s="78" t="s">
        <v>121</v>
      </c>
      <c r="G40" s="3"/>
      <c r="H40" s="3"/>
      <c r="I40" s="3"/>
      <c r="Q40" s="3"/>
    </row>
    <row r="41" spans="1:17">
      <c r="A41" t="str">
        <f>A34</f>
        <v>General Formula using cell references</v>
      </c>
      <c r="C41" s="3"/>
      <c r="D41" t="s">
        <v>151</v>
      </c>
      <c r="E41" s="3">
        <f ca="1">_xll.TNORM(C38,C39,C40)</f>
        <v>8.0292873114944321</v>
      </c>
      <c r="F41" s="23" t="str">
        <f ca="1">_xll.VFORMULA(E41)</f>
        <v>=TNORM(C38,C39,C40)</v>
      </c>
      <c r="G41" s="3"/>
      <c r="H41" s="3"/>
      <c r="I41" s="3"/>
      <c r="Q41" s="3"/>
    </row>
    <row r="42" spans="1:17">
      <c r="C42" s="3"/>
      <c r="D42" s="3"/>
      <c r="E42" s="3"/>
      <c r="F42" s="8"/>
      <c r="G42" s="3"/>
      <c r="H42" s="3"/>
      <c r="I42" s="3"/>
      <c r="Q42" s="3"/>
    </row>
    <row r="43" spans="1:17">
      <c r="A43" s="2" t="s">
        <v>42</v>
      </c>
      <c r="C43" s="3"/>
      <c r="D43" s="3"/>
      <c r="E43" s="3"/>
      <c r="G43" s="3"/>
      <c r="H43" s="3"/>
      <c r="I43" s="3"/>
      <c r="Q43" s="3"/>
    </row>
    <row r="44" spans="1:17">
      <c r="A44" t="s">
        <v>8</v>
      </c>
      <c r="C44" s="3">
        <v>10</v>
      </c>
      <c r="D44" s="3"/>
      <c r="E44" s="3"/>
      <c r="G44" s="3"/>
      <c r="H44" s="3"/>
      <c r="I44" s="3"/>
      <c r="Q44" s="3"/>
    </row>
    <row r="45" spans="1:17">
      <c r="A45" t="s">
        <v>25</v>
      </c>
      <c r="C45" s="3">
        <v>3</v>
      </c>
      <c r="D45" s="3"/>
      <c r="E45" s="3"/>
      <c r="G45" s="3"/>
      <c r="H45" s="3"/>
      <c r="I45" s="3"/>
      <c r="Q45" s="3"/>
    </row>
    <row r="46" spans="1:17">
      <c r="A46" t="s">
        <v>2</v>
      </c>
      <c r="C46" s="3">
        <v>12.5</v>
      </c>
      <c r="D46" s="3"/>
      <c r="E46" s="8" t="s">
        <v>146</v>
      </c>
      <c r="F46" s="2" t="s">
        <v>121</v>
      </c>
      <c r="G46" s="3"/>
      <c r="H46" s="3"/>
      <c r="Q46" s="3"/>
    </row>
    <row r="47" spans="1:17">
      <c r="A47" t="str">
        <f>A41</f>
        <v>General Formula using cell references</v>
      </c>
      <c r="B47" s="3"/>
      <c r="C47" s="3"/>
      <c r="D47" t="s">
        <v>150</v>
      </c>
      <c r="E47" s="3">
        <f ca="1">_xll.TNORM(C44,C45,,C46)</f>
        <v>8.5537789288753636</v>
      </c>
      <c r="F47" s="23" t="str">
        <f ca="1">_xll.VFORMULA(E47)</f>
        <v>=TNORM(C44,C45,,C46)</v>
      </c>
      <c r="G47" s="3"/>
      <c r="H47" s="3"/>
      <c r="Q47" s="3"/>
    </row>
    <row r="48" spans="1:17">
      <c r="B48" s="3"/>
      <c r="C48" s="3"/>
      <c r="E48" s="3"/>
      <c r="F48" s="23"/>
      <c r="G48" s="3"/>
      <c r="H48" s="3"/>
      <c r="Q48" s="3"/>
    </row>
    <row r="49" spans="1:17">
      <c r="B49" s="3"/>
      <c r="C49" s="3"/>
      <c r="E49" s="3"/>
      <c r="F49" s="23"/>
      <c r="G49" s="3"/>
      <c r="H49" s="3"/>
      <c r="Q49" s="3"/>
    </row>
    <row r="50" spans="1:17">
      <c r="A50" s="2" t="s">
        <v>275</v>
      </c>
      <c r="F50" s="3"/>
      <c r="G50" s="3"/>
      <c r="H50" s="3"/>
      <c r="Q50" s="3"/>
    </row>
    <row r="51" spans="1:17">
      <c r="A51" s="48" t="s">
        <v>130</v>
      </c>
      <c r="C51">
        <v>10</v>
      </c>
      <c r="G51" s="3"/>
      <c r="H51" s="3"/>
      <c r="Q51" s="3"/>
    </row>
    <row r="52" spans="1:17">
      <c r="A52" s="48" t="s">
        <v>141</v>
      </c>
      <c r="C52">
        <v>2</v>
      </c>
      <c r="G52" s="3"/>
      <c r="H52" s="3"/>
      <c r="Q52" s="3"/>
    </row>
    <row r="53" spans="1:17">
      <c r="A53" s="48" t="s">
        <v>142</v>
      </c>
      <c r="C53">
        <v>3</v>
      </c>
      <c r="F53" s="3"/>
      <c r="G53" s="3"/>
      <c r="H53" s="3"/>
      <c r="Q53" s="3"/>
    </row>
    <row r="54" spans="1:17">
      <c r="A54" s="48" t="s">
        <v>165</v>
      </c>
      <c r="C54" s="36">
        <f ca="1">_xll.UNIFORM()</f>
        <v>0.569488525390625</v>
      </c>
      <c r="E54" s="2" t="str">
        <f>E244</f>
        <v>Random Value</v>
      </c>
      <c r="F54" s="2" t="str">
        <f>F244</f>
        <v>Formula</v>
      </c>
      <c r="G54" s="3"/>
      <c r="H54" s="3"/>
      <c r="Q54" s="3"/>
    </row>
    <row r="55" spans="1:17">
      <c r="A55" s="48" t="s">
        <v>238</v>
      </c>
      <c r="C55" s="3"/>
      <c r="D55" s="3" t="s">
        <v>232</v>
      </c>
      <c r="E55">
        <f ca="1">_xll.TPNORM(C51,C52,C53,C54)</f>
        <v>0</v>
      </c>
      <c r="F55" s="2" t="str">
        <f ca="1">_xll.VFORMULA(E55)</f>
        <v>=TPNORM(C51,C52,C53,C54)</v>
      </c>
      <c r="G55" s="3"/>
      <c r="H55" s="3"/>
      <c r="Q55" s="3"/>
    </row>
    <row r="56" spans="1:17">
      <c r="G56" s="3"/>
      <c r="H56" s="3"/>
      <c r="Q56" s="3"/>
    </row>
    <row r="57" spans="1:17">
      <c r="G57" s="3"/>
      <c r="H57" s="3"/>
      <c r="Q57" s="3"/>
    </row>
    <row r="58" spans="1:17">
      <c r="A58" s="2" t="s">
        <v>276</v>
      </c>
      <c r="G58" s="3"/>
      <c r="H58" s="3"/>
      <c r="Q58" s="3"/>
    </row>
    <row r="59" spans="1:17">
      <c r="A59" t="s">
        <v>10</v>
      </c>
      <c r="C59">
        <v>2</v>
      </c>
      <c r="G59" s="3"/>
      <c r="H59" s="3"/>
      <c r="Q59" s="3"/>
    </row>
    <row r="60" spans="1:17">
      <c r="A60" t="s">
        <v>132</v>
      </c>
      <c r="C60">
        <v>8</v>
      </c>
      <c r="G60" s="3"/>
      <c r="H60" s="3"/>
      <c r="Q60" s="3"/>
    </row>
    <row r="61" spans="1:17">
      <c r="A61" t="s">
        <v>11</v>
      </c>
      <c r="C61">
        <v>10</v>
      </c>
      <c r="G61" s="3"/>
      <c r="H61" s="3"/>
      <c r="I61" s="3"/>
      <c r="O61" s="2"/>
      <c r="Q61" s="3"/>
    </row>
    <row r="62" spans="1:17">
      <c r="A62" t="s">
        <v>165</v>
      </c>
      <c r="C62" s="36">
        <f ca="1">_xll.UNIFORM()</f>
        <v>0.977447509765625</v>
      </c>
      <c r="G62" s="3"/>
      <c r="H62" s="3"/>
      <c r="I62" s="3"/>
      <c r="O62" s="2"/>
      <c r="Q62" s="3"/>
    </row>
    <row r="63" spans="1:17">
      <c r="A63" t="s">
        <v>133</v>
      </c>
      <c r="C63">
        <v>2</v>
      </c>
      <c r="G63" s="3"/>
      <c r="H63" s="3"/>
      <c r="I63" s="3"/>
      <c r="O63" s="2"/>
      <c r="Q63" s="3"/>
    </row>
    <row r="64" spans="1:17">
      <c r="A64" t="s">
        <v>134</v>
      </c>
      <c r="C64">
        <v>2</v>
      </c>
      <c r="E64" s="2" t="str">
        <f>E54</f>
        <v>Random Value</v>
      </c>
      <c r="F64" s="2" t="str">
        <f>F54</f>
        <v>Formula</v>
      </c>
      <c r="G64" s="3"/>
      <c r="H64" s="3"/>
      <c r="I64" s="3"/>
      <c r="O64" s="2"/>
      <c r="Q64" s="3"/>
    </row>
    <row r="65" spans="1:17">
      <c r="A65" t="s">
        <v>233</v>
      </c>
      <c r="D65" t="s">
        <v>232</v>
      </c>
      <c r="E65">
        <f ca="1">_xll.MTPNORM(C59,C60,C61,C62,C63,C64)</f>
        <v>9.6942912188239223</v>
      </c>
      <c r="F65" s="2" t="str">
        <f ca="1">_xll.VFORMULA(E65)</f>
        <v>=MTPNORM(C59,C60,C61,C62,C63,C64)</v>
      </c>
      <c r="G65" s="3"/>
      <c r="H65" s="3"/>
      <c r="I65" s="3"/>
      <c r="O65" s="2"/>
      <c r="Q65" s="3"/>
    </row>
    <row r="66" spans="1:17">
      <c r="B66" s="3"/>
      <c r="C66" s="3"/>
      <c r="E66" s="3"/>
      <c r="F66" s="23"/>
      <c r="G66" s="3"/>
      <c r="H66" s="3"/>
      <c r="I66" s="3"/>
      <c r="O66" s="2"/>
      <c r="Q66" s="3"/>
    </row>
    <row r="67" spans="1:17">
      <c r="H67" s="3"/>
      <c r="I67" s="3"/>
      <c r="Q67" s="3"/>
    </row>
    <row r="68" spans="1:17">
      <c r="A68" s="2" t="s">
        <v>269</v>
      </c>
      <c r="B68" s="3"/>
      <c r="C68" s="3"/>
      <c r="D68" s="3"/>
      <c r="E68" s="3"/>
      <c r="F68" s="3"/>
      <c r="G68" s="3"/>
      <c r="H68" s="3"/>
      <c r="I68" s="3"/>
      <c r="Q68" s="3"/>
    </row>
    <row r="69" spans="1:17">
      <c r="A69" t="s">
        <v>165</v>
      </c>
      <c r="B69" s="3"/>
      <c r="C69" s="3">
        <f ca="1">_xll.UNIFORM()</f>
        <v>0.898651123046875</v>
      </c>
      <c r="D69" s="3"/>
      <c r="E69" s="3"/>
      <c r="F69" s="3"/>
      <c r="G69" s="3"/>
      <c r="H69" s="3"/>
      <c r="I69" s="3"/>
      <c r="Q69" s="3"/>
    </row>
    <row r="70" spans="1:17">
      <c r="A70" t="s">
        <v>82</v>
      </c>
      <c r="B70" s="3"/>
      <c r="C70" s="3">
        <v>30</v>
      </c>
      <c r="D70" s="3"/>
      <c r="E70" s="8" t="s">
        <v>154</v>
      </c>
      <c r="F70" s="8" t="s">
        <v>120</v>
      </c>
      <c r="G70" s="3"/>
      <c r="H70" s="3"/>
      <c r="I70" s="3"/>
      <c r="Q70" s="3"/>
    </row>
    <row r="71" spans="1:17">
      <c r="A71" t="s">
        <v>213</v>
      </c>
      <c r="B71" s="3"/>
      <c r="C71" s="3"/>
      <c r="D71" t="s">
        <v>291</v>
      </c>
      <c r="E71" s="3">
        <f ca="1">TINV(C69,C70)</f>
        <v>0.12844871875223185</v>
      </c>
      <c r="F71" s="23" t="str">
        <f ca="1">_xll.VFORMULA(E71)</f>
        <v>=TINV(C69,C70)</v>
      </c>
      <c r="G71" s="3"/>
      <c r="H71" s="3"/>
      <c r="I71" s="3"/>
      <c r="Q71" s="3"/>
    </row>
    <row r="72" spans="1:17">
      <c r="B72" s="3"/>
      <c r="C72" s="3"/>
      <c r="E72" s="3"/>
      <c r="F72" s="23"/>
      <c r="G72" s="3"/>
      <c r="H72" s="3"/>
      <c r="I72" s="3"/>
    </row>
    <row r="73" spans="1:17">
      <c r="B73" s="3"/>
      <c r="C73" s="3"/>
      <c r="D73" s="3"/>
      <c r="E73" s="3"/>
      <c r="F73" s="3"/>
      <c r="G73" s="3"/>
      <c r="H73" s="3"/>
      <c r="I73" s="3"/>
    </row>
    <row r="74" spans="1:17">
      <c r="A74" s="2" t="s">
        <v>270</v>
      </c>
      <c r="B74" s="3"/>
      <c r="C74" s="3"/>
      <c r="D74" s="3"/>
      <c r="E74" s="3"/>
      <c r="F74" s="3"/>
      <c r="G74" s="3"/>
      <c r="H74" s="3"/>
      <c r="I74" s="3"/>
    </row>
    <row r="75" spans="1:17">
      <c r="A75" t="s">
        <v>165</v>
      </c>
      <c r="B75" s="3"/>
      <c r="C75" s="3">
        <f ca="1">C69</f>
        <v>0.898651123046875</v>
      </c>
      <c r="D75" s="3"/>
      <c r="E75" s="3"/>
      <c r="F75" s="3"/>
      <c r="G75" s="3"/>
      <c r="H75" s="3"/>
      <c r="I75" s="3"/>
    </row>
    <row r="76" spans="1:17">
      <c r="A76" t="s">
        <v>118</v>
      </c>
      <c r="B76" s="3"/>
      <c r="C76" s="3">
        <v>2</v>
      </c>
      <c r="D76" s="3"/>
      <c r="E76" s="3"/>
      <c r="F76" s="3"/>
      <c r="G76" s="3"/>
      <c r="H76" s="3"/>
    </row>
    <row r="77" spans="1:17">
      <c r="A77" t="s">
        <v>119</v>
      </c>
      <c r="B77" s="3"/>
      <c r="C77" s="3">
        <v>22</v>
      </c>
      <c r="D77" s="3"/>
      <c r="E77" s="8" t="s">
        <v>154</v>
      </c>
      <c r="F77" s="8" t="s">
        <v>120</v>
      </c>
      <c r="G77" s="3"/>
      <c r="H77" s="3"/>
    </row>
    <row r="78" spans="1:17">
      <c r="A78" t="s">
        <v>214</v>
      </c>
      <c r="B78" s="3"/>
      <c r="C78" s="3"/>
      <c r="D78" t="s">
        <v>117</v>
      </c>
      <c r="E78" s="3">
        <f ca="1">FINV(C75,C76,C77)</f>
        <v>0.10738112892773177</v>
      </c>
      <c r="F78" s="23" t="str">
        <f ca="1">_xll.VFORMULA(E78)</f>
        <v>=FINV(C75,C76,C77)</v>
      </c>
      <c r="G78" s="3"/>
      <c r="H78" s="3"/>
    </row>
    <row r="79" spans="1:17">
      <c r="H79" s="3"/>
    </row>
    <row r="80" spans="1:17">
      <c r="H80" s="3"/>
    </row>
    <row r="81" spans="1:16">
      <c r="A81" s="2" t="s">
        <v>266</v>
      </c>
      <c r="C81" s="3"/>
      <c r="D81" s="3"/>
      <c r="E81" s="3"/>
      <c r="F81" s="8"/>
      <c r="G81" s="3"/>
      <c r="H81" s="3"/>
    </row>
    <row r="82" spans="1:16">
      <c r="A82" t="s">
        <v>8</v>
      </c>
      <c r="C82" s="3">
        <v>2.5</v>
      </c>
      <c r="D82" s="3"/>
      <c r="E82" s="3"/>
      <c r="F82" s="8"/>
      <c r="G82" s="3"/>
      <c r="H82" s="3"/>
      <c r="N82" s="3"/>
      <c r="O82" s="3"/>
      <c r="P82" s="3"/>
    </row>
    <row r="83" spans="1:16">
      <c r="A83" t="s">
        <v>165</v>
      </c>
      <c r="C83" s="3">
        <f ca="1">_xll.UNIFORM()</f>
        <v>0.53863525390625</v>
      </c>
      <c r="D83" s="3"/>
      <c r="E83" s="8" t="s">
        <v>154</v>
      </c>
      <c r="F83" s="8" t="s">
        <v>120</v>
      </c>
      <c r="G83" s="3"/>
      <c r="H83" s="3"/>
      <c r="N83" s="3"/>
      <c r="O83" s="3"/>
      <c r="P83" s="3"/>
    </row>
    <row r="84" spans="1:16">
      <c r="A84" t="s">
        <v>209</v>
      </c>
      <c r="C84" s="3"/>
      <c r="D84" t="s">
        <v>211</v>
      </c>
      <c r="E84" s="3">
        <f ca="1">CHIINV(C83,C82)</f>
        <v>1.2374332968035597</v>
      </c>
      <c r="F84" s="23" t="str">
        <f ca="1">_xll.VFORMULA(E84)</f>
        <v>=CHIINV(C83,C82)</v>
      </c>
      <c r="G84" s="3"/>
      <c r="H84" s="3"/>
    </row>
    <row r="85" spans="1:16">
      <c r="C85" s="3"/>
      <c r="E85" s="3"/>
      <c r="F85" s="23"/>
      <c r="G85" s="3"/>
      <c r="H85" s="3"/>
    </row>
    <row r="86" spans="1:16">
      <c r="H86" s="3"/>
    </row>
    <row r="87" spans="1:16">
      <c r="A87" s="2" t="s">
        <v>268</v>
      </c>
      <c r="C87" s="3"/>
      <c r="D87" s="3"/>
      <c r="E87" s="3"/>
      <c r="F87" s="3"/>
      <c r="H87" s="3"/>
    </row>
    <row r="88" spans="1:16">
      <c r="A88" t="s">
        <v>8</v>
      </c>
      <c r="C88" s="3">
        <v>0</v>
      </c>
      <c r="D88" s="3"/>
      <c r="E88" s="3"/>
      <c r="F88" s="3"/>
      <c r="H88" s="3"/>
    </row>
    <row r="89" spans="1:16">
      <c r="A89" t="s">
        <v>9</v>
      </c>
      <c r="C89" s="3">
        <v>1</v>
      </c>
      <c r="D89" s="3"/>
      <c r="E89" s="3"/>
      <c r="F89" s="3"/>
      <c r="H89" s="3"/>
    </row>
    <row r="90" spans="1:16">
      <c r="A90" t="s">
        <v>165</v>
      </c>
      <c r="C90" s="3">
        <f ca="1">_xll.UNIFORM()</f>
        <v>0.53350830078125</v>
      </c>
      <c r="D90" s="3"/>
      <c r="E90" s="8" t="s">
        <v>154</v>
      </c>
      <c r="F90" s="8" t="s">
        <v>120</v>
      </c>
      <c r="H90" s="3"/>
    </row>
    <row r="91" spans="1:16">
      <c r="A91" t="s">
        <v>221</v>
      </c>
      <c r="B91" s="3"/>
      <c r="C91" s="3"/>
      <c r="D91" t="s">
        <v>222</v>
      </c>
      <c r="E91" s="3">
        <f ca="1">LOGINV(C90,C88,C89)</f>
        <v>1.0877288053379204</v>
      </c>
      <c r="F91" s="23" t="str">
        <f ca="1">_xll.VFORMULA(E91)</f>
        <v>=LOGINV(C90,C88,C89)</v>
      </c>
      <c r="H91" s="3"/>
      <c r="I91" s="3"/>
    </row>
    <row r="92" spans="1:16">
      <c r="B92" s="3"/>
      <c r="C92" s="3"/>
      <c r="E92" s="3"/>
      <c r="F92" s="23"/>
      <c r="H92" s="3"/>
      <c r="I92" s="3"/>
    </row>
    <row r="93" spans="1:16">
      <c r="H93" s="3"/>
      <c r="I93" s="3"/>
    </row>
    <row r="94" spans="1:16">
      <c r="A94" s="2" t="s">
        <v>278</v>
      </c>
      <c r="G94" s="3"/>
      <c r="H94" s="3"/>
      <c r="I94" s="3"/>
    </row>
    <row r="95" spans="1:16">
      <c r="A95" t="s">
        <v>130</v>
      </c>
      <c r="C95">
        <v>10</v>
      </c>
      <c r="G95" s="3"/>
      <c r="H95" s="3"/>
      <c r="I95" s="3"/>
    </row>
    <row r="96" spans="1:16">
      <c r="A96" t="s">
        <v>61</v>
      </c>
      <c r="C96">
        <v>2</v>
      </c>
      <c r="G96" s="3"/>
      <c r="H96" s="3"/>
      <c r="I96" s="3"/>
    </row>
    <row r="97" spans="1:9">
      <c r="A97" t="s">
        <v>140</v>
      </c>
      <c r="C97">
        <v>0.5</v>
      </c>
      <c r="F97" s="3"/>
      <c r="G97" s="3"/>
      <c r="H97" s="3"/>
      <c r="I97" s="3"/>
    </row>
    <row r="98" spans="1:9">
      <c r="A98" t="s">
        <v>165</v>
      </c>
      <c r="C98">
        <f ca="1">C294</f>
        <v>0.977447509765625</v>
      </c>
      <c r="E98" s="2" t="s">
        <v>95</v>
      </c>
      <c r="F98" s="2" t="s">
        <v>121</v>
      </c>
      <c r="G98" s="3"/>
      <c r="H98" s="3"/>
      <c r="I98" s="3"/>
    </row>
    <row r="99" spans="1:9">
      <c r="A99" t="s">
        <v>235</v>
      </c>
      <c r="D99" t="s">
        <v>234</v>
      </c>
      <c r="E99" s="5">
        <f ca="1">_xll.PNORM(C95,C96,C97,C98)</f>
        <v>16.571435034695323</v>
      </c>
      <c r="F99" s="2" t="str">
        <f ca="1">_xll.VFORMULA(E99)</f>
        <v>=PNORM(C95,C96,C97,C98)</v>
      </c>
      <c r="G99" s="3"/>
      <c r="H99" s="3"/>
      <c r="I99" s="3"/>
    </row>
    <row r="100" spans="1:9">
      <c r="E100" s="5"/>
      <c r="F100" s="2"/>
      <c r="G100" s="3"/>
      <c r="H100" s="3"/>
      <c r="I100" s="3"/>
    </row>
    <row r="101" spans="1:9">
      <c r="E101" s="5"/>
      <c r="F101" s="2"/>
      <c r="G101" s="3"/>
      <c r="H101" s="3"/>
      <c r="I101" s="3"/>
    </row>
    <row r="102" spans="1:9">
      <c r="A102" s="2" t="s">
        <v>272</v>
      </c>
      <c r="E102" s="5"/>
      <c r="F102" s="2"/>
      <c r="G102" s="3"/>
      <c r="H102" s="3"/>
      <c r="I102" s="3"/>
    </row>
    <row r="103" spans="1:9">
      <c r="A103" t="s">
        <v>130</v>
      </c>
      <c r="C103">
        <v>10</v>
      </c>
      <c r="E103" s="5"/>
      <c r="F103" s="2"/>
      <c r="G103" s="3"/>
      <c r="H103" s="3"/>
      <c r="I103" s="3"/>
    </row>
    <row r="104" spans="1:9">
      <c r="A104" t="s">
        <v>61</v>
      </c>
      <c r="C104">
        <v>2</v>
      </c>
      <c r="E104" s="5"/>
      <c r="F104" s="2"/>
      <c r="G104" s="3"/>
      <c r="H104" s="3"/>
      <c r="I104" s="3"/>
    </row>
    <row r="105" spans="1:9">
      <c r="A105" t="s">
        <v>15</v>
      </c>
      <c r="C105">
        <f ca="1">_xll.UNIFORM()</f>
        <v>4.0618896484375E-2</v>
      </c>
      <c r="E105" s="5"/>
      <c r="F105" s="2"/>
      <c r="G105" s="3"/>
      <c r="H105" s="3"/>
      <c r="I105" s="3"/>
    </row>
    <row r="106" spans="1:9">
      <c r="A106" t="s">
        <v>128</v>
      </c>
      <c r="C106">
        <v>1000</v>
      </c>
      <c r="G106" s="3"/>
      <c r="H106" s="3"/>
      <c r="I106" s="3"/>
    </row>
    <row r="107" spans="1:9">
      <c r="A107" t="s">
        <v>129</v>
      </c>
      <c r="C107">
        <v>1.0000000000000001E-5</v>
      </c>
      <c r="E107" s="87" t="s">
        <v>95</v>
      </c>
      <c r="F107" s="2" t="s">
        <v>121</v>
      </c>
      <c r="G107" s="3"/>
      <c r="H107" s="3"/>
      <c r="I107" s="3"/>
    </row>
    <row r="108" spans="1:9">
      <c r="A108" t="s">
        <v>294</v>
      </c>
      <c r="D108" t="s">
        <v>292</v>
      </c>
      <c r="E108" s="5">
        <f ca="1">_xll.INVGAUS(C103,C104,C105,C106,C107)</f>
        <v>5.9043665540823409E-2</v>
      </c>
      <c r="F108" s="2" t="str">
        <f ca="1">_xll.VFORMULA(E108)</f>
        <v>=INVGAUS(C103,C104,C105,C106,C107)</v>
      </c>
      <c r="G108" s="3"/>
      <c r="H108" s="3"/>
      <c r="I108" s="3"/>
    </row>
    <row r="109" spans="1:9">
      <c r="E109" s="5"/>
      <c r="F109" s="2"/>
      <c r="G109" s="3"/>
      <c r="H109" s="3"/>
      <c r="I109" s="3"/>
    </row>
    <row r="110" spans="1:9">
      <c r="E110" s="5"/>
      <c r="F110" s="2"/>
      <c r="G110" s="3"/>
      <c r="H110" s="3"/>
      <c r="I110" s="3"/>
    </row>
    <row r="111" spans="1:9">
      <c r="A111" s="2" t="s">
        <v>267</v>
      </c>
      <c r="C111" s="3"/>
      <c r="D111" s="3"/>
      <c r="E111" s="3"/>
      <c r="F111" s="8"/>
      <c r="G111" s="3"/>
      <c r="H111" s="3"/>
      <c r="I111" s="3"/>
    </row>
    <row r="112" spans="1:9">
      <c r="A112" t="s">
        <v>37</v>
      </c>
      <c r="C112" s="3">
        <v>3</v>
      </c>
      <c r="D112" s="3"/>
      <c r="E112" s="3"/>
      <c r="F112" s="8"/>
      <c r="G112" s="3"/>
      <c r="H112" s="3"/>
      <c r="I112" s="3"/>
    </row>
    <row r="113" spans="1:9">
      <c r="A113" t="s">
        <v>12</v>
      </c>
      <c r="C113" s="3">
        <v>1</v>
      </c>
      <c r="D113" s="3"/>
      <c r="E113" s="3"/>
      <c r="F113" s="8"/>
      <c r="G113" s="3"/>
      <c r="H113" s="3"/>
      <c r="I113" s="3"/>
    </row>
    <row r="114" spans="1:9">
      <c r="A114" t="s">
        <v>165</v>
      </c>
      <c r="C114" s="3">
        <f ca="1">_xll.UNIFORM()</f>
        <v>0.15191650390625</v>
      </c>
      <c r="D114" s="3"/>
      <c r="E114" s="8" t="s">
        <v>154</v>
      </c>
      <c r="F114" s="8" t="s">
        <v>120</v>
      </c>
      <c r="G114" s="3"/>
      <c r="H114" s="3"/>
      <c r="I114" s="3"/>
    </row>
    <row r="115" spans="1:9">
      <c r="A115" t="s">
        <v>210</v>
      </c>
      <c r="C115" s="3"/>
      <c r="D115" t="s">
        <v>212</v>
      </c>
      <c r="E115" s="3">
        <f ca="1">GAMMAINV(C114,C112,C113)</f>
        <v>1.3388103440789818</v>
      </c>
      <c r="F115" s="23" t="str">
        <f ca="1">_xll.VFORMULA(E115)</f>
        <v>=GAMMAINV(C114,C112,C113)</v>
      </c>
      <c r="G115" s="3"/>
      <c r="H115" s="3"/>
      <c r="I115" s="3"/>
    </row>
    <row r="116" spans="1:9">
      <c r="H116" s="3"/>
      <c r="I116" s="3"/>
    </row>
    <row r="117" spans="1:9">
      <c r="H117" s="3"/>
      <c r="I117" s="3"/>
    </row>
    <row r="118" spans="1:9">
      <c r="A118" s="2" t="s">
        <v>293</v>
      </c>
      <c r="H118" s="3"/>
      <c r="I118" s="3"/>
    </row>
    <row r="119" spans="1:9">
      <c r="A119" t="s">
        <v>37</v>
      </c>
      <c r="C119">
        <v>3</v>
      </c>
      <c r="H119" s="3"/>
      <c r="I119" s="3"/>
    </row>
    <row r="120" spans="1:9">
      <c r="A120" t="s">
        <v>12</v>
      </c>
      <c r="C120">
        <v>1</v>
      </c>
      <c r="H120" s="3"/>
      <c r="I120" s="3"/>
    </row>
    <row r="121" spans="1:9">
      <c r="A121" t="s">
        <v>0</v>
      </c>
      <c r="C121">
        <v>0.5</v>
      </c>
      <c r="H121" s="3"/>
      <c r="I121" s="3"/>
    </row>
    <row r="122" spans="1:9">
      <c r="A122" t="s">
        <v>2</v>
      </c>
      <c r="C122">
        <v>5</v>
      </c>
      <c r="H122" s="3"/>
      <c r="I122" s="3"/>
    </row>
    <row r="123" spans="1:9">
      <c r="A123" t="s">
        <v>165</v>
      </c>
      <c r="C123">
        <f ca="1">_xll.UNIFORM()</f>
        <v>0.1092529296875</v>
      </c>
      <c r="E123" s="8" t="s">
        <v>154</v>
      </c>
      <c r="F123" s="8" t="s">
        <v>120</v>
      </c>
      <c r="H123" s="3"/>
      <c r="I123" s="3"/>
    </row>
    <row r="124" spans="1:9">
      <c r="A124" t="s">
        <v>295</v>
      </c>
      <c r="D124" t="s">
        <v>296</v>
      </c>
      <c r="E124">
        <f ca="1">_xll.TGAMMAINV(C119,C120,C121,C122,C123)</f>
        <v>1.1432739235534055</v>
      </c>
      <c r="F124" s="23" t="str">
        <f ca="1">_xll.VFORMULA(E124)</f>
        <v>=TGAMMAINV(C119,C120,C121,C122,C123)</v>
      </c>
      <c r="H124" s="3"/>
      <c r="I124" s="3"/>
    </row>
    <row r="125" spans="1:9">
      <c r="H125" s="3"/>
      <c r="I125" s="3"/>
    </row>
    <row r="126" spans="1:9">
      <c r="H126" s="3"/>
      <c r="I126" s="3"/>
    </row>
    <row r="127" spans="1:9">
      <c r="A127" s="2" t="s">
        <v>251</v>
      </c>
      <c r="B127" s="3"/>
      <c r="C127" s="3"/>
      <c r="D127" s="3"/>
      <c r="F127" s="8"/>
      <c r="G127" s="3"/>
      <c r="H127" s="3"/>
      <c r="I127" s="3"/>
    </row>
    <row r="128" spans="1:9">
      <c r="A128" t="s">
        <v>180</v>
      </c>
      <c r="B128" s="3"/>
      <c r="C128" s="3">
        <v>2</v>
      </c>
      <c r="D128" s="3"/>
      <c r="G128" s="3"/>
      <c r="H128" s="3"/>
      <c r="I128" s="3"/>
    </row>
    <row r="129" spans="1:13">
      <c r="A129" t="s">
        <v>165</v>
      </c>
      <c r="B129" s="3"/>
      <c r="C129" s="3">
        <f ca="1">_xll.UNIFORM()</f>
        <v>0.756195068359375</v>
      </c>
      <c r="D129" s="3"/>
      <c r="E129" s="8" t="str">
        <f>E170</f>
        <v>Random Nos.</v>
      </c>
      <c r="F129" s="8" t="str">
        <f>F170</f>
        <v>Formulas</v>
      </c>
      <c r="G129" s="3"/>
      <c r="H129" s="3"/>
      <c r="I129" s="3"/>
    </row>
    <row r="130" spans="1:13">
      <c r="A130" t="s">
        <v>179</v>
      </c>
      <c r="B130" s="3"/>
      <c r="C130" s="3"/>
      <c r="D130" t="s">
        <v>178</v>
      </c>
      <c r="E130" s="3">
        <f ca="1">_xll.EXPONINV(C128)</f>
        <v>0.68483276354377298</v>
      </c>
      <c r="F130" s="8" t="str">
        <f ca="1">_xll.VFORMULA(E130)</f>
        <v>=EXPONINV(C128)</v>
      </c>
      <c r="G130" s="3"/>
      <c r="H130" s="3"/>
      <c r="I130" s="3"/>
    </row>
    <row r="131" spans="1:13">
      <c r="A131" t="s">
        <v>199</v>
      </c>
      <c r="B131" s="3"/>
      <c r="C131" s="3"/>
      <c r="D131" t="s">
        <v>178</v>
      </c>
      <c r="E131" s="3">
        <f ca="1">_xll.EXPONINV(C128,C129)</f>
        <v>2.8227736678342752</v>
      </c>
      <c r="F131" s="8" t="str">
        <f ca="1">_xll.VFORMULA(E131)</f>
        <v>=EXPONINV(C128,C129)</v>
      </c>
      <c r="G131" s="3"/>
      <c r="H131" s="3"/>
      <c r="I131" s="3"/>
    </row>
    <row r="132" spans="1:13">
      <c r="B132" s="3"/>
      <c r="C132" s="3"/>
      <c r="D132" s="3"/>
      <c r="F132" s="8"/>
      <c r="G132" s="3"/>
      <c r="H132" s="3"/>
      <c r="I132" s="3"/>
    </row>
    <row r="133" spans="1:13">
      <c r="B133" s="3"/>
      <c r="C133" s="3"/>
      <c r="D133" s="3"/>
      <c r="F133" s="8"/>
      <c r="G133" s="3"/>
      <c r="H133" s="3"/>
      <c r="I133" s="3"/>
    </row>
    <row r="134" spans="1:13">
      <c r="A134" s="2" t="s">
        <v>252</v>
      </c>
      <c r="B134" s="3"/>
      <c r="C134" s="3"/>
      <c r="D134" s="3"/>
      <c r="F134" s="8"/>
      <c r="G134" s="3"/>
      <c r="H134" s="3"/>
      <c r="I134" s="3"/>
    </row>
    <row r="135" spans="1:13">
      <c r="A135" t="s">
        <v>181</v>
      </c>
      <c r="B135" s="3"/>
      <c r="C135" s="3">
        <v>2</v>
      </c>
      <c r="D135" s="3"/>
      <c r="F135" s="8"/>
      <c r="G135" s="3"/>
      <c r="H135" s="3"/>
      <c r="I135" s="3"/>
    </row>
    <row r="136" spans="1:13">
      <c r="A136" t="s">
        <v>165</v>
      </c>
      <c r="B136" s="3"/>
      <c r="C136" s="3">
        <f ca="1">_xll.UNIFORM()</f>
        <v>8.1451416015625E-2</v>
      </c>
      <c r="D136" s="3"/>
      <c r="E136" s="8" t="str">
        <f>E129</f>
        <v>Random Nos.</v>
      </c>
      <c r="F136" s="8" t="str">
        <f>F129</f>
        <v>Formulas</v>
      </c>
      <c r="G136" s="3"/>
      <c r="H136" s="3"/>
      <c r="I136" s="3"/>
    </row>
    <row r="137" spans="1:13">
      <c r="A137" t="s">
        <v>200</v>
      </c>
      <c r="B137" s="3"/>
      <c r="C137" s="3"/>
      <c r="D137" t="s">
        <v>182</v>
      </c>
      <c r="E137" s="3">
        <f ca="1">_xll.DEXPONINV(C135)</f>
        <v>2.922198038280289</v>
      </c>
      <c r="F137" s="8" t="str">
        <f ca="1">_xll.VFORMULA(E137)</f>
        <v>=DEXPONINV(C135)</v>
      </c>
      <c r="G137" s="3"/>
      <c r="H137" s="3"/>
      <c r="I137" s="3"/>
    </row>
    <row r="138" spans="1:13">
      <c r="A138" t="s">
        <v>201</v>
      </c>
      <c r="B138" s="3"/>
      <c r="C138" s="3"/>
      <c r="D138" t="s">
        <v>182</v>
      </c>
      <c r="E138" s="3">
        <f ca="1">_xll.DEXPONINV(C135,C136)</f>
        <v>1.8652797566210875</v>
      </c>
      <c r="F138" s="8" t="str">
        <f ca="1">_xll.VFORMULA(E138)</f>
        <v>=DEXPONINV(C135,C136)</v>
      </c>
      <c r="G138" s="3"/>
      <c r="H138" s="3"/>
      <c r="I138" s="3"/>
    </row>
    <row r="139" spans="1:13">
      <c r="B139" s="3"/>
      <c r="C139" s="3"/>
      <c r="G139" s="3"/>
      <c r="H139" s="3"/>
      <c r="I139" s="3"/>
    </row>
    <row r="140" spans="1:13">
      <c r="B140" s="3"/>
      <c r="C140" s="3"/>
      <c r="D140" s="3"/>
      <c r="F140" s="8"/>
      <c r="G140" s="3"/>
      <c r="H140" s="3"/>
      <c r="I140" s="3"/>
    </row>
    <row r="141" spans="1:13">
      <c r="A141" s="2" t="s">
        <v>254</v>
      </c>
      <c r="B141" s="3"/>
      <c r="C141" s="3"/>
      <c r="D141" s="3"/>
      <c r="F141" s="8"/>
      <c r="G141" s="3"/>
      <c r="H141" s="3"/>
      <c r="I141" s="3"/>
    </row>
    <row r="142" spans="1:13">
      <c r="A142" t="s">
        <v>70</v>
      </c>
      <c r="B142" s="3"/>
      <c r="C142" s="3">
        <v>1</v>
      </c>
      <c r="D142" s="3"/>
      <c r="F142" s="8"/>
      <c r="G142" s="3"/>
      <c r="H142" s="3"/>
      <c r="I142" s="3"/>
    </row>
    <row r="143" spans="1:13">
      <c r="A143" t="s">
        <v>77</v>
      </c>
      <c r="B143" s="3"/>
      <c r="C143" s="3">
        <v>35</v>
      </c>
      <c r="D143" s="3"/>
      <c r="F143" s="8"/>
      <c r="G143" s="3"/>
      <c r="H143" s="3"/>
      <c r="I143" s="3"/>
    </row>
    <row r="144" spans="1:13">
      <c r="A144" t="s">
        <v>165</v>
      </c>
      <c r="B144" s="3"/>
      <c r="C144" s="3">
        <f ca="1">_xll.UNIFORM()</f>
        <v>0.250762939453125</v>
      </c>
      <c r="D144" s="3"/>
      <c r="E144" s="8" t="str">
        <f>E192</f>
        <v>Random Nos.</v>
      </c>
      <c r="F144" s="8" t="str">
        <f>F192</f>
        <v>Formulas</v>
      </c>
      <c r="G144" s="3"/>
      <c r="H144" s="3"/>
      <c r="I144" s="3"/>
      <c r="J144" s="3"/>
      <c r="K144" s="3"/>
      <c r="L144" s="3"/>
      <c r="M144" s="3"/>
    </row>
    <row r="145" spans="1:13">
      <c r="A145" t="s">
        <v>78</v>
      </c>
      <c r="B145" s="3"/>
      <c r="C145" s="3"/>
      <c r="D145" t="s">
        <v>184</v>
      </c>
      <c r="E145" s="3">
        <f ca="1">_xll.WEIBINV(C142,C143)</f>
        <v>3.7662721694745747</v>
      </c>
      <c r="F145" s="8" t="str">
        <f ca="1">_xll.VFORMULA(E145)</f>
        <v>=WEIBINV(C142,C143)</v>
      </c>
      <c r="G145" s="3"/>
      <c r="H145" s="3"/>
      <c r="I145" s="3"/>
      <c r="J145" s="3"/>
      <c r="K145" s="3"/>
      <c r="L145" s="3"/>
      <c r="M145" s="3"/>
    </row>
    <row r="146" spans="1:13">
      <c r="A146" t="s">
        <v>203</v>
      </c>
      <c r="B146" s="3"/>
      <c r="C146" s="3"/>
      <c r="D146" t="s">
        <v>184</v>
      </c>
      <c r="E146" s="3">
        <f ca="1">_xll.WEIBINV(C142,C143,C144)</f>
        <v>10.104494498298589</v>
      </c>
      <c r="F146" s="8" t="str">
        <f ca="1">_xll.VFORMULA(E146)</f>
        <v>=WEIBINV(C142,C143,C144)</v>
      </c>
      <c r="G146" s="3"/>
      <c r="H146" s="3"/>
      <c r="I146" s="3"/>
      <c r="J146" s="3"/>
      <c r="K146" s="3"/>
      <c r="L146" s="3"/>
      <c r="M146" s="3"/>
    </row>
    <row r="147" spans="1:13">
      <c r="H147" s="3"/>
      <c r="I147" s="3"/>
      <c r="J147" s="3"/>
      <c r="K147" s="3"/>
      <c r="L147" s="3"/>
      <c r="M147" s="3"/>
    </row>
    <row r="148" spans="1:13">
      <c r="H148" s="3"/>
      <c r="I148" s="3"/>
      <c r="J148" s="3"/>
      <c r="K148" s="3"/>
      <c r="L148" s="3"/>
      <c r="M148" s="3"/>
    </row>
    <row r="149" spans="1:13">
      <c r="A149" s="2" t="s">
        <v>297</v>
      </c>
      <c r="B149" s="3"/>
      <c r="C149" s="3"/>
      <c r="D149" s="3"/>
      <c r="F149" s="8"/>
      <c r="H149" s="3"/>
      <c r="I149" s="3"/>
      <c r="J149" s="3"/>
      <c r="K149" s="3"/>
      <c r="L149" s="3"/>
      <c r="M149" s="3"/>
    </row>
    <row r="150" spans="1:13">
      <c r="A150" t="s">
        <v>70</v>
      </c>
      <c r="B150" s="3"/>
      <c r="C150" s="3">
        <v>1</v>
      </c>
      <c r="D150" s="3"/>
      <c r="F150" s="8"/>
      <c r="H150" s="3"/>
      <c r="I150" s="3"/>
      <c r="J150" s="3"/>
      <c r="K150" s="3"/>
      <c r="L150" s="3"/>
      <c r="M150" s="3"/>
    </row>
    <row r="151" spans="1:13">
      <c r="A151" t="s">
        <v>77</v>
      </c>
      <c r="B151" s="3"/>
      <c r="C151" s="3">
        <v>35</v>
      </c>
      <c r="D151" s="3"/>
      <c r="F151" s="8"/>
      <c r="H151" s="3"/>
      <c r="I151" s="3"/>
      <c r="J151" s="3"/>
      <c r="K151" s="3"/>
      <c r="L151" s="3"/>
      <c r="M151" s="3"/>
    </row>
    <row r="152" spans="1:13">
      <c r="A152" t="s">
        <v>0</v>
      </c>
      <c r="B152" s="3"/>
      <c r="C152" s="3">
        <v>10</v>
      </c>
      <c r="D152" s="3"/>
      <c r="F152" s="8"/>
      <c r="H152" s="3"/>
      <c r="I152" s="3"/>
      <c r="J152" s="3"/>
      <c r="K152" s="3"/>
      <c r="L152" s="3"/>
      <c r="M152" s="3"/>
    </row>
    <row r="153" spans="1:13">
      <c r="A153" t="s">
        <v>2</v>
      </c>
      <c r="B153" s="3"/>
      <c r="C153" s="3">
        <v>50</v>
      </c>
      <c r="D153" s="3"/>
      <c r="F153" s="8"/>
      <c r="H153" s="3"/>
      <c r="I153" s="3"/>
      <c r="J153" s="3"/>
      <c r="K153" s="3"/>
      <c r="L153" s="3"/>
      <c r="M153" s="3"/>
    </row>
    <row r="154" spans="1:13">
      <c r="A154" t="s">
        <v>165</v>
      </c>
      <c r="B154" s="3"/>
      <c r="C154" s="3">
        <f ca="1">_xll.UNIFORM()</f>
        <v>9.70458984375E-3</v>
      </c>
      <c r="D154" s="3"/>
      <c r="E154" s="8" t="str">
        <f>E200</f>
        <v>Random Nos.</v>
      </c>
      <c r="F154" s="8" t="str">
        <f>F200</f>
        <v>Formulas</v>
      </c>
      <c r="H154" s="3"/>
      <c r="I154" s="3"/>
      <c r="J154" s="3"/>
      <c r="K154" s="3"/>
      <c r="L154" s="3"/>
      <c r="M154" s="3"/>
    </row>
    <row r="155" spans="1:13">
      <c r="A155" t="s">
        <v>298</v>
      </c>
      <c r="B155" s="3"/>
      <c r="C155" s="3"/>
      <c r="D155" t="s">
        <v>300</v>
      </c>
      <c r="E155" s="3">
        <f ca="1">_xll.TWEIBINV(C150,C151,C152,C153)</f>
        <v>21.022913561308041</v>
      </c>
      <c r="F155" s="8" t="str">
        <f ca="1">_xll.VFORMULA(E155)</f>
        <v>=TWEIBINV(C150,C151,C152,C153)</v>
      </c>
      <c r="H155" s="3"/>
      <c r="I155" s="3"/>
      <c r="J155" s="3"/>
      <c r="K155" s="3"/>
      <c r="L155" s="3"/>
      <c r="M155" s="3"/>
    </row>
    <row r="156" spans="1:13">
      <c r="A156" t="s">
        <v>299</v>
      </c>
      <c r="B156" s="3"/>
      <c r="C156" s="3"/>
      <c r="D156" t="s">
        <v>300</v>
      </c>
      <c r="E156" s="3">
        <f ca="1">_xll.TWEIBINV(C150,C151,C152,C153,C154)</f>
        <v>10.232108573361879</v>
      </c>
      <c r="F156" s="8" t="str">
        <f ca="1">_xll.VFORMULA(E156)</f>
        <v>=TWEIBINV(C150,C151,C152,C153,C154)</v>
      </c>
      <c r="H156" s="3"/>
      <c r="I156" s="3"/>
      <c r="J156" s="3"/>
      <c r="K156" s="3"/>
      <c r="L156" s="3"/>
      <c r="M156" s="3"/>
    </row>
    <row r="157" spans="1:13">
      <c r="H157" s="3"/>
      <c r="I157" s="3"/>
      <c r="J157" s="3"/>
      <c r="K157" s="3"/>
      <c r="L157" s="3"/>
      <c r="M157" s="3"/>
    </row>
    <row r="158" spans="1:13">
      <c r="F158" s="3"/>
      <c r="G158" s="3"/>
      <c r="H158" s="3"/>
      <c r="I158" s="3"/>
      <c r="J158" s="3"/>
      <c r="K158" s="3"/>
      <c r="L158" s="3"/>
      <c r="M158" s="3"/>
    </row>
    <row r="159" spans="1:13">
      <c r="A159" s="2" t="s">
        <v>248</v>
      </c>
      <c r="B159" s="3"/>
      <c r="C159" s="3"/>
      <c r="F159" s="8"/>
      <c r="G159" s="3"/>
      <c r="H159" s="3"/>
      <c r="I159" s="3"/>
      <c r="J159" s="3"/>
      <c r="K159" s="3"/>
      <c r="L159" s="3"/>
      <c r="M159" s="3"/>
    </row>
    <row r="160" spans="1:13">
      <c r="A160" t="s">
        <v>60</v>
      </c>
      <c r="B160" s="3"/>
      <c r="C160" s="3">
        <v>10</v>
      </c>
      <c r="F160" s="8"/>
      <c r="G160" s="3"/>
      <c r="H160" s="3"/>
      <c r="I160" s="3"/>
      <c r="J160" s="3"/>
      <c r="K160" s="3"/>
      <c r="L160" s="3"/>
      <c r="M160" s="3"/>
    </row>
    <row r="161" spans="1:15">
      <c r="A161" t="s">
        <v>61</v>
      </c>
      <c r="B161" s="3"/>
      <c r="C161" s="3">
        <v>1</v>
      </c>
      <c r="F161" s="8"/>
      <c r="G161" s="3"/>
      <c r="H161" s="3"/>
      <c r="I161" s="3"/>
      <c r="J161" s="3"/>
      <c r="K161" s="3"/>
      <c r="L161" s="3"/>
      <c r="M161" s="3"/>
    </row>
    <row r="162" spans="1:15">
      <c r="A162" t="s">
        <v>165</v>
      </c>
      <c r="B162" s="3"/>
      <c r="C162" s="3">
        <f ca="1">_xll.UNIFORM()</f>
        <v>0.111572265625</v>
      </c>
      <c r="E162" s="8" t="str">
        <f>E225</f>
        <v>Random Nos.</v>
      </c>
      <c r="F162" s="8" t="str">
        <f>F225</f>
        <v>Formulas</v>
      </c>
      <c r="G162" s="3"/>
      <c r="H162" s="3"/>
      <c r="I162" s="3"/>
      <c r="J162" s="3"/>
      <c r="K162" s="3"/>
      <c r="L162" s="3"/>
      <c r="M162" s="3"/>
    </row>
    <row r="163" spans="1:15">
      <c r="A163" t="s">
        <v>62</v>
      </c>
      <c r="B163" s="3"/>
      <c r="D163" t="s">
        <v>62</v>
      </c>
      <c r="E163" s="3">
        <f ca="1">_xll.CAUCHY(C160,C161)</f>
        <v>10.415674518215457</v>
      </c>
      <c r="F163" s="8" t="str">
        <f ca="1">_xll.VFORMULA(E163)</f>
        <v>=CAUCHY(C160,C161)</v>
      </c>
      <c r="G163" s="3"/>
      <c r="H163" s="3"/>
      <c r="I163" s="3"/>
      <c r="J163" s="3"/>
      <c r="K163" s="3"/>
      <c r="L163" s="3"/>
      <c r="M163" s="3"/>
    </row>
    <row r="164" spans="1:15">
      <c r="A164" t="s">
        <v>195</v>
      </c>
      <c r="B164" s="3"/>
      <c r="D164" t="s">
        <v>62</v>
      </c>
      <c r="E164" s="3">
        <f ca="1">_xll.CAUCHY(C160,C161,C162)</f>
        <v>7.2648584004601666</v>
      </c>
      <c r="F164" s="8" t="str">
        <f ca="1">_xll.VFORMULA(E164)</f>
        <v>=CAUCHY(C160,C161,C162)</v>
      </c>
      <c r="G164" s="3"/>
      <c r="H164" s="3"/>
      <c r="I164" s="3"/>
      <c r="J164" s="3"/>
      <c r="K164" s="3"/>
      <c r="L164" s="3"/>
      <c r="M164" s="3"/>
    </row>
    <row r="165" spans="1:15">
      <c r="B165" s="3"/>
      <c r="C165" s="3"/>
      <c r="D165" s="3"/>
      <c r="F165" s="8"/>
      <c r="G165" s="3"/>
      <c r="H165" s="3"/>
      <c r="I165" s="3"/>
      <c r="J165" s="3"/>
      <c r="K165" s="3"/>
      <c r="L165" s="3"/>
      <c r="M165" s="3"/>
    </row>
    <row r="166" spans="1:15">
      <c r="B166" s="3"/>
      <c r="C166" s="3"/>
      <c r="D166" s="3"/>
      <c r="F166" s="8"/>
      <c r="G166" s="3"/>
      <c r="H166" s="3"/>
      <c r="I166" s="3"/>
      <c r="J166" s="2"/>
    </row>
    <row r="167" spans="1:15">
      <c r="A167" s="2" t="s">
        <v>250</v>
      </c>
      <c r="B167" s="3"/>
      <c r="C167" s="3"/>
      <c r="D167" s="3"/>
      <c r="F167" s="8"/>
      <c r="G167" s="3"/>
      <c r="H167" s="3"/>
      <c r="I167" s="3"/>
    </row>
    <row r="168" spans="1:15">
      <c r="A168" t="s">
        <v>72</v>
      </c>
      <c r="B168" s="3"/>
      <c r="C168" s="3">
        <v>1</v>
      </c>
      <c r="D168" s="3"/>
      <c r="F168" s="8"/>
      <c r="G168" s="3"/>
      <c r="H168" s="3"/>
      <c r="I168" s="3"/>
    </row>
    <row r="169" spans="1:15">
      <c r="A169" t="s">
        <v>61</v>
      </c>
      <c r="B169" s="3"/>
      <c r="C169" s="3">
        <v>0.3</v>
      </c>
      <c r="D169" s="3"/>
      <c r="G169" s="3"/>
      <c r="H169" s="3"/>
      <c r="I169" s="3"/>
      <c r="N169" s="2"/>
      <c r="O169" s="2"/>
    </row>
    <row r="170" spans="1:15">
      <c r="A170" t="s">
        <v>165</v>
      </c>
      <c r="B170" s="3"/>
      <c r="C170" s="3">
        <f ca="1">_xll.UNIFORM()</f>
        <v>0.99847412109375</v>
      </c>
      <c r="D170" s="3"/>
      <c r="E170" s="8" t="s">
        <v>154</v>
      </c>
      <c r="F170" s="8" t="s">
        <v>120</v>
      </c>
      <c r="G170" s="3"/>
      <c r="H170" s="3"/>
      <c r="I170" s="3"/>
      <c r="N170" s="2"/>
      <c r="O170" s="2"/>
    </row>
    <row r="171" spans="1:15">
      <c r="A171" t="s">
        <v>73</v>
      </c>
      <c r="B171" s="3"/>
      <c r="C171" s="3"/>
      <c r="D171" t="s">
        <v>177</v>
      </c>
      <c r="E171" s="3">
        <f ca="1">_xll.LOGISTICINV(C168,C169)</f>
        <v>0.55654002038058525</v>
      </c>
      <c r="F171" s="8" t="str">
        <f ca="1">_xll.VFORMULA(E171)</f>
        <v>=LOGISTICINV(C168,C169)</v>
      </c>
      <c r="G171" s="3"/>
      <c r="H171" s="3"/>
      <c r="I171" s="3"/>
    </row>
    <row r="172" spans="1:15">
      <c r="A172" t="s">
        <v>198</v>
      </c>
      <c r="B172" s="3"/>
      <c r="C172" s="3"/>
      <c r="D172" t="s">
        <v>177</v>
      </c>
      <c r="E172" s="3">
        <f ca="1">_xll.LOGISTICINV(C168,C169,C170)</f>
        <v>2.9450972976178074</v>
      </c>
      <c r="F172" s="8" t="str">
        <f ca="1">_xll.VFORMULA(E172)</f>
        <v>=LOGISTICINV(C168,C169,C170)</v>
      </c>
      <c r="G172" s="3"/>
      <c r="H172" s="3"/>
      <c r="I172" s="3"/>
    </row>
    <row r="173" spans="1:15">
      <c r="B173" s="3"/>
      <c r="C173" s="3"/>
      <c r="E173" s="3"/>
      <c r="F173" s="8"/>
      <c r="G173" s="3"/>
      <c r="H173" s="3"/>
      <c r="I173" s="3"/>
    </row>
    <row r="174" spans="1:15">
      <c r="B174" s="3"/>
      <c r="C174" s="3"/>
      <c r="D174" s="3"/>
      <c r="F174" s="8"/>
      <c r="G174" s="3"/>
      <c r="H174" s="3"/>
      <c r="I174" s="3"/>
    </row>
    <row r="175" spans="1:15">
      <c r="A175" s="2" t="s">
        <v>273</v>
      </c>
      <c r="G175" s="3"/>
      <c r="H175" s="3"/>
      <c r="I175" s="3"/>
    </row>
    <row r="176" spans="1:15">
      <c r="A176" t="s">
        <v>130</v>
      </c>
      <c r="C176">
        <v>10</v>
      </c>
      <c r="H176" s="3"/>
      <c r="I176" s="3"/>
    </row>
    <row r="177" spans="1:13">
      <c r="A177" t="s">
        <v>61</v>
      </c>
      <c r="C177">
        <v>3</v>
      </c>
      <c r="H177" s="3"/>
      <c r="I177" s="3"/>
    </row>
    <row r="178" spans="1:13">
      <c r="A178" t="s">
        <v>165</v>
      </c>
      <c r="C178">
        <f ca="1">_xll.UNIFORM()</f>
        <v>0.57568359375</v>
      </c>
      <c r="E178" s="8" t="s">
        <v>154</v>
      </c>
      <c r="F178" s="8" t="s">
        <v>120</v>
      </c>
      <c r="H178" s="3"/>
      <c r="I178" s="3"/>
    </row>
    <row r="179" spans="1:13">
      <c r="A179" t="s">
        <v>230</v>
      </c>
      <c r="D179" t="s">
        <v>229</v>
      </c>
      <c r="E179">
        <f ca="1">_xll.LOGLOGINV(C176,C177,C178)</f>
        <v>11.781550771774057</v>
      </c>
      <c r="F179" s="2" t="str">
        <f ca="1">_xll.VFORMULA(E179)</f>
        <v>=LOGLOGINV(C176,C177,C178)</v>
      </c>
      <c r="H179" s="3"/>
      <c r="I179" s="3"/>
    </row>
    <row r="180" spans="1:13">
      <c r="F180" s="2"/>
      <c r="H180" s="3"/>
      <c r="I180" s="3"/>
    </row>
    <row r="181" spans="1:13">
      <c r="F181" s="2"/>
      <c r="H181" s="3"/>
      <c r="I181" s="3"/>
    </row>
    <row r="182" spans="1:13">
      <c r="A182" s="2" t="s">
        <v>274</v>
      </c>
      <c r="H182" s="3"/>
      <c r="I182" s="3"/>
      <c r="J182" s="3"/>
      <c r="K182" s="3"/>
      <c r="L182" s="3"/>
      <c r="M182" s="3"/>
    </row>
    <row r="183" spans="1:13">
      <c r="A183" t="s">
        <v>37</v>
      </c>
      <c r="C183">
        <v>3</v>
      </c>
      <c r="H183" s="3"/>
      <c r="I183" s="3"/>
      <c r="J183" s="3"/>
      <c r="K183" s="3"/>
      <c r="L183" s="3"/>
      <c r="M183" s="3"/>
    </row>
    <row r="184" spans="1:13">
      <c r="A184" t="s">
        <v>12</v>
      </c>
      <c r="C184">
        <v>10</v>
      </c>
      <c r="H184" s="3"/>
      <c r="I184" s="3"/>
      <c r="J184" s="3"/>
      <c r="K184" s="3"/>
      <c r="L184" s="3"/>
      <c r="M184" s="3"/>
    </row>
    <row r="185" spans="1:13">
      <c r="A185" t="s">
        <v>165</v>
      </c>
      <c r="C185">
        <f ca="1">_xll.UNIFORM()</f>
        <v>0.836639404296875</v>
      </c>
      <c r="E185" s="8" t="s">
        <v>154</v>
      </c>
      <c r="F185" s="8" t="s">
        <v>120</v>
      </c>
      <c r="H185" s="3"/>
      <c r="I185" s="3"/>
      <c r="J185" s="3"/>
      <c r="K185" s="3"/>
      <c r="L185" s="3"/>
      <c r="M185" s="3"/>
    </row>
    <row r="186" spans="1:13">
      <c r="A186" t="s">
        <v>231</v>
      </c>
      <c r="D186" t="s">
        <v>231</v>
      </c>
      <c r="E186">
        <f ca="1">_xll.LOGLOGISTICINV(C183,C184,C185)</f>
        <v>17.23707887617617</v>
      </c>
      <c r="F186" s="2" t="str">
        <f ca="1">_xll.VFORMULA(E186)</f>
        <v>=LOGLOGISTICINV(C183,C184,C185)</v>
      </c>
      <c r="H186" s="3"/>
      <c r="I186" s="3"/>
      <c r="J186" s="3"/>
      <c r="K186" s="3"/>
      <c r="L186" s="3"/>
      <c r="M186" s="3"/>
    </row>
    <row r="187" spans="1:13">
      <c r="F187" s="2"/>
      <c r="H187" s="3"/>
      <c r="I187" s="3"/>
      <c r="J187" s="3"/>
      <c r="K187" s="3"/>
      <c r="L187" s="3"/>
      <c r="M187" s="3"/>
    </row>
    <row r="188" spans="1:13">
      <c r="H188" s="3"/>
      <c r="I188" s="3"/>
      <c r="J188" s="3"/>
      <c r="K188" s="3"/>
      <c r="L188" s="3"/>
      <c r="M188" s="3"/>
    </row>
    <row r="189" spans="1:13">
      <c r="A189" s="2" t="s">
        <v>253</v>
      </c>
      <c r="B189" s="3"/>
      <c r="C189" s="3"/>
      <c r="D189" s="3"/>
      <c r="F189" s="8"/>
      <c r="G189" s="3"/>
      <c r="H189" s="3"/>
      <c r="I189" s="3"/>
      <c r="J189" s="3"/>
      <c r="K189" s="3"/>
      <c r="L189" s="3"/>
      <c r="M189" s="3"/>
    </row>
    <row r="190" spans="1:13">
      <c r="A190" t="s">
        <v>74</v>
      </c>
      <c r="B190" s="3"/>
      <c r="C190" s="3">
        <v>5</v>
      </c>
      <c r="D190" s="3"/>
      <c r="F190" s="8"/>
      <c r="G190" s="3"/>
      <c r="H190" s="3"/>
    </row>
    <row r="191" spans="1:13">
      <c r="A191" t="s">
        <v>75</v>
      </c>
      <c r="B191" s="3"/>
      <c r="C191" s="3">
        <v>0.5</v>
      </c>
      <c r="D191" s="3"/>
      <c r="F191" s="8"/>
      <c r="G191" s="3"/>
    </row>
    <row r="192" spans="1:13">
      <c r="A192" t="s">
        <v>165</v>
      </c>
      <c r="B192" s="3"/>
      <c r="C192" s="3">
        <f ca="1">_xll.UNIFORM()</f>
        <v>0.92987060546875</v>
      </c>
      <c r="D192" s="3"/>
      <c r="E192" s="8" t="s">
        <v>154</v>
      </c>
      <c r="F192" s="8" t="s">
        <v>120</v>
      </c>
      <c r="G192" s="3"/>
    </row>
    <row r="193" spans="1:13">
      <c r="A193" t="s">
        <v>76</v>
      </c>
      <c r="B193" s="3"/>
      <c r="C193" s="3"/>
      <c r="D193" t="s">
        <v>183</v>
      </c>
      <c r="E193" s="3">
        <f ca="1">_xll.EXTVALINV(C190,C191)</f>
        <v>4.5394637328169072</v>
      </c>
      <c r="F193" s="8" t="str">
        <f ca="1">_xll.VFORMULA(E193)</f>
        <v>=EXTVALINV(C190,C191)</v>
      </c>
      <c r="G193" s="3"/>
    </row>
    <row r="194" spans="1:13">
      <c r="A194" t="s">
        <v>202</v>
      </c>
      <c r="B194" s="3"/>
      <c r="C194" s="3"/>
      <c r="D194" t="s">
        <v>183</v>
      </c>
      <c r="E194" s="3">
        <f ca="1">_xll.EXTVALINV(C190,C191,C192)</f>
        <v>5.4886765936178366</v>
      </c>
      <c r="F194" s="8" t="str">
        <f ca="1">_xll.VFORMULA(E194)</f>
        <v>=EXTVALINV(C190,C191,C192)</v>
      </c>
      <c r="G194" s="3"/>
    </row>
    <row r="197" spans="1:13">
      <c r="A197" s="2" t="s">
        <v>249</v>
      </c>
      <c r="B197" s="3"/>
      <c r="C197" s="3"/>
      <c r="D197" s="3"/>
      <c r="F197" s="8"/>
      <c r="G197" s="3"/>
    </row>
    <row r="198" spans="1:13">
      <c r="A198" t="s">
        <v>70</v>
      </c>
      <c r="B198" s="3"/>
      <c r="C198" s="3">
        <v>1</v>
      </c>
      <c r="D198" s="3"/>
      <c r="F198" s="8"/>
      <c r="G198" s="3"/>
    </row>
    <row r="199" spans="1:13">
      <c r="A199" t="s">
        <v>71</v>
      </c>
      <c r="B199" s="3"/>
      <c r="C199" s="3">
        <v>5</v>
      </c>
      <c r="D199" s="3"/>
      <c r="G199" s="3"/>
    </row>
    <row r="200" spans="1:13">
      <c r="A200" t="s">
        <v>165</v>
      </c>
      <c r="B200" s="3"/>
      <c r="C200" s="3">
        <f ca="1">_xll.UNIFORM()</f>
        <v>0.482574462890625</v>
      </c>
      <c r="D200" s="3"/>
      <c r="E200" s="8" t="s">
        <v>154</v>
      </c>
      <c r="F200" s="8" t="s">
        <v>120</v>
      </c>
      <c r="G200" s="3"/>
    </row>
    <row r="201" spans="1:13">
      <c r="A201" t="s">
        <v>197</v>
      </c>
      <c r="B201" s="3"/>
      <c r="C201" s="3"/>
      <c r="D201" t="s">
        <v>176</v>
      </c>
      <c r="E201" s="3">
        <f ca="1">_xll.PARETO(C198,C199)</f>
        <v>1.0495799695663908</v>
      </c>
      <c r="F201" s="8" t="str">
        <f ca="1">_xll.VFORMULA(E201)</f>
        <v>=PARETO(C198,C199)</v>
      </c>
      <c r="G201" s="3"/>
    </row>
    <row r="202" spans="1:13">
      <c r="A202" t="s">
        <v>196</v>
      </c>
      <c r="B202" s="3"/>
      <c r="C202" s="3"/>
      <c r="D202" t="s">
        <v>176</v>
      </c>
      <c r="E202" s="3">
        <f ca="1">_xll.PARETO(C198,C199,C200)</f>
        <v>1.1408549423536685</v>
      </c>
      <c r="F202" s="8" t="str">
        <f ca="1">_xll.VFORMULA(E202)</f>
        <v>=PARETO(C198,C199,C200)</v>
      </c>
      <c r="G202" s="3"/>
    </row>
    <row r="205" spans="1:13">
      <c r="A205" s="2" t="s">
        <v>247</v>
      </c>
      <c r="B205" s="3"/>
      <c r="C205" s="3"/>
      <c r="D205" s="3"/>
      <c r="E205" s="3"/>
      <c r="F205" s="8"/>
      <c r="G205" s="3"/>
      <c r="H205" s="3"/>
      <c r="I205" s="3"/>
      <c r="J205" s="3"/>
      <c r="K205" s="3"/>
      <c r="L205" s="3"/>
      <c r="M205" s="3"/>
    </row>
    <row r="206" spans="1:13">
      <c r="A206" t="s">
        <v>0</v>
      </c>
      <c r="C206" s="3">
        <v>12</v>
      </c>
      <c r="D206" s="8"/>
      <c r="F206" s="8"/>
      <c r="G206" s="3"/>
      <c r="H206" s="3"/>
      <c r="I206" s="3"/>
      <c r="J206" s="3"/>
      <c r="K206" s="3"/>
      <c r="L206" s="3"/>
      <c r="M206" s="3"/>
    </row>
    <row r="207" spans="1:13">
      <c r="A207" t="s">
        <v>1</v>
      </c>
      <c r="C207" s="3">
        <v>18</v>
      </c>
      <c r="D207" s="8"/>
      <c r="E207" s="3"/>
      <c r="F207" s="8"/>
      <c r="G207" s="3"/>
      <c r="H207" s="3"/>
      <c r="I207" s="3"/>
      <c r="J207" s="3"/>
      <c r="K207" s="3"/>
      <c r="L207" s="3"/>
      <c r="M207" s="3"/>
    </row>
    <row r="208" spans="1:13">
      <c r="A208" t="s">
        <v>2</v>
      </c>
      <c r="C208" s="3">
        <v>27</v>
      </c>
      <c r="G208" s="3"/>
      <c r="H208" s="3"/>
      <c r="I208" s="3"/>
      <c r="J208" s="3"/>
      <c r="K208" s="3"/>
      <c r="L208" s="3"/>
      <c r="M208" s="3"/>
    </row>
    <row r="209" spans="1:17">
      <c r="A209" t="str">
        <f>A225</f>
        <v>Uniform Standard Deviate</v>
      </c>
      <c r="C209" s="3">
        <f ca="1">_xll.UNIFORM()</f>
        <v>0.650726318359375</v>
      </c>
      <c r="E209" s="8" t="s">
        <v>154</v>
      </c>
      <c r="F209" s="8" t="s">
        <v>120</v>
      </c>
      <c r="G209" s="3"/>
      <c r="H209" s="3"/>
      <c r="I209" s="3"/>
      <c r="Q209" s="3"/>
    </row>
    <row r="210" spans="1:17">
      <c r="A210" t="s">
        <v>49</v>
      </c>
      <c r="B210" s="3"/>
      <c r="D210" s="79" t="s">
        <v>161</v>
      </c>
      <c r="E210" s="3">
        <f ca="1">_xll.TRIANGLE(C206,C207,C208)</f>
        <v>18.642468807314046</v>
      </c>
      <c r="F210" s="8" t="str">
        <f ca="1">_xll.VFORMULA(E210)</f>
        <v>=TRIANGLE(C206,C207,C208)</v>
      </c>
      <c r="G210" s="3"/>
      <c r="H210" s="3"/>
      <c r="I210" s="3"/>
      <c r="Q210" s="3"/>
    </row>
    <row r="211" spans="1:17">
      <c r="A211" t="s">
        <v>50</v>
      </c>
      <c r="B211" s="3"/>
      <c r="D211" s="79" t="s">
        <v>162</v>
      </c>
      <c r="E211" s="3">
        <f ca="1">_xll.TRIANGLE(C206,C207,C208,C209)</f>
        <v>20.133272466342909</v>
      </c>
      <c r="F211" s="8" t="str">
        <f ca="1">_xll.VFORMULA(E211)</f>
        <v>=TRIANGLE(C206,C207,C208,C209)</v>
      </c>
      <c r="G211" s="3"/>
      <c r="H211" s="3"/>
      <c r="I211" s="3"/>
      <c r="Q211" s="3"/>
    </row>
    <row r="212" spans="1:17">
      <c r="B212" s="3"/>
      <c r="D212" s="79"/>
      <c r="E212" s="3"/>
      <c r="F212" s="8"/>
      <c r="G212" s="3"/>
      <c r="H212" s="3"/>
      <c r="I212" s="3"/>
      <c r="Q212" s="3"/>
    </row>
    <row r="213" spans="1:17">
      <c r="B213" s="3"/>
      <c r="D213" s="79"/>
      <c r="E213" s="3"/>
      <c r="F213" s="8"/>
      <c r="G213" s="3"/>
      <c r="H213" s="3"/>
      <c r="I213" s="3"/>
      <c r="Q213" s="3"/>
    </row>
    <row r="214" spans="1:17">
      <c r="A214" s="2" t="s">
        <v>265</v>
      </c>
      <c r="B214" s="3"/>
      <c r="C214" s="3"/>
      <c r="D214" s="3"/>
      <c r="E214" s="3"/>
      <c r="F214" s="3"/>
      <c r="G214" s="3"/>
      <c r="H214" s="3"/>
      <c r="I214" s="3"/>
      <c r="Q214" s="3"/>
    </row>
    <row r="215" spans="1:17">
      <c r="A215" t="s">
        <v>37</v>
      </c>
      <c r="C215" s="3">
        <v>1.5</v>
      </c>
      <c r="D215" s="3"/>
      <c r="E215" s="3"/>
      <c r="F215" s="3"/>
      <c r="G215" s="3"/>
      <c r="H215" s="3"/>
      <c r="I215" s="3"/>
      <c r="Q215" s="3"/>
    </row>
    <row r="216" spans="1:17">
      <c r="A216" t="s">
        <v>12</v>
      </c>
      <c r="C216" s="3">
        <v>5</v>
      </c>
      <c r="D216" s="3"/>
      <c r="E216" s="3"/>
      <c r="F216" s="3"/>
      <c r="G216" s="3"/>
      <c r="H216" s="3"/>
      <c r="I216" s="3"/>
      <c r="Q216" s="3"/>
    </row>
    <row r="217" spans="1:17">
      <c r="A217" t="s">
        <v>165</v>
      </c>
      <c r="C217" s="3">
        <f ca="1">_xll.UNIFORM()</f>
        <v>0.557586669921875</v>
      </c>
      <c r="D217" s="3"/>
      <c r="E217" s="8" t="str">
        <f>E393</f>
        <v>Random Nos.</v>
      </c>
      <c r="F217" s="8" t="str">
        <f>F393</f>
        <v>Formulas</v>
      </c>
      <c r="G217" s="3"/>
      <c r="H217" s="3"/>
      <c r="I217" s="3"/>
      <c r="Q217" s="3"/>
    </row>
    <row r="218" spans="1:17">
      <c r="A218" t="s">
        <v>208</v>
      </c>
      <c r="C218" s="3"/>
      <c r="D218" s="48" t="s">
        <v>12</v>
      </c>
      <c r="E218" s="3">
        <f ca="1">BETAINV(C217,C215,C216)</f>
        <v>0.22637248039245605</v>
      </c>
      <c r="F218" s="23" t="str">
        <f ca="1">_xll.VFORMULA(E218)</f>
        <v>=BETAINV(C217,C215,C216)</v>
      </c>
      <c r="G218" s="3"/>
      <c r="H218" s="3"/>
      <c r="I218" s="3"/>
      <c r="Q218" s="3"/>
    </row>
    <row r="219" spans="1:17">
      <c r="B219" s="3"/>
      <c r="D219" s="79"/>
      <c r="E219" s="3"/>
      <c r="F219" s="8"/>
      <c r="G219" s="3"/>
      <c r="H219" s="3"/>
      <c r="I219" s="3"/>
    </row>
    <row r="220" spans="1:17">
      <c r="B220" s="3"/>
      <c r="C220" s="3"/>
      <c r="D220" s="24"/>
      <c r="F220" s="8"/>
      <c r="G220" s="3"/>
      <c r="H220" s="3"/>
      <c r="I220" s="3"/>
    </row>
    <row r="221" spans="1:17">
      <c r="A221" s="2" t="s">
        <v>286</v>
      </c>
      <c r="B221" s="3"/>
      <c r="C221" s="3"/>
      <c r="D221" s="79"/>
      <c r="G221" s="3"/>
      <c r="H221" s="3"/>
      <c r="I221" s="3"/>
    </row>
    <row r="222" spans="1:17">
      <c r="A222" t="s">
        <v>66</v>
      </c>
      <c r="B222" s="3"/>
      <c r="C222" s="3">
        <v>1</v>
      </c>
      <c r="D222" s="79"/>
      <c r="G222" s="3"/>
      <c r="H222" s="3"/>
      <c r="I222" s="3"/>
    </row>
    <row r="223" spans="1:17">
      <c r="A223" t="s">
        <v>67</v>
      </c>
      <c r="B223" s="3"/>
      <c r="C223" s="3">
        <v>5</v>
      </c>
      <c r="D223" s="79"/>
      <c r="G223" s="3"/>
      <c r="H223" s="3"/>
      <c r="I223" s="3"/>
    </row>
    <row r="224" spans="1:17">
      <c r="A224" t="s">
        <v>68</v>
      </c>
      <c r="B224" s="3"/>
      <c r="C224" s="3">
        <v>7</v>
      </c>
      <c r="D224" s="24"/>
      <c r="F224" s="8"/>
      <c r="G224" s="3"/>
      <c r="H224" s="3"/>
      <c r="I224" s="3"/>
    </row>
    <row r="225" spans="1:16">
      <c r="A225" t="s">
        <v>165</v>
      </c>
      <c r="B225" s="3"/>
      <c r="C225" s="3">
        <f ca="1">_xll.UNIFORM()</f>
        <v>0.487884521484375</v>
      </c>
      <c r="D225" s="79"/>
      <c r="E225" s="8" t="str">
        <f>E209</f>
        <v>Random Nos.</v>
      </c>
      <c r="F225" s="8" t="str">
        <f>F209</f>
        <v>Formulas</v>
      </c>
      <c r="G225" s="3"/>
      <c r="H225" s="3"/>
      <c r="I225" s="3"/>
      <c r="J225" s="3"/>
      <c r="K225" s="3"/>
      <c r="L225" s="3"/>
      <c r="M225" s="3"/>
    </row>
    <row r="226" spans="1:16">
      <c r="A226" t="s">
        <v>69</v>
      </c>
      <c r="B226" s="3"/>
      <c r="C226" s="3"/>
      <c r="D226" s="79" t="s">
        <v>163</v>
      </c>
      <c r="E226" s="3">
        <f ca="1">_xll.PERTINV(C222,C223,C224)</f>
        <v>3.8774194717407227</v>
      </c>
      <c r="F226" s="8" t="str">
        <f ca="1">_xll.VFORMULA(E226)</f>
        <v>=PERTINV(C222,C223,C224)</v>
      </c>
      <c r="G226" s="3"/>
      <c r="H226" s="3"/>
      <c r="I226" s="3"/>
      <c r="J226" s="3"/>
      <c r="K226" s="3"/>
      <c r="L226" s="3"/>
      <c r="M226" s="3"/>
    </row>
    <row r="227" spans="1:16">
      <c r="A227" t="s">
        <v>164</v>
      </c>
      <c r="B227" s="3"/>
      <c r="C227" s="3"/>
      <c r="D227" s="79" t="s">
        <v>163</v>
      </c>
      <c r="E227" s="3">
        <f ca="1">_xll.PERTINV(C222,C223,C224,C225)</f>
        <v>4.7075381278991699</v>
      </c>
      <c r="F227" s="8" t="str">
        <f ca="1">_xll.VFORMULA(E227)</f>
        <v>=PERTINV(C222,C223,C224,C225)</v>
      </c>
      <c r="G227" s="3"/>
      <c r="H227" s="3"/>
      <c r="I227" s="3"/>
      <c r="J227" s="3"/>
      <c r="K227" s="3"/>
      <c r="L227" s="3"/>
      <c r="M227" s="3"/>
    </row>
    <row r="228" spans="1:16">
      <c r="B228" s="3"/>
      <c r="C228" s="3"/>
      <c r="D228" s="79"/>
      <c r="E228" s="3"/>
      <c r="F228" s="8"/>
      <c r="G228" s="3"/>
      <c r="H228" s="3"/>
      <c r="I228" s="3"/>
      <c r="J228" s="3"/>
      <c r="K228" s="3"/>
      <c r="L228" s="3"/>
      <c r="M228" s="3"/>
    </row>
    <row r="229" spans="1:16">
      <c r="B229" s="3"/>
      <c r="C229" s="3"/>
      <c r="D229" s="79"/>
      <c r="E229" s="3"/>
      <c r="F229" s="8"/>
      <c r="G229" s="3"/>
      <c r="H229" s="3"/>
      <c r="I229" s="3"/>
      <c r="J229" s="3"/>
      <c r="K229" s="3"/>
      <c r="L229" s="3"/>
      <c r="M229" s="3"/>
    </row>
    <row r="230" spans="1:16">
      <c r="A230" s="2" t="s">
        <v>271</v>
      </c>
      <c r="G230" s="3"/>
      <c r="H230" s="3"/>
      <c r="O230" s="3"/>
      <c r="P230" s="3"/>
    </row>
    <row r="231" spans="1:16">
      <c r="A231" t="s">
        <v>126</v>
      </c>
      <c r="C231">
        <v>10</v>
      </c>
      <c r="G231" s="3"/>
      <c r="H231" s="3"/>
      <c r="O231" s="3"/>
      <c r="P231" s="3"/>
    </row>
    <row r="232" spans="1:16">
      <c r="A232" t="s">
        <v>127</v>
      </c>
      <c r="C232">
        <v>2</v>
      </c>
      <c r="G232" s="3"/>
      <c r="H232" s="3"/>
      <c r="O232" s="3"/>
      <c r="P232" s="3"/>
    </row>
    <row r="233" spans="1:16">
      <c r="A233" t="s">
        <v>165</v>
      </c>
      <c r="C233">
        <f ca="1">_xll.UNIFORM()</f>
        <v>0.335296630859375</v>
      </c>
      <c r="G233" s="3"/>
      <c r="H233" s="3"/>
      <c r="O233" s="3"/>
      <c r="P233" s="3"/>
    </row>
    <row r="234" spans="1:16">
      <c r="A234" t="s">
        <v>128</v>
      </c>
      <c r="C234">
        <v>500</v>
      </c>
      <c r="G234" s="3"/>
      <c r="H234" s="3"/>
      <c r="O234" s="3"/>
      <c r="P234" s="3"/>
    </row>
    <row r="235" spans="1:16">
      <c r="A235" t="s">
        <v>129</v>
      </c>
      <c r="C235">
        <v>1E-4</v>
      </c>
      <c r="E235" s="2" t="s">
        <v>95</v>
      </c>
      <c r="F235" s="2" t="s">
        <v>121</v>
      </c>
      <c r="G235" s="3"/>
      <c r="H235" s="3"/>
      <c r="O235" s="3"/>
      <c r="P235" s="3"/>
    </row>
    <row r="236" spans="1:16">
      <c r="A236" t="s">
        <v>227</v>
      </c>
      <c r="D236" t="s">
        <v>226</v>
      </c>
      <c r="E236">
        <f ca="1">_xll.COSINV(C231,C232,C233,C234,C235)</f>
        <v>8.9407862659649648</v>
      </c>
      <c r="F236" s="2" t="str">
        <f ca="1">_xll.VFORMULA(E236)</f>
        <v>=COSINV(C231,C232,C233,C234,C235)</v>
      </c>
      <c r="G236" s="3"/>
      <c r="H236" s="3"/>
      <c r="O236" s="3"/>
      <c r="P236" s="3"/>
    </row>
    <row r="237" spans="1:16">
      <c r="B237" s="3"/>
      <c r="C237" s="3"/>
      <c r="D237" s="79"/>
      <c r="E237" s="3"/>
      <c r="F237" s="8"/>
      <c r="G237" s="3"/>
      <c r="H237" s="3"/>
      <c r="I237" s="3"/>
      <c r="J237" s="3"/>
      <c r="K237" s="3"/>
      <c r="L237" s="3"/>
      <c r="M237" s="3"/>
    </row>
    <row r="238" spans="1:16">
      <c r="B238" s="3"/>
      <c r="C238" s="3"/>
      <c r="D238" s="79"/>
      <c r="E238" s="3"/>
      <c r="F238" s="8"/>
      <c r="G238" s="3"/>
      <c r="H238" s="3"/>
      <c r="I238" s="3"/>
      <c r="J238" s="3"/>
      <c r="K238" s="3"/>
      <c r="L238" s="3"/>
      <c r="M238" s="3"/>
    </row>
    <row r="239" spans="1:16">
      <c r="A239" s="2" t="s">
        <v>279</v>
      </c>
      <c r="F239" s="3"/>
      <c r="G239" s="3"/>
      <c r="H239" s="3"/>
      <c r="I239" s="3"/>
      <c r="J239" s="3"/>
      <c r="K239" s="3"/>
      <c r="L239" s="3"/>
      <c r="M239" s="3"/>
    </row>
    <row r="240" spans="1:16">
      <c r="A240" s="48" t="s">
        <v>126</v>
      </c>
      <c r="C240">
        <v>5</v>
      </c>
      <c r="G240" s="3"/>
      <c r="H240" s="3"/>
      <c r="I240" s="3"/>
      <c r="J240" s="3"/>
      <c r="K240" s="3"/>
      <c r="L240" s="3"/>
      <c r="M240" s="3"/>
    </row>
    <row r="241" spans="1:22">
      <c r="A241" s="48" t="s">
        <v>127</v>
      </c>
      <c r="C241">
        <v>1</v>
      </c>
      <c r="G241" s="3"/>
      <c r="H241" s="3"/>
      <c r="I241" s="3"/>
      <c r="J241" s="3"/>
      <c r="K241" s="3"/>
      <c r="L241" s="3"/>
      <c r="M241" s="3"/>
    </row>
    <row r="242" spans="1:22">
      <c r="A242" s="48" t="s">
        <v>165</v>
      </c>
      <c r="C242">
        <f ca="1">C98</f>
        <v>0.977447509765625</v>
      </c>
      <c r="F242" s="3"/>
      <c r="G242" s="3"/>
      <c r="H242" s="3"/>
      <c r="I242" s="3"/>
      <c r="J242" s="3"/>
      <c r="K242" s="3"/>
      <c r="L242" s="3"/>
      <c r="M242" s="3"/>
    </row>
    <row r="243" spans="1:22">
      <c r="A243" s="48" t="s">
        <v>131</v>
      </c>
      <c r="C243">
        <v>500</v>
      </c>
      <c r="F243" s="3"/>
      <c r="G243" s="3"/>
      <c r="H243" s="3"/>
      <c r="I243" s="3"/>
      <c r="J243" s="3"/>
      <c r="K243" s="3"/>
      <c r="L243" s="3"/>
      <c r="M243" s="3"/>
    </row>
    <row r="244" spans="1:22">
      <c r="A244" s="48" t="s">
        <v>129</v>
      </c>
      <c r="C244">
        <v>1E-3</v>
      </c>
      <c r="E244" s="2" t="s">
        <v>95</v>
      </c>
      <c r="F244" s="2" t="s">
        <v>121</v>
      </c>
      <c r="G244" s="3"/>
      <c r="H244" s="3"/>
      <c r="I244" s="3"/>
      <c r="J244" s="3"/>
      <c r="K244" s="3"/>
      <c r="L244" s="3"/>
      <c r="M244" s="3"/>
    </row>
    <row r="245" spans="1:22">
      <c r="A245" s="48" t="s">
        <v>237</v>
      </c>
      <c r="D245" t="s">
        <v>236</v>
      </c>
      <c r="E245">
        <f ca="1">_xll.SEMICIRCINV(C240,C241,C242,C243,C244)</f>
        <v>5.2666015625</v>
      </c>
      <c r="F245" s="2" t="str">
        <f ca="1">_xll.VFORMULA(E245)</f>
        <v>=SEMICIRCINV(C240,C241,C242,C243,C244)</v>
      </c>
      <c r="G245" s="3"/>
      <c r="H245" s="3"/>
      <c r="I245" s="3"/>
      <c r="J245" s="3"/>
      <c r="K245" s="3"/>
      <c r="L245" s="3"/>
      <c r="M245" s="3"/>
    </row>
    <row r="246" spans="1:22">
      <c r="B246" s="3"/>
      <c r="C246" s="3"/>
      <c r="D246" s="79"/>
      <c r="E246" s="3"/>
      <c r="F246" s="8"/>
      <c r="G246" s="3"/>
      <c r="H246" s="3"/>
      <c r="I246" s="3"/>
      <c r="J246" s="3"/>
      <c r="K246" s="3"/>
      <c r="L246" s="3"/>
      <c r="M246" s="3"/>
    </row>
    <row r="247" spans="1:22">
      <c r="B247" s="3"/>
      <c r="C247" s="3"/>
      <c r="D247" s="79"/>
      <c r="E247" s="3"/>
      <c r="F247" s="8"/>
      <c r="G247" s="3"/>
      <c r="H247" s="3"/>
      <c r="I247" s="3"/>
      <c r="J247" s="3"/>
      <c r="K247" s="3"/>
      <c r="L247" s="3"/>
      <c r="M247" s="3"/>
    </row>
    <row r="248" spans="1:22">
      <c r="A248" s="2" t="s">
        <v>245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22">
      <c r="A249" t="s">
        <v>28</v>
      </c>
      <c r="B249" s="3"/>
      <c r="C249" s="3"/>
      <c r="D249" s="3"/>
      <c r="F249" s="3"/>
      <c r="G249" s="3"/>
      <c r="H249" s="3"/>
      <c r="I249" s="3"/>
      <c r="R249" s="3"/>
      <c r="S249" s="3"/>
      <c r="T249" s="3"/>
      <c r="U249" s="3"/>
      <c r="V249" s="3"/>
    </row>
    <row r="250" spans="1:22">
      <c r="A250" t="s">
        <v>0</v>
      </c>
      <c r="C250" s="3">
        <v>3</v>
      </c>
      <c r="F250" s="68"/>
      <c r="G250" s="3"/>
      <c r="H250" s="3"/>
      <c r="I250" s="3"/>
      <c r="R250" s="3"/>
      <c r="S250" s="3"/>
      <c r="T250" s="3"/>
      <c r="U250" s="3"/>
      <c r="V250" s="3"/>
    </row>
    <row r="251" spans="1:22">
      <c r="A251" t="s">
        <v>1</v>
      </c>
      <c r="C251" s="3">
        <v>5</v>
      </c>
      <c r="E251" s="3"/>
      <c r="F251" s="3"/>
      <c r="G251" s="3"/>
      <c r="H251" s="3"/>
      <c r="I251" s="3"/>
      <c r="R251" s="3"/>
      <c r="S251" s="3"/>
      <c r="T251" s="3"/>
      <c r="U251" s="3"/>
      <c r="V251" s="3"/>
    </row>
    <row r="252" spans="1:22">
      <c r="A252" t="s">
        <v>2</v>
      </c>
      <c r="C252" s="3">
        <v>16</v>
      </c>
      <c r="G252" s="3"/>
      <c r="H252" s="3"/>
      <c r="I252" s="3"/>
      <c r="R252" s="3"/>
      <c r="S252" s="3"/>
      <c r="T252" s="3"/>
      <c r="U252" s="3"/>
      <c r="V252" s="3"/>
    </row>
    <row r="253" spans="1:22">
      <c r="A253" t="str">
        <f>A209</f>
        <v>Uniform Standard Deviate</v>
      </c>
      <c r="B253" s="3"/>
      <c r="C253" s="4">
        <f ca="1">_xll.UNIFORM()</f>
        <v>0.3485107421875</v>
      </c>
      <c r="D253" s="8"/>
      <c r="E253" s="8" t="s">
        <v>154</v>
      </c>
      <c r="F253" s="8" t="str">
        <f>F334</f>
        <v>Formulas</v>
      </c>
      <c r="G253" s="3"/>
      <c r="H253" s="3"/>
      <c r="R253" s="3"/>
      <c r="S253" s="3"/>
      <c r="T253" s="3"/>
      <c r="U253" s="3"/>
      <c r="V253" s="3"/>
    </row>
    <row r="254" spans="1:22">
      <c r="A254" t="s">
        <v>21</v>
      </c>
      <c r="B254" s="3"/>
      <c r="C254" s="3"/>
      <c r="D254" t="s">
        <v>156</v>
      </c>
      <c r="E254" s="3">
        <f ca="1">_xll.GRK(3,5,16,_xll.UNIFORM())</f>
        <v>3.9457058640963401</v>
      </c>
      <c r="F254" s="23" t="str">
        <f ca="1">_xll.VFORMULA(E254)</f>
        <v>=GRK(3,5,16,UNIFORM())</v>
      </c>
      <c r="G254" s="3"/>
      <c r="H254" s="3"/>
      <c r="R254" s="3"/>
      <c r="S254" s="3"/>
      <c r="T254" s="3"/>
      <c r="U254" s="3"/>
      <c r="V254" s="3"/>
    </row>
    <row r="255" spans="1:22">
      <c r="A255" t="s">
        <v>20</v>
      </c>
      <c r="B255" s="3"/>
      <c r="C255" s="3"/>
      <c r="D255" t="s">
        <v>156</v>
      </c>
      <c r="E255" s="3">
        <f ca="1">_xll.GRK(C250,C251,C252)</f>
        <v>4.3424913437271533</v>
      </c>
      <c r="F255" s="23" t="str">
        <f ca="1">_xll.VFORMULA(E255)</f>
        <v>=GRK(C250,C251,C252)</v>
      </c>
      <c r="G255" s="3"/>
      <c r="H255" s="3"/>
      <c r="R255" s="3"/>
      <c r="S255" s="3"/>
      <c r="T255" s="3"/>
      <c r="U255" s="3"/>
      <c r="V255" s="3"/>
    </row>
    <row r="256" spans="1:22">
      <c r="A256" t="s">
        <v>29</v>
      </c>
      <c r="B256" s="3"/>
      <c r="C256" s="3"/>
      <c r="D256" t="s">
        <v>156</v>
      </c>
      <c r="E256" s="3">
        <f ca="1">_xll.GRK(C250,C251,C252,C253)</f>
        <v>4.6043891537510806</v>
      </c>
      <c r="F256" s="23" t="str">
        <f ca="1">_xll.VFORMULA(E256)</f>
        <v>=GRK(C250,C251,C252,C253)</v>
      </c>
      <c r="G256" s="3"/>
      <c r="H256" s="3"/>
      <c r="I256" s="3"/>
      <c r="R256" s="3"/>
      <c r="S256" s="3"/>
      <c r="T256" s="3"/>
      <c r="U256" s="3"/>
      <c r="V256" s="3"/>
    </row>
    <row r="257" spans="1:22">
      <c r="B257" s="3"/>
      <c r="C257" s="3"/>
      <c r="E257" s="3"/>
      <c r="F257" s="23"/>
      <c r="G257" s="3"/>
      <c r="H257" s="3"/>
      <c r="I257" s="3"/>
      <c r="R257" s="3"/>
      <c r="S257" s="3"/>
      <c r="T257" s="3"/>
      <c r="U257" s="3"/>
      <c r="V257" s="3"/>
    </row>
    <row r="258" spans="1:22">
      <c r="A258" s="2" t="s">
        <v>246</v>
      </c>
      <c r="B258" s="3"/>
      <c r="C258" s="3"/>
      <c r="D258" s="8"/>
      <c r="E258" s="3"/>
      <c r="F258" s="3"/>
      <c r="G258" s="3"/>
      <c r="H258" s="3"/>
      <c r="I258" s="3"/>
      <c r="R258" s="3"/>
      <c r="S258" s="3"/>
      <c r="T258" s="3"/>
      <c r="U258" s="3"/>
      <c r="V258" s="3"/>
    </row>
    <row r="259" spans="1:22">
      <c r="A259" t="s">
        <v>65</v>
      </c>
      <c r="B259" s="3"/>
      <c r="C259" s="3"/>
      <c r="D259" s="79" t="s">
        <v>157</v>
      </c>
      <c r="E259" s="3">
        <f ca="1">_xll.GRKS(3,5,16,_xll.UNIFORM())</f>
        <v>6.8546308811402055</v>
      </c>
      <c r="F259" s="8" t="str">
        <f ca="1">_xll.VFORMULA(E259)</f>
        <v>=GRKS(3,5,16,UNIFORM())</v>
      </c>
      <c r="G259" s="3"/>
      <c r="H259" s="3"/>
      <c r="I259" s="3"/>
      <c r="R259" s="3"/>
      <c r="S259" s="3"/>
    </row>
    <row r="260" spans="1:22">
      <c r="A260" t="s">
        <v>63</v>
      </c>
      <c r="B260" s="3"/>
      <c r="C260" s="3">
        <v>3</v>
      </c>
      <c r="D260" s="79" t="s">
        <v>159</v>
      </c>
      <c r="E260" s="3">
        <f ca="1">_xll.GRKS(3,5,16,_xll.UNIFORM(),C260)</f>
        <v>9.7600958539039446</v>
      </c>
      <c r="F260" s="8" t="str">
        <f ca="1">_xll.VFORMULA(E260)</f>
        <v>=GRKS(3,5,16,UNIFORM(),C260)</v>
      </c>
      <c r="G260" s="3"/>
      <c r="H260" s="3"/>
      <c r="I260" s="3"/>
      <c r="R260" s="3"/>
      <c r="S260" s="3"/>
    </row>
    <row r="261" spans="1:22">
      <c r="A261" t="s">
        <v>64</v>
      </c>
      <c r="B261" s="3"/>
      <c r="C261" s="3">
        <v>4</v>
      </c>
      <c r="D261" s="79" t="s">
        <v>160</v>
      </c>
      <c r="E261" s="3">
        <f ca="1">_xll.GRKS(C250,C251,C252,C253, ,C261)</f>
        <v>4.6106557051674963</v>
      </c>
      <c r="F261" s="8" t="str">
        <f ca="1">_xll.VFORMULA(E261)</f>
        <v>=GRKS(C250,C251,C252,C253, ,C261)</v>
      </c>
      <c r="G261" s="3"/>
      <c r="H261" s="3"/>
      <c r="I261" s="3"/>
      <c r="R261" s="3"/>
      <c r="S261" s="3"/>
    </row>
    <row r="262" spans="1:22">
      <c r="B262" s="3"/>
      <c r="C262" s="3"/>
      <c r="D262" s="24" t="s">
        <v>158</v>
      </c>
      <c r="E262" s="3">
        <f ca="1">_xll.GRKS(C250,C251,C252,C253,C260,C261)</f>
        <v>4.7404371367783309</v>
      </c>
      <c r="F262" s="8" t="str">
        <f ca="1">_xll.VFORMULA(E262)</f>
        <v>=GRKS(C250,C251,C252,C253,C260,C261)</v>
      </c>
      <c r="G262" s="3"/>
      <c r="H262" s="3"/>
      <c r="I262" s="3"/>
      <c r="R262" s="3"/>
      <c r="S262" s="3"/>
    </row>
    <row r="263" spans="1:22">
      <c r="B263" s="3"/>
      <c r="C263" s="3"/>
      <c r="D263" s="3"/>
      <c r="E263" s="3"/>
      <c r="F263" s="8"/>
      <c r="G263" s="3"/>
      <c r="H263" s="3"/>
      <c r="I263" s="3"/>
      <c r="R263" s="3"/>
      <c r="S263" s="3"/>
    </row>
    <row r="264" spans="1:22">
      <c r="B264" s="3"/>
      <c r="C264" s="3"/>
      <c r="D264" s="3"/>
      <c r="F264" s="8"/>
      <c r="G264" s="3"/>
      <c r="H264" s="3"/>
      <c r="I264" s="3"/>
      <c r="R264" s="3"/>
      <c r="S264" s="3"/>
    </row>
    <row r="265" spans="1:22">
      <c r="A265" s="2" t="s">
        <v>255</v>
      </c>
      <c r="B265" s="3"/>
      <c r="C265" s="3"/>
      <c r="D265" s="3"/>
      <c r="E265" s="3"/>
      <c r="F265" s="3"/>
      <c r="G265" s="3"/>
      <c r="H265" s="3"/>
      <c r="I265" s="3"/>
      <c r="R265" s="3"/>
      <c r="S265" s="3"/>
    </row>
    <row r="266" spans="1:22">
      <c r="A266" t="s">
        <v>30</v>
      </c>
      <c r="B266" s="3"/>
      <c r="C266" s="3"/>
      <c r="D266" s="3"/>
      <c r="E266" s="3"/>
      <c r="F266" s="3"/>
      <c r="G266" s="3"/>
      <c r="H266" s="3"/>
      <c r="I266" s="3"/>
      <c r="R266" s="3"/>
      <c r="S266" s="3"/>
    </row>
    <row r="267" spans="1:22">
      <c r="A267" t="s">
        <v>31</v>
      </c>
      <c r="B267" s="3"/>
      <c r="C267" s="3">
        <v>0.45</v>
      </c>
      <c r="D267" s="3"/>
      <c r="E267" s="8" t="str">
        <f>E144</f>
        <v>Random Nos.</v>
      </c>
      <c r="F267" s="8" t="str">
        <f>F144</f>
        <v>Formulas</v>
      </c>
      <c r="G267" s="3"/>
      <c r="H267" s="3"/>
      <c r="I267" s="3"/>
      <c r="R267" s="3"/>
      <c r="S267" s="3"/>
      <c r="T267" s="3"/>
      <c r="U267" s="3"/>
      <c r="V267" s="3"/>
    </row>
    <row r="268" spans="1:22">
      <c r="A268" t="s">
        <v>21</v>
      </c>
      <c r="B268" s="3"/>
      <c r="C268" s="3"/>
      <c r="D268" t="s">
        <v>185</v>
      </c>
      <c r="E268" s="3">
        <f ca="1">_xll.BERNOULLI(0.45)</f>
        <v>0</v>
      </c>
      <c r="F268" s="23" t="str">
        <f ca="1">_xll.VFORMULA(E268)</f>
        <v>=BERNOULLI(0.45)</v>
      </c>
      <c r="G268" s="3"/>
      <c r="H268" s="3"/>
      <c r="I268" s="3"/>
      <c r="J268" s="3"/>
      <c r="K268" s="3"/>
      <c r="L268" s="3"/>
      <c r="M268" s="3"/>
    </row>
    <row r="269" spans="1:22">
      <c r="A269" t="s">
        <v>20</v>
      </c>
      <c r="B269" s="3"/>
      <c r="C269" s="3"/>
      <c r="D269" t="s">
        <v>185</v>
      </c>
      <c r="E269" s="3">
        <f ca="1">_xll.BERNOULLI(C267)</f>
        <v>0</v>
      </c>
      <c r="F269" s="23" t="str">
        <f ca="1">_xll.VFORMULA(E269)</f>
        <v>=BERNOULLI(C267)</v>
      </c>
      <c r="G269" s="3"/>
      <c r="H269" s="3"/>
      <c r="I269" s="3"/>
      <c r="J269" s="3"/>
      <c r="K269" s="3"/>
      <c r="L269" s="3"/>
      <c r="M269" s="3"/>
    </row>
    <row r="270" spans="1:2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22">
      <c r="B271" s="3"/>
      <c r="C271" s="3"/>
      <c r="D271" s="3"/>
      <c r="F271" s="8"/>
      <c r="G271" s="3"/>
      <c r="H271" s="3"/>
      <c r="I271" s="3"/>
      <c r="J271" s="3"/>
      <c r="K271" s="3"/>
      <c r="L271" s="3"/>
      <c r="M271" s="3"/>
    </row>
    <row r="272" spans="1:22">
      <c r="A272" s="2" t="s">
        <v>256</v>
      </c>
      <c r="B272" s="3"/>
      <c r="C272" s="3"/>
      <c r="D272" s="8"/>
      <c r="F272" s="8"/>
      <c r="G272" s="3"/>
      <c r="H272" s="3"/>
      <c r="I272" s="3"/>
      <c r="J272" s="3"/>
      <c r="K272" s="3"/>
      <c r="L272" s="3"/>
      <c r="M272" s="3"/>
    </row>
    <row r="273" spans="1:13">
      <c r="A273" t="s">
        <v>51</v>
      </c>
      <c r="C273" s="3">
        <v>6</v>
      </c>
      <c r="D273" s="8"/>
      <c r="F273" s="8"/>
      <c r="G273" s="3"/>
      <c r="H273" s="3"/>
      <c r="I273" s="3"/>
      <c r="J273" s="3"/>
      <c r="K273" s="3"/>
      <c r="L273" s="3"/>
      <c r="M273" s="3"/>
    </row>
    <row r="274" spans="1:13">
      <c r="A274" t="s">
        <v>52</v>
      </c>
      <c r="C274" s="3">
        <v>0.3</v>
      </c>
      <c r="D274" s="8"/>
      <c r="F274" s="8"/>
      <c r="G274" s="3"/>
      <c r="H274" s="3"/>
      <c r="I274" s="3"/>
      <c r="J274" s="3"/>
      <c r="K274" s="3"/>
      <c r="L274" s="3"/>
      <c r="M274" s="3"/>
    </row>
    <row r="275" spans="1:13">
      <c r="A275" t="s">
        <v>165</v>
      </c>
      <c r="C275" s="3">
        <f ca="1">_xll.UNIFORM()</f>
        <v>0.544036865234375</v>
      </c>
      <c r="D275" s="8"/>
      <c r="E275" s="8" t="str">
        <f>E267</f>
        <v>Random Nos.</v>
      </c>
      <c r="F275" s="8" t="str">
        <f>F267</f>
        <v>Formulas</v>
      </c>
      <c r="G275" s="3"/>
      <c r="H275" s="3"/>
      <c r="I275" s="3"/>
      <c r="J275" s="3"/>
      <c r="K275" s="3"/>
      <c r="L275" s="3"/>
      <c r="M275" s="3"/>
    </row>
    <row r="276" spans="1:13">
      <c r="A276" t="s">
        <v>186</v>
      </c>
      <c r="D276" t="s">
        <v>53</v>
      </c>
      <c r="E276" s="3">
        <f ca="1">_xll.BINOMINV(C273,C274)</f>
        <v>0</v>
      </c>
      <c r="F276" s="8" t="str">
        <f ca="1">_xll.VFORMULA(E276)</f>
        <v>=BINOMINV(C273,C274)</v>
      </c>
      <c r="G276" s="3"/>
      <c r="H276" s="3"/>
      <c r="I276" s="3"/>
      <c r="J276" s="3"/>
      <c r="K276" s="3"/>
      <c r="L276" s="3"/>
      <c r="M276" s="3"/>
    </row>
    <row r="277" spans="1:13">
      <c r="A277" t="s">
        <v>187</v>
      </c>
      <c r="D277" t="s">
        <v>53</v>
      </c>
      <c r="E277" s="3">
        <f ca="1">_xll.BINOMINV(C273,C274,C275)</f>
        <v>2</v>
      </c>
      <c r="F277" s="8" t="str">
        <f ca="1">_xll.VFORMULA(E277)</f>
        <v>=BINOMINV(C273,C274,C275)</v>
      </c>
      <c r="G277" s="3"/>
      <c r="H277" s="3"/>
      <c r="I277" s="3"/>
      <c r="J277" s="3"/>
      <c r="K277" s="3"/>
      <c r="L277" s="3"/>
      <c r="M277" s="3"/>
    </row>
    <row r="278" spans="1:13">
      <c r="E278" s="3"/>
      <c r="F278" s="8"/>
      <c r="G278" s="3"/>
      <c r="H278" s="3"/>
      <c r="I278" s="3"/>
      <c r="J278" s="3"/>
      <c r="K278" s="3"/>
      <c r="L278" s="3"/>
      <c r="M278" s="3"/>
    </row>
    <row r="279" spans="1:13">
      <c r="B279" s="3"/>
      <c r="C279" s="3"/>
      <c r="D279" s="8"/>
      <c r="G279" s="3"/>
      <c r="H279" s="3"/>
      <c r="I279" s="3"/>
      <c r="J279" s="3"/>
      <c r="K279" s="3"/>
      <c r="L279" s="3"/>
      <c r="M279" s="3"/>
    </row>
    <row r="280" spans="1:13">
      <c r="A280" s="2" t="s">
        <v>257</v>
      </c>
      <c r="B280" s="3"/>
      <c r="C280" s="3"/>
      <c r="D280" s="8"/>
      <c r="G280" s="3"/>
      <c r="H280" s="3"/>
      <c r="I280" s="3"/>
      <c r="J280" s="3"/>
      <c r="K280" s="3"/>
      <c r="L280" s="3"/>
      <c r="M280" s="3"/>
    </row>
    <row r="281" spans="1:13">
      <c r="A281" t="s">
        <v>51</v>
      </c>
      <c r="B281" s="3"/>
      <c r="C281" s="3">
        <v>6</v>
      </c>
      <c r="D281" s="8"/>
      <c r="G281" s="3"/>
      <c r="H281" s="3"/>
      <c r="I281" s="3"/>
      <c r="J281" s="3"/>
      <c r="K281" s="3"/>
      <c r="L281" s="3"/>
      <c r="M281" s="3"/>
    </row>
    <row r="282" spans="1:13">
      <c r="A282" t="s">
        <v>52</v>
      </c>
      <c r="B282" s="3"/>
      <c r="C282" s="3">
        <v>0.3</v>
      </c>
      <c r="D282" s="8"/>
      <c r="G282" s="3"/>
      <c r="H282" s="3"/>
    </row>
    <row r="283" spans="1:13">
      <c r="A283" t="s">
        <v>165</v>
      </c>
      <c r="B283" s="3"/>
      <c r="C283" s="3">
        <f ca="1">_xll.UNIFORM()</f>
        <v>0.399566650390625</v>
      </c>
      <c r="D283" s="8"/>
      <c r="E283" s="8" t="str">
        <f>E275</f>
        <v>Random Nos.</v>
      </c>
      <c r="F283" s="8" t="str">
        <f>F275</f>
        <v>Formulas</v>
      </c>
      <c r="G283" s="3"/>
      <c r="H283" s="3"/>
    </row>
    <row r="284" spans="1:13">
      <c r="A284" t="s">
        <v>54</v>
      </c>
      <c r="B284" s="3"/>
      <c r="D284" t="s">
        <v>189</v>
      </c>
      <c r="E284" s="3">
        <f ca="1">_xll.NEGBINOMINV(C281,C282)</f>
        <v>10</v>
      </c>
      <c r="F284" s="8" t="str">
        <f ca="1">_xll.VFORMULA(E284)</f>
        <v>=NEGBINOMINV(C281,C282)</v>
      </c>
      <c r="H284" s="3"/>
    </row>
    <row r="285" spans="1:13">
      <c r="A285" t="s">
        <v>188</v>
      </c>
      <c r="B285" s="3"/>
      <c r="C285" s="3"/>
      <c r="D285" t="s">
        <v>189</v>
      </c>
      <c r="E285" s="3">
        <f ca="1">_xll.NEGBINOMINV(C281,C282,C283)</f>
        <v>12</v>
      </c>
      <c r="F285" s="8" t="str">
        <f ca="1">_xll.VFORMULA(E285)</f>
        <v>=NEGBINOMINV(C281,C282,C283)</v>
      </c>
      <c r="H285" s="3"/>
    </row>
    <row r="286" spans="1:13">
      <c r="B286" s="3"/>
      <c r="C286" s="3"/>
      <c r="E286" s="3"/>
      <c r="F286" s="8"/>
      <c r="H286" s="3"/>
    </row>
    <row r="287" spans="1:13">
      <c r="B287" s="3"/>
      <c r="C287" s="3"/>
      <c r="E287" s="3"/>
      <c r="F287" s="8"/>
      <c r="H287" s="3"/>
    </row>
    <row r="288" spans="1:13">
      <c r="A288" s="2" t="s">
        <v>277</v>
      </c>
      <c r="G288" s="3"/>
      <c r="H288" s="3"/>
    </row>
    <row r="289" spans="1:13" ht="12.75" thickBot="1">
      <c r="A289" t="s">
        <v>135</v>
      </c>
      <c r="C289" s="3">
        <v>54</v>
      </c>
      <c r="G289" s="3"/>
      <c r="H289" s="3"/>
    </row>
    <row r="290" spans="1:13">
      <c r="A290" t="s">
        <v>136</v>
      </c>
      <c r="C290" s="74">
        <v>0.1</v>
      </c>
      <c r="D290" s="3"/>
      <c r="E290" s="2" t="str">
        <f>E64</f>
        <v>Random Value</v>
      </c>
      <c r="F290" s="2" t="str">
        <f>F64</f>
        <v>Formula</v>
      </c>
      <c r="G290" s="3"/>
      <c r="H290" s="3"/>
    </row>
    <row r="291" spans="1:13">
      <c r="C291" s="75">
        <v>0.2</v>
      </c>
      <c r="D291" s="3" t="s">
        <v>138</v>
      </c>
      <c r="E291" s="5"/>
      <c r="F291" s="2" t="str">
        <f ca="1">_xll.VFORMULA(E291)</f>
        <v/>
      </c>
      <c r="G291" s="3"/>
      <c r="H291" s="3"/>
    </row>
    <row r="292" spans="1:13">
      <c r="C292" s="75">
        <v>0.3</v>
      </c>
      <c r="E292" s="5"/>
      <c r="G292" s="8"/>
      <c r="H292" s="3"/>
    </row>
    <row r="293" spans="1:13" ht="12.75" thickBot="1">
      <c r="C293" s="76">
        <v>0.4</v>
      </c>
      <c r="E293" s="5"/>
      <c r="G293" s="3"/>
      <c r="H293" s="3"/>
    </row>
    <row r="294" spans="1:13">
      <c r="A294" t="s">
        <v>15</v>
      </c>
      <c r="C294" s="36">
        <f ca="1">C62</f>
        <v>0.977447509765625</v>
      </c>
      <c r="E294" s="5"/>
      <c r="G294" s="3"/>
      <c r="H294" s="3"/>
    </row>
    <row r="295" spans="1:13">
      <c r="A295" t="s">
        <v>137</v>
      </c>
      <c r="C295">
        <v>0.5</v>
      </c>
      <c r="D295" t="s">
        <v>139</v>
      </c>
      <c r="E295">
        <f ca="1">_xll.MULTINOMINV(C289,C295,C294)</f>
        <v>34</v>
      </c>
      <c r="F295" s="2" t="str">
        <f ca="1">_xll.VFORMULA(E295)</f>
        <v>=MULTINOMINV(C289,C295,C294)</v>
      </c>
      <c r="G295" s="3"/>
      <c r="H295" s="3"/>
    </row>
    <row r="296" spans="1:13">
      <c r="B296" s="3"/>
      <c r="C296" s="3"/>
      <c r="E296" s="3"/>
      <c r="F296" s="8"/>
      <c r="H296" s="3"/>
    </row>
    <row r="297" spans="1:13">
      <c r="B297" s="3"/>
      <c r="C297" s="3"/>
      <c r="D297" s="8"/>
      <c r="H297" s="3"/>
    </row>
    <row r="298" spans="1:13">
      <c r="A298" s="2" t="s">
        <v>258</v>
      </c>
      <c r="B298" s="3"/>
      <c r="C298" s="3"/>
      <c r="D298" s="8"/>
      <c r="H298" s="3"/>
      <c r="I298" s="3"/>
      <c r="J298" s="3"/>
      <c r="K298" s="3"/>
      <c r="L298" s="3"/>
      <c r="M298" s="3"/>
    </row>
    <row r="299" spans="1:13">
      <c r="A299" t="s">
        <v>55</v>
      </c>
      <c r="B299" s="3"/>
      <c r="C299" s="3">
        <v>5</v>
      </c>
      <c r="D299" s="8"/>
      <c r="H299" s="3"/>
      <c r="I299" s="3"/>
      <c r="J299" s="3"/>
      <c r="K299" s="3"/>
      <c r="L299" s="3"/>
      <c r="M299" s="3"/>
    </row>
    <row r="300" spans="1:13">
      <c r="A300" t="s">
        <v>165</v>
      </c>
      <c r="B300" s="3"/>
      <c r="C300" s="3">
        <f ca="1">_xll.UNIFORM()</f>
        <v>0.664703369140625</v>
      </c>
      <c r="D300" s="8"/>
      <c r="E300" s="8" t="str">
        <f>E283</f>
        <v>Random Nos.</v>
      </c>
      <c r="F300" s="8" t="str">
        <f>F283</f>
        <v>Formulas</v>
      </c>
      <c r="H300" s="3"/>
      <c r="I300" s="3"/>
      <c r="J300" s="3"/>
      <c r="K300" s="3"/>
      <c r="L300" s="3"/>
      <c r="M300" s="3"/>
    </row>
    <row r="301" spans="1:13">
      <c r="A301" t="s">
        <v>193</v>
      </c>
      <c r="B301" s="3"/>
      <c r="C301" s="3"/>
      <c r="D301" s="4" t="s">
        <v>193</v>
      </c>
      <c r="E301" s="3">
        <f ca="1">_xll.POISSONINV(C299)</f>
        <v>6</v>
      </c>
      <c r="F301" s="8" t="str">
        <f ca="1">_xll.VFORMULA(E301)</f>
        <v>=POISSONINV(C299)</v>
      </c>
      <c r="H301" s="3"/>
      <c r="I301" s="3"/>
      <c r="J301" s="3"/>
      <c r="K301" s="3"/>
      <c r="L301" s="3"/>
      <c r="M301" s="3"/>
    </row>
    <row r="302" spans="1:13">
      <c r="A302" t="s">
        <v>190</v>
      </c>
      <c r="B302" s="3"/>
      <c r="D302" s="4" t="s">
        <v>193</v>
      </c>
      <c r="E302" s="3">
        <f ca="1">_xll.POISSONINV(C299,C300)</f>
        <v>6</v>
      </c>
      <c r="F302" s="8" t="str">
        <f ca="1">_xll.VFORMULA(E302)</f>
        <v>=POISSONINV(C299,C300)</v>
      </c>
      <c r="H302" s="3"/>
      <c r="I302" s="3"/>
      <c r="J302" s="3"/>
      <c r="K302" s="3"/>
      <c r="L302" s="3"/>
      <c r="M302" s="3"/>
    </row>
    <row r="303" spans="1:13">
      <c r="B303" s="3"/>
      <c r="C303" s="3"/>
      <c r="D303" s="8"/>
      <c r="H303" s="3"/>
      <c r="I303" s="3"/>
      <c r="J303" s="3"/>
      <c r="K303" s="3"/>
      <c r="L303" s="3"/>
      <c r="M303" s="3"/>
    </row>
    <row r="304" spans="1:13">
      <c r="B304" s="3"/>
      <c r="C304" s="3"/>
      <c r="D304" s="8"/>
      <c r="H304" s="3"/>
      <c r="I304" s="3"/>
      <c r="J304" s="3"/>
      <c r="K304" s="3"/>
      <c r="L304" s="3"/>
      <c r="M304" s="3"/>
    </row>
    <row r="305" spans="1:13">
      <c r="A305" s="2" t="s">
        <v>259</v>
      </c>
      <c r="B305" s="3"/>
      <c r="C305" s="3"/>
      <c r="D305" s="8"/>
      <c r="H305" s="3"/>
      <c r="I305" s="3"/>
      <c r="J305" s="3"/>
      <c r="K305" s="3"/>
      <c r="L305" s="3"/>
      <c r="M305" s="3"/>
    </row>
    <row r="306" spans="1:13">
      <c r="A306" t="s">
        <v>52</v>
      </c>
      <c r="B306" s="3"/>
      <c r="C306" s="3">
        <v>0.3</v>
      </c>
      <c r="D306" s="8"/>
      <c r="H306" s="3"/>
      <c r="I306" s="3"/>
      <c r="J306" s="3"/>
      <c r="K306" s="3"/>
      <c r="L306" s="3"/>
      <c r="M306" s="3"/>
    </row>
    <row r="307" spans="1:13">
      <c r="A307" t="s">
        <v>165</v>
      </c>
      <c r="B307" s="3"/>
      <c r="C307" s="3">
        <f ca="1">_xll.UNIFORM()</f>
        <v>9.7076416015625E-2</v>
      </c>
      <c r="D307" s="8"/>
      <c r="E307" s="8" t="str">
        <f>E300</f>
        <v>Random Nos.</v>
      </c>
      <c r="F307" s="8" t="str">
        <f>F300</f>
        <v>Formulas</v>
      </c>
      <c r="H307" s="3"/>
      <c r="I307" s="3"/>
      <c r="J307" s="3"/>
      <c r="K307" s="3"/>
      <c r="L307" s="3"/>
      <c r="M307" s="3"/>
    </row>
    <row r="308" spans="1:13">
      <c r="A308" t="s">
        <v>194</v>
      </c>
      <c r="B308" s="3"/>
      <c r="C308" s="3"/>
      <c r="D308" s="4" t="s">
        <v>56</v>
      </c>
      <c r="E308" s="3">
        <f ca="1">_xll.GEOMINV(C306)</f>
        <v>1</v>
      </c>
      <c r="F308" s="8" t="str">
        <f ca="1">_xll.VFORMULA(E308)</f>
        <v>=GEOMINV(C306)</v>
      </c>
      <c r="H308" s="3"/>
      <c r="I308" s="3"/>
      <c r="J308" s="3"/>
      <c r="K308" s="3"/>
      <c r="L308" s="3"/>
      <c r="M308" s="3"/>
    </row>
    <row r="309" spans="1:13">
      <c r="A309" t="s">
        <v>191</v>
      </c>
      <c r="B309" s="3"/>
      <c r="D309" s="4" t="s">
        <v>56</v>
      </c>
      <c r="E309" s="3">
        <f ca="1">_xll.GEOMINV(C306,C307)</f>
        <v>1</v>
      </c>
      <c r="F309" s="8" t="str">
        <f ca="1">_xll.VFORMULA(E309)</f>
        <v>=GEOMINV(C306,C307)</v>
      </c>
      <c r="H309" s="3"/>
      <c r="I309" s="3"/>
      <c r="J309" s="3"/>
      <c r="K309" s="3"/>
      <c r="L309" s="3"/>
      <c r="M309" s="3"/>
    </row>
    <row r="310" spans="1:13">
      <c r="B310" s="3"/>
      <c r="C310" s="3"/>
      <c r="D310" s="8"/>
      <c r="H310" s="3"/>
      <c r="I310" s="3"/>
      <c r="J310" s="3"/>
      <c r="K310" s="3"/>
      <c r="L310" s="3"/>
      <c r="M310" s="3"/>
    </row>
    <row r="311" spans="1:13">
      <c r="B311" s="3"/>
      <c r="C311" s="3"/>
      <c r="D311" s="8"/>
      <c r="H311" s="3"/>
      <c r="I311" s="3"/>
      <c r="J311" s="3"/>
      <c r="K311" s="3"/>
      <c r="L311" s="3"/>
      <c r="M311" s="3"/>
    </row>
    <row r="312" spans="1:13">
      <c r="A312" s="2" t="s">
        <v>260</v>
      </c>
      <c r="B312" s="3"/>
      <c r="C312" s="3"/>
      <c r="D312" s="8"/>
      <c r="H312" s="3"/>
      <c r="I312" s="3"/>
      <c r="J312" s="3"/>
      <c r="K312" s="3"/>
      <c r="L312" s="3"/>
      <c r="M312" s="3"/>
    </row>
    <row r="313" spans="1:13">
      <c r="A313" t="s">
        <v>51</v>
      </c>
      <c r="B313" s="3"/>
      <c r="C313" s="3">
        <v>100</v>
      </c>
      <c r="D313" s="8"/>
      <c r="H313" s="3"/>
      <c r="I313" s="3"/>
      <c r="J313" s="3"/>
      <c r="K313" s="3"/>
      <c r="L313" s="3"/>
      <c r="M313" s="3"/>
    </row>
    <row r="314" spans="1:13">
      <c r="A314" t="s">
        <v>58</v>
      </c>
      <c r="B314" s="3"/>
      <c r="C314" s="3">
        <v>25</v>
      </c>
      <c r="D314" s="8"/>
      <c r="H314" s="3"/>
      <c r="I314" s="3"/>
      <c r="J314" s="3"/>
      <c r="K314" s="3"/>
      <c r="L314" s="3"/>
      <c r="M314" s="3"/>
    </row>
    <row r="315" spans="1:13">
      <c r="A315" t="s">
        <v>59</v>
      </c>
      <c r="B315" s="3"/>
      <c r="C315" s="3">
        <v>5</v>
      </c>
      <c r="D315" s="8"/>
      <c r="H315" s="3"/>
      <c r="I315" s="3"/>
      <c r="J315" s="3"/>
      <c r="K315" s="3"/>
      <c r="L315" s="3"/>
      <c r="M315" s="3"/>
    </row>
    <row r="316" spans="1:13">
      <c r="A316" t="s">
        <v>165</v>
      </c>
      <c r="B316" s="3"/>
      <c r="C316" s="3">
        <f ca="1">_xll.UNIFORM()</f>
        <v>0.723785400390625</v>
      </c>
      <c r="D316" s="8"/>
      <c r="E316" s="2" t="s">
        <v>154</v>
      </c>
      <c r="F316" s="2" t="s">
        <v>120</v>
      </c>
      <c r="H316" s="3"/>
      <c r="I316" s="3"/>
      <c r="J316" s="3"/>
      <c r="K316" s="3"/>
      <c r="L316" s="3"/>
      <c r="M316" s="3"/>
    </row>
    <row r="317" spans="1:13">
      <c r="A317" t="s">
        <v>57</v>
      </c>
      <c r="B317" s="3"/>
      <c r="C317" s="3"/>
      <c r="D317" s="4" t="s">
        <v>57</v>
      </c>
      <c r="E317" s="3">
        <f ca="1">_xll.HYPERGEOMINV(C313,C314,C315)</f>
        <v>1</v>
      </c>
      <c r="F317" s="8" t="str">
        <f ca="1">_xll.VFORMULA(E317)</f>
        <v>=HYPERGEOMINV(C313,C314,C315)</v>
      </c>
      <c r="H317" s="3"/>
      <c r="I317" s="3"/>
      <c r="J317" s="3"/>
      <c r="K317" s="3"/>
      <c r="L317" s="3"/>
      <c r="M317" s="3"/>
    </row>
    <row r="318" spans="1:13">
      <c r="A318" t="s">
        <v>192</v>
      </c>
      <c r="B318" s="3"/>
      <c r="D318" s="4" t="s">
        <v>57</v>
      </c>
      <c r="E318" s="3">
        <f ca="1">_xll.HYPERGEOMINV(C313,C314,C315,C316)</f>
        <v>2</v>
      </c>
      <c r="F318" s="8" t="str">
        <f ca="1">_xll.VFORMULA(E318)</f>
        <v>=HYPERGEOMINV(C313,C314,C315,C316)</v>
      </c>
      <c r="H318" s="3"/>
      <c r="I318" s="3"/>
      <c r="J318" s="3"/>
      <c r="K318" s="3"/>
      <c r="L318" s="3"/>
      <c r="M318" s="3"/>
    </row>
    <row r="319" spans="1:13">
      <c r="H319" s="3"/>
      <c r="I319" s="3"/>
      <c r="J319" s="3"/>
      <c r="K319" s="3"/>
      <c r="L319" s="3"/>
      <c r="M319" s="3"/>
    </row>
    <row r="320" spans="1:13">
      <c r="H320" s="3"/>
      <c r="I320" s="3"/>
      <c r="J320" s="3"/>
      <c r="K320" s="3"/>
      <c r="L320" s="3"/>
      <c r="M320" s="3"/>
    </row>
    <row r="321" spans="1:13">
      <c r="A321" s="2" t="s">
        <v>244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>
      <c r="A322" t="s">
        <v>27</v>
      </c>
      <c r="B322" s="3"/>
      <c r="C322" s="3"/>
      <c r="D322" s="3"/>
      <c r="E322" s="3"/>
      <c r="H322" s="3"/>
      <c r="I322" s="3"/>
      <c r="J322" s="3"/>
      <c r="K322" s="3"/>
      <c r="L322" s="3"/>
      <c r="M322" s="3"/>
    </row>
    <row r="323" spans="1:13">
      <c r="B323" s="3"/>
      <c r="F323" s="3"/>
      <c r="G323" s="3"/>
      <c r="H323" s="3"/>
      <c r="I323" s="3"/>
      <c r="J323" s="3"/>
      <c r="K323" s="3"/>
      <c r="L323" s="3"/>
      <c r="M323" s="3"/>
    </row>
    <row r="324" spans="1:13">
      <c r="A324" t="s">
        <v>14</v>
      </c>
      <c r="B324" t="s">
        <v>48</v>
      </c>
      <c r="F324" s="24"/>
      <c r="G324" s="3"/>
      <c r="H324" s="3"/>
      <c r="I324" s="3"/>
      <c r="J324" s="3"/>
      <c r="K324" s="3"/>
      <c r="L324" s="3"/>
      <c r="M324" s="3"/>
    </row>
    <row r="325" spans="1:13">
      <c r="A325">
        <v>0</v>
      </c>
      <c r="B325" s="67">
        <v>1.5030416624489003</v>
      </c>
      <c r="G325" s="3"/>
      <c r="H325" s="3"/>
      <c r="I325" s="3"/>
      <c r="J325" s="3"/>
      <c r="K325" s="3"/>
      <c r="L325" s="3"/>
      <c r="M325" s="3"/>
    </row>
    <row r="326" spans="1:13">
      <c r="A326" s="81">
        <v>3.8461539894342422E-2</v>
      </c>
      <c r="B326" s="67">
        <v>1.5031243500138989</v>
      </c>
      <c r="C326" s="3"/>
      <c r="G326" s="3"/>
      <c r="H326" s="3"/>
      <c r="I326" s="3"/>
      <c r="J326" s="3"/>
      <c r="K326" s="3"/>
      <c r="L326" s="3"/>
      <c r="M326" s="3"/>
    </row>
    <row r="327" spans="1:13">
      <c r="A327" s="81">
        <v>0.11538461595773697</v>
      </c>
      <c r="B327" s="67">
        <v>1.944040826017976</v>
      </c>
      <c r="G327" s="3"/>
      <c r="H327" s="3"/>
      <c r="I327" s="3"/>
      <c r="J327" s="3"/>
      <c r="K327" s="3"/>
      <c r="L327" s="3"/>
      <c r="M327" s="3"/>
    </row>
    <row r="328" spans="1:13">
      <c r="A328" s="81">
        <v>0.19230769574642181</v>
      </c>
      <c r="B328" s="67">
        <v>2.0112205617385128</v>
      </c>
      <c r="G328" s="3"/>
      <c r="H328" s="3"/>
      <c r="I328" s="3"/>
      <c r="J328" s="3"/>
      <c r="K328" s="3"/>
      <c r="L328" s="3"/>
      <c r="M328" s="3"/>
    </row>
    <row r="329" spans="1:13">
      <c r="A329" s="81">
        <v>0.26923078298568726</v>
      </c>
      <c r="B329" s="67">
        <v>2.0743116030191802</v>
      </c>
      <c r="H329" s="3"/>
      <c r="I329" s="3"/>
      <c r="J329" s="3"/>
      <c r="K329" s="3"/>
      <c r="L329" s="3"/>
      <c r="M329" s="3"/>
    </row>
    <row r="330" spans="1:13">
      <c r="A330" s="81">
        <v>0.3461538553237915</v>
      </c>
      <c r="B330" s="67">
        <v>2.264707354020941</v>
      </c>
      <c r="H330" s="3"/>
      <c r="I330" s="3"/>
      <c r="J330" s="3"/>
      <c r="K330" s="3"/>
      <c r="L330" s="3"/>
      <c r="M330" s="3"/>
    </row>
    <row r="331" spans="1:13">
      <c r="A331" s="81">
        <v>0.42307692766189575</v>
      </c>
      <c r="B331" s="67">
        <v>2.284749012021126</v>
      </c>
      <c r="C331" s="3"/>
      <c r="D331" t="s">
        <v>166</v>
      </c>
      <c r="H331" s="3"/>
      <c r="I331" s="3"/>
    </row>
    <row r="332" spans="1:13">
      <c r="A332" s="81">
        <v>0.5</v>
      </c>
      <c r="B332" s="67">
        <v>2.3649156440218677</v>
      </c>
      <c r="C332" s="3"/>
      <c r="D332" s="25">
        <f ca="1">_xll.UNIFORM()</f>
        <v>0.965789794921875</v>
      </c>
      <c r="H332" s="3"/>
      <c r="I332" s="3"/>
    </row>
    <row r="333" spans="1:13">
      <c r="A333" s="81">
        <v>0.57692307233810425</v>
      </c>
      <c r="B333" s="67">
        <v>2.3749364730219602</v>
      </c>
      <c r="C333" s="3"/>
      <c r="H333" s="3"/>
      <c r="I333" s="3"/>
    </row>
    <row r="334" spans="1:13">
      <c r="A334" s="81">
        <v>0.6538461446762085</v>
      </c>
      <c r="B334" s="67">
        <v>2.4551031050227019</v>
      </c>
      <c r="C334" s="3"/>
      <c r="E334" s="8" t="s">
        <v>154</v>
      </c>
      <c r="F334" s="8" t="s">
        <v>120</v>
      </c>
      <c r="G334" s="3"/>
      <c r="H334" s="3"/>
      <c r="I334" s="3"/>
    </row>
    <row r="335" spans="1:13">
      <c r="A335" s="81">
        <v>0.73076921701431274</v>
      </c>
      <c r="B335" s="67">
        <v>2.5052072500231648</v>
      </c>
      <c r="C335" s="3"/>
      <c r="D335" s="8" t="s">
        <v>301</v>
      </c>
      <c r="G335" s="3"/>
      <c r="H335" s="3"/>
      <c r="I335" s="3"/>
    </row>
    <row r="336" spans="1:13">
      <c r="A336" s="81">
        <v>0.80769228935241699</v>
      </c>
      <c r="B336" s="67">
        <v>2.5452905660235356</v>
      </c>
      <c r="C336" s="3"/>
      <c r="D336" s="3" t="s">
        <v>122</v>
      </c>
      <c r="E336" s="3">
        <f ca="1">_xll.EMPIRICAL(B325:B339,A325:A339,D332)</f>
        <v>3.2467587293385125</v>
      </c>
      <c r="F336" s="23" t="str">
        <f ca="1">_xll.VFORMULA(E336)</f>
        <v>=EMPIRICAL(B325:B339,A325:A339,D332)</v>
      </c>
      <c r="G336" s="3"/>
      <c r="H336" s="3"/>
      <c r="I336" s="3"/>
    </row>
    <row r="337" spans="1:13">
      <c r="A337" s="81">
        <v>0.88461536169052124</v>
      </c>
      <c r="B337" s="67">
        <v>2.7156446590251107</v>
      </c>
      <c r="D337" s="3" t="s">
        <v>123</v>
      </c>
      <c r="E337" s="3">
        <f ca="1">_xll.EMP(B325:B339,A325:A339,D332)</f>
        <v>3.2467587293385125</v>
      </c>
      <c r="F337" s="23" t="str">
        <f ca="1">_xll.VFORMULA(E337)</f>
        <v>=EMP(B325:B339,A325:A339,D332)</v>
      </c>
      <c r="G337" s="3"/>
      <c r="H337" s="3"/>
      <c r="I337" s="3"/>
    </row>
    <row r="338" spans="1:13">
      <c r="A338" s="81">
        <v>0.96153843402862549</v>
      </c>
      <c r="B338" s="67">
        <v>3.246748596030022</v>
      </c>
      <c r="D338" s="3" t="s">
        <v>125</v>
      </c>
      <c r="E338" s="3">
        <f ca="1">_xll.EMP(B325:B339,,D332)</f>
        <v>3.246799500084907</v>
      </c>
      <c r="F338" s="23" t="str">
        <f ca="1">_xll.VFORMULA(E338)</f>
        <v>=EMP(B325:B339,,D332)</v>
      </c>
      <c r="G338" s="3"/>
      <c r="H338" s="3"/>
      <c r="I338" s="3"/>
    </row>
    <row r="339" spans="1:13">
      <c r="A339">
        <v>1</v>
      </c>
      <c r="B339" s="67">
        <v>3.2468402708896251</v>
      </c>
      <c r="D339" s="3" t="s">
        <v>153</v>
      </c>
      <c r="E339" s="3">
        <f ca="1">_xll.EMP(B325:B339,A325:A339,D332,1)</f>
        <v>3.2467587293385125</v>
      </c>
      <c r="F339" s="23" t="str">
        <f ca="1">_xll.VFORMULA(E339)</f>
        <v>=EMP(B325:B339,A325:A339,D332,1)</v>
      </c>
      <c r="G339" s="3"/>
      <c r="H339" s="3"/>
      <c r="I339" s="3"/>
      <c r="J339" s="3"/>
      <c r="K339" s="3"/>
      <c r="L339" s="3"/>
      <c r="M339" s="3"/>
    </row>
    <row r="340" spans="1:13">
      <c r="I340" s="3"/>
      <c r="J340" s="3"/>
      <c r="K340" s="3"/>
      <c r="L340" s="3"/>
      <c r="M340" s="3"/>
    </row>
    <row r="341" spans="1:13">
      <c r="A341" s="2" t="s">
        <v>302</v>
      </c>
      <c r="I341" s="3"/>
      <c r="J341" s="3"/>
      <c r="K341" s="3"/>
      <c r="L341" s="3"/>
      <c r="M341" s="3"/>
    </row>
    <row r="342" spans="1:13">
      <c r="A342" s="80" t="s">
        <v>0</v>
      </c>
      <c r="C342" s="3">
        <v>2</v>
      </c>
      <c r="I342" s="3"/>
      <c r="J342" s="3"/>
      <c r="K342" s="3"/>
      <c r="L342" s="3"/>
      <c r="M342" s="3"/>
    </row>
    <row r="343" spans="1:13">
      <c r="A343" t="s">
        <v>2</v>
      </c>
      <c r="C343" s="3">
        <v>3</v>
      </c>
      <c r="E343" s="8" t="s">
        <v>154</v>
      </c>
      <c r="F343" s="8" t="s">
        <v>120</v>
      </c>
      <c r="I343" s="3"/>
      <c r="J343" s="3"/>
      <c r="K343" s="3"/>
      <c r="L343" s="3"/>
      <c r="M343" s="3"/>
    </row>
    <row r="344" spans="1:13">
      <c r="D344" s="3" t="s">
        <v>155</v>
      </c>
      <c r="E344" s="3">
        <f ca="1">_xll.TEMPIRICAL(B325:B339,A325:A339,C342,C343)</f>
        <v>2.5065931946825435</v>
      </c>
      <c r="F344" s="23" t="str">
        <f ca="1">_xll.VFORMULA(E344)</f>
        <v>=TEMPIRICAL(B325:B339,A325:A339,C342,C343)</v>
      </c>
      <c r="I344" s="3"/>
      <c r="J344" s="3"/>
      <c r="K344" s="3"/>
      <c r="L344" s="3"/>
      <c r="M344" s="3"/>
    </row>
    <row r="345" spans="1:13">
      <c r="D345" s="3" t="s">
        <v>155</v>
      </c>
      <c r="E345" s="3">
        <f ca="1">_xll.TEMPIRICAL(B325:B339,A325:A339,C342,C343,D332)</f>
        <v>3</v>
      </c>
      <c r="F345" s="23" t="str">
        <f ca="1">_xll.VFORMULA(E345)</f>
        <v>=TEMPIRICAL(B325:B339,A325:A339,C342,C343,D332)</v>
      </c>
      <c r="I345" s="3"/>
      <c r="J345" s="3"/>
      <c r="K345" s="3"/>
      <c r="L345" s="3"/>
      <c r="M345" s="3"/>
    </row>
    <row r="346" spans="1:13">
      <c r="A346" s="3"/>
      <c r="C346" s="3"/>
      <c r="I346" s="3"/>
      <c r="J346" s="3"/>
      <c r="K346" s="3"/>
      <c r="L346" s="3"/>
      <c r="M346" s="3"/>
    </row>
    <row r="347" spans="1:13">
      <c r="A347" s="8" t="s">
        <v>303</v>
      </c>
      <c r="B347" s="3"/>
      <c r="C347" s="23"/>
      <c r="I347" s="3"/>
      <c r="J347" s="3"/>
      <c r="K347" s="3"/>
      <c r="L347" s="3"/>
      <c r="M347" s="3"/>
    </row>
    <row r="348" spans="1:13">
      <c r="A348" s="4" t="s">
        <v>400</v>
      </c>
      <c r="B348" s="3"/>
      <c r="C348" s="23"/>
      <c r="I348" s="3"/>
      <c r="J348" s="3"/>
      <c r="K348" s="3"/>
      <c r="L348" s="3"/>
      <c r="M348" s="3"/>
    </row>
    <row r="349" spans="1:13">
      <c r="A349" s="91">
        <v>1</v>
      </c>
      <c r="I349" s="3"/>
      <c r="J349" s="3"/>
      <c r="K349" s="3"/>
      <c r="L349" s="3"/>
      <c r="M349" s="3"/>
    </row>
    <row r="350" spans="1:13">
      <c r="A350" s="92">
        <v>5</v>
      </c>
      <c r="B350" s="141" t="s">
        <v>15</v>
      </c>
      <c r="C350" s="67">
        <f ca="1">_xll.UNIFORM()</f>
        <v>0.835205078125</v>
      </c>
      <c r="I350" s="3"/>
      <c r="J350" s="3"/>
      <c r="K350" s="3"/>
      <c r="L350" s="3"/>
      <c r="M350" s="3"/>
    </row>
    <row r="351" spans="1:13">
      <c r="A351" s="92">
        <v>8</v>
      </c>
      <c r="E351" s="8" t="s">
        <v>154</v>
      </c>
      <c r="F351" s="8" t="s">
        <v>120</v>
      </c>
      <c r="I351" s="3"/>
      <c r="J351" s="3"/>
      <c r="K351" s="3"/>
      <c r="L351" s="3"/>
      <c r="M351" s="3"/>
    </row>
    <row r="352" spans="1:13">
      <c r="A352" s="92">
        <v>9</v>
      </c>
      <c r="D352" s="3" t="s">
        <v>124</v>
      </c>
      <c r="E352" s="3">
        <f ca="1">_xll.DEMPIRICAL(A349:A353)</f>
        <v>8</v>
      </c>
      <c r="F352" s="23" t="str">
        <f ca="1">_xll.VFORMULA(E352)</f>
        <v>=DEMPIRICAL(A349:A353)</v>
      </c>
      <c r="I352" s="3"/>
      <c r="J352" s="3"/>
      <c r="K352" s="3"/>
      <c r="L352" s="3"/>
      <c r="M352" s="3"/>
    </row>
    <row r="353" spans="1:13">
      <c r="A353" s="93">
        <v>11</v>
      </c>
      <c r="D353" s="3" t="s">
        <v>124</v>
      </c>
      <c r="E353" s="3">
        <f ca="1">_xll.DEMPIRICAL(A349:A353,C350)</f>
        <v>11</v>
      </c>
      <c r="F353" s="23" t="str">
        <f ca="1">_xll.VFORMULA(E353)</f>
        <v>=DEMPIRICAL(A349:A353,C350)</v>
      </c>
      <c r="I353" s="3"/>
      <c r="J353" s="3"/>
      <c r="K353" s="3"/>
      <c r="L353" s="3"/>
      <c r="M353" s="3"/>
    </row>
    <row r="354" spans="1:13">
      <c r="I354" s="3"/>
      <c r="J354" s="3"/>
      <c r="K354" s="3"/>
      <c r="L354" s="3"/>
      <c r="M354" s="3"/>
    </row>
    <row r="355" spans="1:13">
      <c r="I355" s="3"/>
      <c r="J355" s="3"/>
      <c r="K355" s="3"/>
      <c r="L355" s="3"/>
      <c r="M355" s="3"/>
    </row>
    <row r="356" spans="1:13">
      <c r="A356" s="8" t="s">
        <v>304</v>
      </c>
      <c r="I356" s="3"/>
      <c r="J356" s="3"/>
      <c r="K356" s="3"/>
      <c r="L356" s="3"/>
      <c r="M356" s="3"/>
    </row>
    <row r="357" spans="1:13">
      <c r="A357" s="4" t="s">
        <v>358</v>
      </c>
      <c r="I357" s="3"/>
      <c r="J357" s="3"/>
      <c r="K357" s="3"/>
      <c r="L357" s="3"/>
      <c r="M357" s="3"/>
    </row>
    <row r="358" spans="1:13">
      <c r="A358" s="88">
        <v>1.5</v>
      </c>
      <c r="B358" t="s">
        <v>306</v>
      </c>
      <c r="C358" s="67">
        <f>_xll.BANDWIDTH(A358:A370)</f>
        <v>0.1163040272765135</v>
      </c>
      <c r="D358" t="str">
        <f ca="1">_xll.VFORMULA(C358)</f>
        <v>=BANDWIDTH(A358:A370)</v>
      </c>
      <c r="I358" s="3"/>
      <c r="J358" s="3"/>
      <c r="K358" s="3"/>
      <c r="L358" s="3"/>
      <c r="M358" s="3"/>
    </row>
    <row r="359" spans="1:13">
      <c r="A359" s="89">
        <v>1.94</v>
      </c>
      <c r="B359" t="s">
        <v>307</v>
      </c>
      <c r="C359">
        <v>0</v>
      </c>
      <c r="D359" t="s">
        <v>357</v>
      </c>
      <c r="I359" s="3"/>
      <c r="J359" s="3"/>
      <c r="K359" s="3"/>
      <c r="L359" s="3"/>
      <c r="M359" s="3"/>
    </row>
    <row r="360" spans="1:13">
      <c r="A360" s="89">
        <v>2.54</v>
      </c>
      <c r="B360" t="s">
        <v>15</v>
      </c>
      <c r="C360" s="67">
        <f ca="1">_xll.UNIFORM()</f>
        <v>0.405548095703125</v>
      </c>
      <c r="I360" s="3"/>
      <c r="J360" s="3"/>
      <c r="K360" s="3"/>
      <c r="L360" s="3"/>
      <c r="M360" s="3"/>
    </row>
    <row r="361" spans="1:13">
      <c r="A361" s="89">
        <v>2.36</v>
      </c>
      <c r="B361" t="s">
        <v>128</v>
      </c>
      <c r="C361">
        <v>1000</v>
      </c>
      <c r="I361" s="3"/>
      <c r="J361" s="3"/>
      <c r="K361" s="3"/>
      <c r="L361" s="3"/>
      <c r="M361" s="3"/>
    </row>
    <row r="362" spans="1:13">
      <c r="A362" s="89">
        <v>2.2799999999999998</v>
      </c>
      <c r="B362" t="s">
        <v>129</v>
      </c>
      <c r="C362">
        <v>1.0000000000000001E-5</v>
      </c>
      <c r="I362" s="3"/>
      <c r="J362" s="3"/>
      <c r="K362" s="3"/>
      <c r="L362" s="3"/>
      <c r="M362" s="3"/>
    </row>
    <row r="363" spans="1:13">
      <c r="A363" s="89">
        <v>2.37</v>
      </c>
      <c r="I363" s="3"/>
      <c r="J363" s="3"/>
      <c r="K363" s="3"/>
      <c r="L363" s="3"/>
      <c r="M363" s="3"/>
    </row>
    <row r="364" spans="1:13">
      <c r="A364" s="89">
        <v>2.0699999999999998</v>
      </c>
      <c r="D364" s="8" t="s">
        <v>154</v>
      </c>
      <c r="E364" s="8" t="s">
        <v>120</v>
      </c>
      <c r="I364" s="3"/>
      <c r="J364" s="3"/>
      <c r="K364" s="3"/>
      <c r="L364" s="3"/>
      <c r="M364" s="3"/>
    </row>
    <row r="365" spans="1:13">
      <c r="A365" s="89">
        <v>2.5</v>
      </c>
      <c r="C365" t="s">
        <v>305</v>
      </c>
      <c r="D365">
        <f ca="1">_xll.KDEINV(A358:A370,C358,C359,C360,C361,C362)</f>
        <v>2.3189305114746093</v>
      </c>
      <c r="E365" s="2" t="str">
        <f ca="1">_xll.VFORMULA(D365)</f>
        <v>=KDEINV(A358:A370,C358,C359,C360,C361,C362)</v>
      </c>
      <c r="I365" s="3"/>
      <c r="J365" s="3"/>
      <c r="K365" s="3"/>
      <c r="L365" s="3"/>
      <c r="M365" s="3"/>
    </row>
    <row r="366" spans="1:13">
      <c r="A366" s="89">
        <v>2.2599999999999998</v>
      </c>
      <c r="I366" s="3"/>
      <c r="J366" s="3"/>
      <c r="K366" s="3"/>
      <c r="L366" s="3"/>
      <c r="M366" s="3"/>
    </row>
    <row r="367" spans="1:13">
      <c r="A367" s="89">
        <v>3.24</v>
      </c>
      <c r="I367" s="3"/>
      <c r="J367" s="3"/>
      <c r="K367" s="3"/>
      <c r="L367" s="3"/>
      <c r="M367" s="3"/>
    </row>
    <row r="368" spans="1:13">
      <c r="A368" s="89">
        <v>2.71</v>
      </c>
      <c r="I368" s="3"/>
      <c r="J368" s="3"/>
      <c r="K368" s="3"/>
      <c r="L368" s="3"/>
      <c r="M368" s="3"/>
    </row>
    <row r="369" spans="1:13">
      <c r="A369" s="89">
        <v>2.4500000000000002</v>
      </c>
      <c r="I369" s="3"/>
      <c r="J369" s="3"/>
      <c r="K369" s="3"/>
      <c r="L369" s="3"/>
      <c r="M369" s="3"/>
    </row>
    <row r="370" spans="1:13">
      <c r="A370" s="90">
        <v>2.5070400979</v>
      </c>
      <c r="I370" s="3"/>
      <c r="J370" s="3"/>
      <c r="K370" s="3"/>
      <c r="L370" s="3"/>
      <c r="M370" s="3"/>
    </row>
    <row r="371" spans="1:13">
      <c r="A371" s="8"/>
      <c r="I371" s="3"/>
      <c r="J371" s="3"/>
      <c r="K371" s="3"/>
      <c r="L371" s="3"/>
      <c r="M371" s="3"/>
    </row>
    <row r="372" spans="1:13">
      <c r="A372" s="8"/>
      <c r="I372" s="3"/>
      <c r="J372" s="3"/>
      <c r="K372" s="3"/>
      <c r="L372" s="3"/>
      <c r="M372" s="3"/>
    </row>
    <row r="373" spans="1:13">
      <c r="A373" s="2" t="s">
        <v>242</v>
      </c>
      <c r="B373" s="3"/>
      <c r="C373" s="3"/>
      <c r="E373" s="3"/>
      <c r="F373" s="3"/>
      <c r="G373" s="3"/>
      <c r="I373" s="3"/>
      <c r="J373" s="3"/>
      <c r="K373" s="3"/>
      <c r="L373" s="3"/>
      <c r="M373" s="3"/>
    </row>
    <row r="374" spans="1:13">
      <c r="A374" s="4" t="s">
        <v>168</v>
      </c>
      <c r="B374" s="3" t="s">
        <v>169</v>
      </c>
      <c r="E374" s="8" t="s">
        <v>146</v>
      </c>
      <c r="F374" s="78" t="s">
        <v>121</v>
      </c>
      <c r="G374" s="3"/>
      <c r="I374" s="3"/>
      <c r="J374" s="3"/>
      <c r="K374" s="3"/>
      <c r="L374" s="3"/>
      <c r="M374" s="3"/>
    </row>
    <row r="375" spans="1:13">
      <c r="A375" s="34">
        <v>1</v>
      </c>
      <c r="B375" s="20">
        <v>1</v>
      </c>
      <c r="D375" t="s">
        <v>170</v>
      </c>
      <c r="E375" s="20">
        <f ca="1">_xll.RANDSORT(A375:A380)</f>
        <v>3</v>
      </c>
      <c r="F375" s="23" t="str">
        <f ca="1">_xll.VFORMULA(E375)</f>
        <v>=RANDSORT(A375:A380)</v>
      </c>
      <c r="G375" s="3"/>
      <c r="I375" s="3"/>
      <c r="J375" s="3"/>
      <c r="K375" s="3"/>
      <c r="L375" s="3"/>
      <c r="M375" s="3"/>
    </row>
    <row r="376" spans="1:13">
      <c r="A376" s="34">
        <v>2</v>
      </c>
      <c r="B376" s="20">
        <v>2</v>
      </c>
      <c r="C376" s="20"/>
      <c r="D376" s="3" t="s">
        <v>171</v>
      </c>
      <c r="E376" s="20">
        <f ca="1">_xll.RANDSORT(B375:B380)</f>
        <v>4</v>
      </c>
      <c r="F376" s="23" t="str">
        <f ca="1">_xll.VFORMULA(E376)</f>
        <v>=RANDSORT(B375:B380)</v>
      </c>
      <c r="G376" s="3"/>
      <c r="I376" s="3"/>
      <c r="J376" s="3"/>
      <c r="K376" s="3"/>
      <c r="L376" s="3"/>
      <c r="M376" s="3"/>
    </row>
    <row r="377" spans="1:13">
      <c r="A377" s="34">
        <v>3</v>
      </c>
      <c r="B377" s="20">
        <v>3</v>
      </c>
      <c r="C377" s="20"/>
      <c r="D377" s="3" t="s">
        <v>218</v>
      </c>
      <c r="E377" s="20">
        <f ca="1">E376+E375</f>
        <v>7</v>
      </c>
      <c r="F377" s="23" t="str">
        <f ca="1">_xll.VFORMULA(E377)</f>
        <v>=E376+E375</v>
      </c>
      <c r="G377" s="3"/>
      <c r="I377" s="3"/>
      <c r="J377" s="3"/>
      <c r="K377" s="3"/>
      <c r="L377" s="3"/>
      <c r="M377" s="3"/>
    </row>
    <row r="378" spans="1:13">
      <c r="A378" s="34">
        <v>4</v>
      </c>
      <c r="B378" s="20">
        <v>4</v>
      </c>
      <c r="C378" s="20"/>
      <c r="D378" s="3"/>
      <c r="E378" s="3"/>
      <c r="F378" s="3"/>
      <c r="G378" s="3"/>
      <c r="I378" s="3"/>
      <c r="J378" s="3"/>
      <c r="K378" s="3"/>
      <c r="L378" s="3"/>
      <c r="M378" s="3"/>
    </row>
    <row r="379" spans="1:13">
      <c r="A379" s="34">
        <v>5</v>
      </c>
      <c r="B379" s="20">
        <v>5</v>
      </c>
      <c r="C379" s="20"/>
      <c r="D379" s="3"/>
      <c r="E379" s="3"/>
      <c r="F379" s="3"/>
      <c r="G379" s="3"/>
      <c r="I379" s="3"/>
      <c r="J379" s="3"/>
      <c r="K379" s="3"/>
      <c r="L379" s="3"/>
      <c r="M379" s="3"/>
    </row>
    <row r="380" spans="1:13">
      <c r="A380" s="34">
        <v>6</v>
      </c>
      <c r="B380" s="20">
        <v>6</v>
      </c>
      <c r="C380" s="20"/>
      <c r="D380" s="3"/>
      <c r="E380" s="3"/>
      <c r="F380" s="3"/>
      <c r="G380" s="3"/>
      <c r="I380" s="3"/>
      <c r="J380" s="3"/>
      <c r="K380" s="3"/>
      <c r="L380" s="3"/>
      <c r="M380" s="3"/>
    </row>
    <row r="381" spans="1:13">
      <c r="I381" s="3"/>
      <c r="J381" s="3"/>
      <c r="K381" s="3"/>
      <c r="L381" s="3"/>
      <c r="M381" s="3"/>
    </row>
    <row r="382" spans="1:13">
      <c r="A382" s="33" t="s">
        <v>264</v>
      </c>
      <c r="B382" s="3"/>
      <c r="C382" s="3"/>
      <c r="E382" s="58"/>
      <c r="F382" s="23"/>
      <c r="I382" s="3"/>
      <c r="J382" s="3"/>
      <c r="K382" s="3"/>
      <c r="L382" s="3"/>
      <c r="M382" s="3"/>
    </row>
    <row r="383" spans="1:13" ht="12.75" thickBot="1">
      <c r="A383" t="s">
        <v>239</v>
      </c>
      <c r="E383" s="8" t="s">
        <v>154</v>
      </c>
      <c r="F383" s="2" t="s">
        <v>121</v>
      </c>
      <c r="I383" s="3"/>
      <c r="J383" s="3"/>
      <c r="K383" s="3"/>
      <c r="L383" s="3"/>
      <c r="M383" s="3"/>
    </row>
    <row r="384" spans="1:13">
      <c r="A384" s="45" t="s">
        <v>172</v>
      </c>
      <c r="B384" s="23"/>
      <c r="C384" s="4" t="s">
        <v>36</v>
      </c>
      <c r="E384" s="84" t="str">
        <f t="array" aca="1" ref="E384:E387" ca="1">_xll.RANDSORT(A384:A387)</f>
        <v>Queen</v>
      </c>
      <c r="F384" s="23" t="str">
        <f ca="1">_xll.VFORMULA(E384)</f>
        <v>=RANDSORT(A384:A387)</v>
      </c>
      <c r="I384" s="3"/>
      <c r="J384" s="3"/>
      <c r="K384" s="3"/>
      <c r="L384" s="3"/>
      <c r="M384" s="3"/>
    </row>
    <row r="385" spans="1:13">
      <c r="A385" s="46" t="s">
        <v>173</v>
      </c>
      <c r="B385" s="35"/>
      <c r="C385" s="131" t="s">
        <v>359</v>
      </c>
      <c r="E385" s="85" t="str">
        <f ca="1"/>
        <v>Ace</v>
      </c>
      <c r="F385" s="23"/>
      <c r="I385" s="3"/>
      <c r="J385" s="3"/>
      <c r="K385" s="3"/>
      <c r="L385" s="3"/>
      <c r="M385" s="3"/>
    </row>
    <row r="386" spans="1:13">
      <c r="A386" s="46" t="s">
        <v>174</v>
      </c>
      <c r="B386" s="35"/>
      <c r="C386" s="83"/>
      <c r="E386" s="85" t="str">
        <f ca="1"/>
        <v>Jack</v>
      </c>
      <c r="F386" s="23"/>
      <c r="I386" s="3"/>
      <c r="J386" s="3"/>
      <c r="K386" s="3"/>
      <c r="L386" s="3"/>
      <c r="M386" s="3"/>
    </row>
    <row r="387" spans="1:13" ht="12.75" thickBot="1">
      <c r="A387" s="47" t="s">
        <v>175</v>
      </c>
      <c r="B387" s="35"/>
      <c r="C387" s="83"/>
      <c r="D387" s="3"/>
      <c r="E387" s="86" t="str">
        <f ca="1"/>
        <v>King</v>
      </c>
      <c r="F387" s="23"/>
      <c r="I387" s="3"/>
      <c r="J387" s="3"/>
      <c r="K387" s="3"/>
      <c r="L387" s="3"/>
      <c r="M387" s="3"/>
    </row>
    <row r="388" spans="1:13" ht="12.75" thickBot="1">
      <c r="A388" s="82"/>
      <c r="B388" s="35"/>
      <c r="I388" s="3"/>
      <c r="J388" s="3"/>
      <c r="K388" s="3"/>
      <c r="L388" s="3"/>
      <c r="M388" s="3"/>
    </row>
    <row r="389" spans="1:13" ht="12.75" thickBot="1">
      <c r="A389" s="3"/>
      <c r="B389" s="3"/>
      <c r="C389" s="4" t="s">
        <v>360</v>
      </c>
      <c r="D389" s="3"/>
      <c r="E389" s="136" t="str">
        <f ca="1">_xll.RANDSORT(A384:A387)</f>
        <v>Queen</v>
      </c>
      <c r="F389" s="23" t="str">
        <f ca="1">_xll.VFORMULA(E389)</f>
        <v>=RANDSORT(A384:A387)</v>
      </c>
      <c r="I389" s="3"/>
      <c r="J389" s="3"/>
      <c r="K389" s="3"/>
      <c r="L389" s="3"/>
      <c r="M389" s="3"/>
    </row>
    <row r="390" spans="1:13">
      <c r="A390" s="3"/>
      <c r="B390" s="3"/>
      <c r="C390" s="3"/>
      <c r="D390" s="3"/>
      <c r="I390" s="3"/>
      <c r="J390" s="3"/>
      <c r="K390" s="3"/>
      <c r="L390" s="3"/>
      <c r="M390" s="3"/>
    </row>
    <row r="391" spans="1:13">
      <c r="A391" s="3"/>
      <c r="B391" s="3"/>
      <c r="C391" s="3"/>
      <c r="D391" s="3"/>
      <c r="I391" s="3"/>
      <c r="J391" s="3"/>
      <c r="K391" s="3"/>
      <c r="L391" s="3"/>
      <c r="M391" s="3"/>
    </row>
    <row r="392" spans="1:13">
      <c r="A392" s="2" t="s">
        <v>308</v>
      </c>
      <c r="B392" s="3"/>
      <c r="C392" s="3"/>
      <c r="D392" s="3"/>
      <c r="E392" s="3"/>
      <c r="F392" s="23"/>
      <c r="I392" s="3"/>
      <c r="J392" s="3"/>
      <c r="K392" s="3"/>
      <c r="L392" s="3"/>
      <c r="M392" s="3"/>
    </row>
    <row r="393" spans="1:13" ht="12.75" thickBot="1">
      <c r="A393" s="4" t="s">
        <v>46</v>
      </c>
      <c r="B393" s="3"/>
      <c r="D393" s="8"/>
      <c r="E393" s="8" t="s">
        <v>154</v>
      </c>
      <c r="F393" s="8" t="s">
        <v>120</v>
      </c>
      <c r="I393" s="3"/>
      <c r="J393" s="3"/>
      <c r="K393" s="3"/>
      <c r="L393" s="3"/>
      <c r="M393" s="3"/>
    </row>
    <row r="394" spans="1:13">
      <c r="A394" s="62">
        <v>1</v>
      </c>
      <c r="B394" s="20"/>
      <c r="D394" t="s">
        <v>207</v>
      </c>
      <c r="E394" s="59">
        <f ca="1">_xll.BOOTSTRAPPER($A$394:$A$399)</f>
        <v>3</v>
      </c>
      <c r="F394" s="23" t="str">
        <f ca="1">_xll.VFORMULA(E394)</f>
        <v>=BOOTSTRAPPER($A$394:$A$399)</v>
      </c>
      <c r="I394" s="3"/>
      <c r="J394" s="3"/>
      <c r="K394" s="3"/>
      <c r="L394" s="3"/>
      <c r="M394" s="3"/>
    </row>
    <row r="395" spans="1:13">
      <c r="A395" s="63">
        <v>2</v>
      </c>
      <c r="B395" s="20"/>
      <c r="C395" s="20"/>
      <c r="D395" t="s">
        <v>207</v>
      </c>
      <c r="E395" s="60">
        <f ca="1">_xll.BOOTSTRAPPER($A$394:$A$399)</f>
        <v>1</v>
      </c>
      <c r="F395" s="23" t="str">
        <f ca="1">_xll.VFORMULA(E395)</f>
        <v>=BOOTSTRAPPER($A$394:$A$399)</v>
      </c>
      <c r="I395" s="3"/>
      <c r="J395" s="3"/>
      <c r="K395" s="3"/>
      <c r="L395" s="3"/>
      <c r="M395" s="3"/>
    </row>
    <row r="396" spans="1:13">
      <c r="A396" s="63">
        <v>3</v>
      </c>
      <c r="B396" s="20"/>
      <c r="C396" s="20"/>
      <c r="D396" t="s">
        <v>207</v>
      </c>
      <c r="E396" s="60">
        <f ca="1">_xll.BOOTSTRAPPER($A$394:$A$399)</f>
        <v>5</v>
      </c>
      <c r="F396" s="23" t="str">
        <f ca="1">_xll.VFORMULA(E396)</f>
        <v>=BOOTSTRAPPER($A$394:$A$399)</v>
      </c>
      <c r="I396" s="3"/>
      <c r="J396" s="3"/>
      <c r="K396" s="3"/>
      <c r="L396" s="3"/>
      <c r="M396" s="3"/>
    </row>
    <row r="397" spans="1:13">
      <c r="A397" s="63">
        <v>4</v>
      </c>
      <c r="B397" s="20"/>
      <c r="C397" s="20"/>
      <c r="D397" t="s">
        <v>207</v>
      </c>
      <c r="E397" s="60">
        <f ca="1">_xll.BOOTSTRAPPER($A$394:$A$399)</f>
        <v>1</v>
      </c>
      <c r="F397" s="23" t="str">
        <f ca="1">_xll.VFORMULA(E397)</f>
        <v>=BOOTSTRAPPER($A$394:$A$399)</v>
      </c>
      <c r="I397" s="3"/>
      <c r="J397" s="3"/>
      <c r="K397" s="3"/>
      <c r="L397" s="3"/>
      <c r="M397" s="3"/>
    </row>
    <row r="398" spans="1:13">
      <c r="A398" s="63">
        <v>5</v>
      </c>
      <c r="B398" s="20"/>
      <c r="C398" s="20"/>
      <c r="D398" t="s">
        <v>207</v>
      </c>
      <c r="E398" s="60">
        <f ca="1">_xll.BOOTSTRAPPER($A$394:$A$399)</f>
        <v>4</v>
      </c>
      <c r="F398" s="23" t="str">
        <f ca="1">_xll.VFORMULA(E398)</f>
        <v>=BOOTSTRAPPER($A$394:$A$399)</v>
      </c>
      <c r="I398" s="3"/>
      <c r="J398" s="3"/>
      <c r="K398" s="3"/>
      <c r="L398" s="3"/>
      <c r="M398" s="3"/>
    </row>
    <row r="399" spans="1:13" ht="12.75" thickBot="1">
      <c r="A399" s="64">
        <v>6</v>
      </c>
      <c r="B399" s="20"/>
      <c r="C399" s="20"/>
      <c r="D399" t="s">
        <v>207</v>
      </c>
      <c r="E399" s="61">
        <f ca="1">_xll.BOOTSTRAPPER($A$394:$A$399)</f>
        <v>1</v>
      </c>
      <c r="F399" s="23" t="str">
        <f ca="1">_xll.VFORMULA(E399)</f>
        <v>=BOOTSTRAPPER($A$394:$A$399)</v>
      </c>
      <c r="I399" s="3"/>
      <c r="J399" s="3"/>
      <c r="K399" s="3"/>
      <c r="L399" s="3"/>
      <c r="M399" s="3"/>
    </row>
    <row r="400" spans="1:13">
      <c r="A400" s="116"/>
      <c r="B400" s="20"/>
      <c r="C400" s="20"/>
      <c r="E400" s="117"/>
      <c r="F400" s="23"/>
      <c r="I400" s="3"/>
      <c r="J400" s="3"/>
      <c r="K400" s="3"/>
      <c r="L400" s="3"/>
      <c r="M400" s="3"/>
    </row>
    <row r="401" spans="1:13">
      <c r="A401" s="118" t="s">
        <v>356</v>
      </c>
      <c r="B401" s="20"/>
      <c r="C401" s="20"/>
      <c r="E401" s="117"/>
      <c r="F401" s="23"/>
      <c r="I401" s="3"/>
      <c r="J401" s="3"/>
      <c r="K401" s="3"/>
      <c r="L401" s="3"/>
      <c r="M401" s="3"/>
    </row>
    <row r="402" spans="1:13">
      <c r="E402" s="8" t="s">
        <v>382</v>
      </c>
      <c r="F402" s="8"/>
      <c r="I402" s="3"/>
      <c r="J402" s="3"/>
      <c r="K402" s="3"/>
      <c r="L402" s="3"/>
      <c r="M402" s="3"/>
    </row>
    <row r="403" spans="1:13" ht="12.75" thickBot="1">
      <c r="A403" s="119" t="s">
        <v>353</v>
      </c>
      <c r="B403" s="120" t="s">
        <v>354</v>
      </c>
      <c r="C403" s="120" t="s">
        <v>355</v>
      </c>
      <c r="D403" s="20"/>
      <c r="E403" s="137" t="s">
        <v>353</v>
      </c>
      <c r="F403" s="138" t="s">
        <v>354</v>
      </c>
      <c r="G403" s="138" t="s">
        <v>355</v>
      </c>
      <c r="H403" s="139" t="s">
        <v>121</v>
      </c>
      <c r="I403" s="140"/>
      <c r="J403" s="140"/>
      <c r="K403" s="3"/>
      <c r="L403" s="3"/>
      <c r="M403" s="3"/>
    </row>
    <row r="404" spans="1:13">
      <c r="A404" s="124">
        <v>1</v>
      </c>
      <c r="B404" s="125">
        <v>23.4</v>
      </c>
      <c r="C404" s="121">
        <v>4.5</v>
      </c>
      <c r="E404" s="127">
        <f t="array" aca="1" ref="E404:G404" ca="1">_xll.BOOTSTRAPPER($A$404:$C$408,1)</f>
        <v>4</v>
      </c>
      <c r="F404" s="130">
        <f ca="1"/>
        <v>56.7</v>
      </c>
      <c r="G404" s="127">
        <f ca="1"/>
        <v>3.3</v>
      </c>
      <c r="H404" s="2" t="str">
        <f ca="1">_xll.VFORMULA(G404)</f>
        <v>=BOOTSTRAPPER($A$404:$C$408,1)</v>
      </c>
      <c r="I404" s="3"/>
      <c r="J404" s="3"/>
      <c r="K404" s="3"/>
      <c r="L404" s="3"/>
      <c r="M404" s="3"/>
    </row>
    <row r="405" spans="1:13">
      <c r="A405" s="126">
        <v>4</v>
      </c>
      <c r="B405" s="127">
        <v>56.7</v>
      </c>
      <c r="C405" s="122">
        <v>3.3</v>
      </c>
      <c r="E405" s="127">
        <f t="array" aca="1" ref="E405:G405" ca="1">_xll.BOOTSTRAPPER($A$404:$C$408,1)</f>
        <v>4</v>
      </c>
      <c r="F405" s="130">
        <f ca="1"/>
        <v>56.7</v>
      </c>
      <c r="G405" s="127">
        <f ca="1"/>
        <v>3.3</v>
      </c>
      <c r="H405" s="2" t="str">
        <f ca="1">_xll.VFORMULA(G405)</f>
        <v>=BOOTSTRAPPER($A$404:$C$408,1)</v>
      </c>
      <c r="I405" s="3"/>
      <c r="J405" s="3"/>
      <c r="K405" s="3"/>
      <c r="L405" s="3"/>
      <c r="M405" s="3"/>
    </row>
    <row r="406" spans="1:13">
      <c r="A406" s="126">
        <v>8</v>
      </c>
      <c r="B406" s="127">
        <v>12.9</v>
      </c>
      <c r="C406" s="122">
        <v>6.9</v>
      </c>
      <c r="E406" s="127">
        <f t="array" aca="1" ref="E406:G406" ca="1">_xll.BOOTSTRAPPER($A$404:$C$408,1)</f>
        <v>8</v>
      </c>
      <c r="F406" s="130">
        <f ca="1"/>
        <v>12.9</v>
      </c>
      <c r="G406" s="127">
        <f ca="1"/>
        <v>6.9</v>
      </c>
      <c r="H406" s="2" t="str">
        <f ca="1">_xll.VFORMULA(G406)</f>
        <v>=BOOTSTRAPPER($A$404:$C$408,1)</v>
      </c>
      <c r="I406" s="3"/>
      <c r="J406" s="3"/>
      <c r="K406" s="3"/>
      <c r="L406" s="3"/>
      <c r="M406" s="3"/>
    </row>
    <row r="407" spans="1:13">
      <c r="A407" s="126">
        <v>9</v>
      </c>
      <c r="B407" s="127">
        <v>6.4</v>
      </c>
      <c r="C407" s="122">
        <v>2.2999999999999998</v>
      </c>
      <c r="E407" s="127">
        <f t="array" aca="1" ref="E407:G407" ca="1">_xll.BOOTSTRAPPER($A$404:$C$408,1)</f>
        <v>5</v>
      </c>
      <c r="F407" s="130">
        <f ca="1"/>
        <v>55.5</v>
      </c>
      <c r="G407" s="127">
        <f ca="1"/>
        <v>1.5</v>
      </c>
      <c r="H407" s="2" t="str">
        <f ca="1">_xll.VFORMULA(G407)</f>
        <v>=BOOTSTRAPPER($A$404:$C$408,1)</v>
      </c>
      <c r="I407" s="3"/>
      <c r="J407" s="3"/>
      <c r="K407" s="3"/>
      <c r="L407" s="3"/>
      <c r="M407" s="3"/>
    </row>
    <row r="408" spans="1:13" ht="12.75" thickBot="1">
      <c r="A408" s="128">
        <v>5</v>
      </c>
      <c r="B408" s="129">
        <v>55.5</v>
      </c>
      <c r="C408" s="123">
        <v>1.5</v>
      </c>
      <c r="E408" s="127">
        <f t="array" aca="1" ref="E408:G408" ca="1">_xll.BOOTSTRAPPER($A$404:$C$408,1)</f>
        <v>8</v>
      </c>
      <c r="F408" s="130">
        <f ca="1"/>
        <v>12.9</v>
      </c>
      <c r="G408" s="127">
        <f ca="1"/>
        <v>6.9</v>
      </c>
      <c r="H408" s="2" t="str">
        <f ca="1">_xll.VFORMULA(G408)</f>
        <v>=BOOTSTRAPPER($A$404:$C$408,1)</v>
      </c>
      <c r="I408" s="3"/>
      <c r="J408" s="3"/>
      <c r="K408" s="3"/>
      <c r="L408" s="3"/>
      <c r="M408" s="3"/>
    </row>
    <row r="409" spans="1:13">
      <c r="A409" s="132"/>
      <c r="B409" s="127"/>
      <c r="C409" s="127"/>
      <c r="E409" s="2"/>
      <c r="F409" s="130"/>
      <c r="G409" s="127"/>
      <c r="I409" s="3"/>
      <c r="J409" s="3"/>
      <c r="K409" s="3"/>
      <c r="L409" s="3"/>
      <c r="M409" s="3"/>
    </row>
    <row r="410" spans="1:13">
      <c r="A410" s="116"/>
      <c r="B410" s="20"/>
      <c r="C410" s="20"/>
      <c r="E410" s="117"/>
      <c r="F410" s="23"/>
      <c r="I410" s="3"/>
      <c r="J410" s="3"/>
      <c r="K410" s="3"/>
      <c r="L410" s="3"/>
      <c r="M410" s="3"/>
    </row>
    <row r="411" spans="1:13">
      <c r="I411" s="3"/>
      <c r="J411" s="3"/>
      <c r="K411" s="3"/>
      <c r="L411" s="3"/>
      <c r="M411" s="3"/>
    </row>
    <row r="412" spans="1:13">
      <c r="A412" s="2" t="s">
        <v>287</v>
      </c>
      <c r="I412" s="3"/>
      <c r="J412" s="3"/>
      <c r="K412" s="3"/>
      <c r="L412" s="3"/>
      <c r="M412" s="3"/>
    </row>
    <row r="413" spans="1:13">
      <c r="A413" t="s">
        <v>8</v>
      </c>
      <c r="C413">
        <v>10</v>
      </c>
      <c r="I413" s="3"/>
      <c r="J413" s="3"/>
      <c r="K413" s="3"/>
      <c r="L413" s="3"/>
      <c r="M413" s="3"/>
    </row>
    <row r="414" spans="1:13">
      <c r="A414" t="s">
        <v>309</v>
      </c>
      <c r="C414">
        <v>3</v>
      </c>
      <c r="I414" s="3"/>
      <c r="J414" s="3"/>
      <c r="K414" s="3"/>
      <c r="L414" s="3"/>
      <c r="M414" s="3"/>
    </row>
    <row r="415" spans="1:13">
      <c r="A415" t="s">
        <v>15</v>
      </c>
      <c r="C415">
        <f ca="1">_xll.UNIFORM()</f>
        <v>0.267120361328125</v>
      </c>
      <c r="I415" s="3"/>
      <c r="J415" s="3"/>
      <c r="K415" s="3"/>
      <c r="L415" s="3"/>
      <c r="M415" s="3"/>
    </row>
    <row r="416" spans="1:13">
      <c r="A416" t="s">
        <v>310</v>
      </c>
      <c r="B416" t="s">
        <v>228</v>
      </c>
      <c r="C416">
        <v>0</v>
      </c>
      <c r="I416" s="3"/>
      <c r="J416" s="3"/>
      <c r="K416" s="3"/>
      <c r="L416" s="3"/>
      <c r="M416" s="3"/>
    </row>
    <row r="417" spans="1:13">
      <c r="A417" t="s">
        <v>311</v>
      </c>
      <c r="C417">
        <v>4.5</v>
      </c>
      <c r="I417" s="3"/>
      <c r="J417" s="3"/>
      <c r="K417" s="3"/>
      <c r="L417" s="3"/>
      <c r="M417" s="3"/>
    </row>
    <row r="418" spans="1:13">
      <c r="A418" t="s">
        <v>312</v>
      </c>
      <c r="C418">
        <v>0</v>
      </c>
      <c r="E418" s="8" t="s">
        <v>154</v>
      </c>
      <c r="F418" s="8" t="s">
        <v>120</v>
      </c>
      <c r="I418" s="3"/>
      <c r="J418" s="3"/>
      <c r="K418" s="3"/>
      <c r="L418" s="3"/>
      <c r="M418" s="3"/>
    </row>
    <row r="419" spans="1:13">
      <c r="A419" t="s">
        <v>313</v>
      </c>
      <c r="D419" t="s">
        <v>314</v>
      </c>
      <c r="E419">
        <f ca="1">_xll.RANDWALK(C413,C414,C415,C416,C417,C418)</f>
        <v>8.1353632864721348</v>
      </c>
      <c r="F419" s="2" t="str">
        <f ca="1">_xll.VFORMULA(E419)</f>
        <v>=RANDWALK(C413,C414,C415,C416,C417,C418)</v>
      </c>
      <c r="I419" s="3"/>
      <c r="J419" s="3"/>
      <c r="K419" s="3"/>
      <c r="L419" s="3"/>
      <c r="M419" s="3"/>
    </row>
    <row r="420" spans="1:13">
      <c r="I420" s="3"/>
      <c r="J420" s="3"/>
      <c r="K420" s="3"/>
      <c r="L420" s="3"/>
      <c r="M420" s="3"/>
    </row>
    <row r="421" spans="1:13">
      <c r="I421" s="3"/>
      <c r="J421" s="3"/>
      <c r="K421" s="3"/>
      <c r="L421" s="3"/>
      <c r="M421" s="3"/>
    </row>
    <row r="422" spans="1:13">
      <c r="A422" s="2" t="s">
        <v>361</v>
      </c>
      <c r="I422" s="3"/>
      <c r="J422" s="3"/>
      <c r="K422" s="3"/>
      <c r="L422" s="3"/>
      <c r="M422" s="3"/>
    </row>
    <row r="423" spans="1:13">
      <c r="A423" t="s">
        <v>315</v>
      </c>
      <c r="I423" s="3"/>
      <c r="J423" s="3"/>
      <c r="K423" s="3"/>
      <c r="L423" s="3"/>
      <c r="M423" s="3"/>
    </row>
    <row r="424" spans="1:13">
      <c r="B424" t="s">
        <v>88</v>
      </c>
      <c r="C424" t="s">
        <v>89</v>
      </c>
      <c r="D424" t="s">
        <v>90</v>
      </c>
      <c r="I424" s="3"/>
      <c r="J424" s="3"/>
      <c r="K424" s="3"/>
      <c r="L424" s="3"/>
      <c r="M424" s="3"/>
    </row>
    <row r="425" spans="1:13">
      <c r="A425" t="s">
        <v>88</v>
      </c>
      <c r="B425" s="26">
        <v>1</v>
      </c>
      <c r="C425" s="27">
        <v>0.86884999796184814</v>
      </c>
      <c r="D425" s="28">
        <v>0.98095796327250118</v>
      </c>
      <c r="I425" s="3"/>
      <c r="J425" s="3"/>
      <c r="K425" s="3"/>
      <c r="L425" s="3"/>
      <c r="M425" s="3"/>
    </row>
    <row r="426" spans="1:13">
      <c r="A426" t="s">
        <v>89</v>
      </c>
      <c r="B426" s="29">
        <v>0</v>
      </c>
      <c r="C426" s="5">
        <v>1</v>
      </c>
      <c r="D426" s="30">
        <v>0.81578132502839074</v>
      </c>
      <c r="I426" s="3"/>
      <c r="J426" s="3"/>
      <c r="K426" s="3"/>
      <c r="L426" s="3"/>
      <c r="M426" s="3"/>
    </row>
    <row r="427" spans="1:13">
      <c r="A427" t="s">
        <v>90</v>
      </c>
      <c r="B427" s="31">
        <v>0</v>
      </c>
      <c r="C427" s="6">
        <v>0</v>
      </c>
      <c r="D427" s="32">
        <v>1</v>
      </c>
      <c r="I427" s="3"/>
      <c r="J427" s="3"/>
      <c r="K427" s="3"/>
      <c r="L427" s="3"/>
      <c r="M427" s="3"/>
    </row>
    <row r="428" spans="1:13">
      <c r="A428" t="s">
        <v>317</v>
      </c>
      <c r="I428" s="3"/>
      <c r="J428" s="3"/>
      <c r="K428" s="3"/>
      <c r="L428" s="3"/>
      <c r="M428" s="3"/>
    </row>
    <row r="429" spans="1:13">
      <c r="E429" s="8" t="s">
        <v>154</v>
      </c>
      <c r="F429" s="8" t="s">
        <v>120</v>
      </c>
      <c r="I429" s="3"/>
      <c r="J429" s="3"/>
      <c r="K429" s="3"/>
      <c r="L429" s="3"/>
      <c r="M429" s="3"/>
    </row>
    <row r="430" spans="1:13">
      <c r="D430" t="str">
        <f>A425</f>
        <v>Price 1</v>
      </c>
      <c r="E430" s="94">
        <f t="array" aca="1" ref="E430:E432" ca="1">_xll.CSND(B425:D427)</f>
        <v>0.71869101163732074</v>
      </c>
      <c r="F430" s="2" t="str">
        <f ca="1">_xll.VFORMULA(E430)</f>
        <v>=CSND(B425:D427)</v>
      </c>
      <c r="I430" s="3"/>
      <c r="J430" s="3"/>
      <c r="K430" s="3"/>
      <c r="L430" s="3"/>
      <c r="M430" s="3"/>
    </row>
    <row r="431" spans="1:13">
      <c r="D431" t="str">
        <f>A426</f>
        <v>Price 2</v>
      </c>
      <c r="E431" s="95">
        <f ca="1"/>
        <v>0.83939590287032317</v>
      </c>
      <c r="I431" s="3"/>
      <c r="J431" s="3"/>
      <c r="K431" s="3"/>
      <c r="L431" s="3"/>
      <c r="M431" s="3"/>
    </row>
    <row r="432" spans="1:13">
      <c r="D432" t="str">
        <f>A427</f>
        <v>Price 3</v>
      </c>
      <c r="E432" s="96">
        <f ca="1"/>
        <v>0.61598740984182987</v>
      </c>
      <c r="I432" s="3"/>
      <c r="J432" s="3"/>
      <c r="K432" s="3"/>
      <c r="L432" s="3"/>
      <c r="M432" s="3"/>
    </row>
    <row r="433" spans="1:13">
      <c r="I433" s="3"/>
      <c r="J433" s="3"/>
      <c r="K433" s="3"/>
      <c r="L433" s="3"/>
      <c r="M433" s="3"/>
    </row>
    <row r="434" spans="1:13">
      <c r="I434" s="3"/>
      <c r="J434" s="3"/>
      <c r="K434" s="3"/>
      <c r="L434" s="3"/>
      <c r="M434" s="3"/>
    </row>
    <row r="435" spans="1:13">
      <c r="A435" s="2" t="s">
        <v>362</v>
      </c>
      <c r="I435" s="3"/>
      <c r="J435" s="3"/>
      <c r="K435" s="3"/>
      <c r="L435" s="3"/>
      <c r="M435" s="3"/>
    </row>
    <row r="436" spans="1:13">
      <c r="A436" t="s">
        <v>315</v>
      </c>
      <c r="I436" s="3"/>
      <c r="J436" s="3"/>
      <c r="K436" s="3"/>
      <c r="L436" s="3"/>
      <c r="M436" s="3"/>
    </row>
    <row r="437" spans="1:13">
      <c r="B437" t="s">
        <v>88</v>
      </c>
      <c r="C437" t="s">
        <v>89</v>
      </c>
      <c r="D437" t="s">
        <v>90</v>
      </c>
      <c r="I437" s="3"/>
      <c r="J437" s="3"/>
      <c r="K437" s="3"/>
      <c r="L437" s="3"/>
      <c r="M437" s="3"/>
    </row>
    <row r="438" spans="1:13">
      <c r="A438" t="s">
        <v>88</v>
      </c>
      <c r="B438" s="26">
        <v>1</v>
      </c>
      <c r="C438" s="27">
        <v>0.86884999796184814</v>
      </c>
      <c r="D438" s="28">
        <v>0.98095796327250118</v>
      </c>
      <c r="I438" s="3"/>
      <c r="J438" s="3"/>
      <c r="K438" s="3"/>
      <c r="L438" s="3"/>
      <c r="M438" s="3"/>
    </row>
    <row r="439" spans="1:13">
      <c r="A439" t="s">
        <v>89</v>
      </c>
      <c r="B439" s="29">
        <v>0</v>
      </c>
      <c r="C439" s="5">
        <v>1</v>
      </c>
      <c r="D439" s="30">
        <v>0.81578132502839074</v>
      </c>
      <c r="I439" s="3"/>
      <c r="J439" s="3"/>
      <c r="K439" s="3"/>
      <c r="L439" s="3"/>
      <c r="M439" s="3"/>
    </row>
    <row r="440" spans="1:13">
      <c r="A440" t="s">
        <v>90</v>
      </c>
      <c r="B440" s="31">
        <v>0</v>
      </c>
      <c r="C440" s="6">
        <v>0</v>
      </c>
      <c r="D440" s="32">
        <v>1</v>
      </c>
      <c r="I440" s="3"/>
      <c r="J440" s="3"/>
      <c r="K440" s="3"/>
      <c r="L440" s="3"/>
      <c r="M440" s="3"/>
    </row>
    <row r="441" spans="1:13">
      <c r="A441" t="s">
        <v>316</v>
      </c>
      <c r="I441" s="3"/>
      <c r="J441" s="3"/>
      <c r="K441" s="3"/>
      <c r="L441" s="3"/>
      <c r="M441" s="3"/>
    </row>
    <row r="442" spans="1:13">
      <c r="E442" s="8" t="s">
        <v>154</v>
      </c>
      <c r="F442" s="8" t="s">
        <v>120</v>
      </c>
      <c r="I442" s="3"/>
      <c r="J442" s="3"/>
      <c r="K442" s="3"/>
      <c r="L442" s="3"/>
      <c r="M442" s="3"/>
    </row>
    <row r="443" spans="1:13">
      <c r="D443" t="str">
        <f>A438</f>
        <v>Price 1</v>
      </c>
      <c r="E443" s="94">
        <f t="array" aca="1" ref="E443:E445" ca="1">_xll.CUSD(B438:D440)</f>
        <v>0.60337184176656244</v>
      </c>
      <c r="F443" s="2" t="str">
        <f ca="1">_xll.VFORMULA(E443)</f>
        <v>=CUSD(B438:D440)</v>
      </c>
      <c r="I443" s="3"/>
      <c r="J443" s="3"/>
      <c r="K443" s="3"/>
      <c r="L443" s="3"/>
      <c r="M443" s="3"/>
    </row>
    <row r="444" spans="1:13">
      <c r="D444" t="str">
        <f>A439</f>
        <v>Price 2</v>
      </c>
      <c r="E444" s="95">
        <f ca="1"/>
        <v>0.81246602955394009</v>
      </c>
      <c r="I444" s="3"/>
      <c r="J444" s="3"/>
      <c r="K444" s="3"/>
      <c r="L444" s="3"/>
      <c r="M444" s="3"/>
    </row>
    <row r="445" spans="1:13">
      <c r="D445" t="str">
        <f>A440</f>
        <v>Price 3</v>
      </c>
      <c r="E445" s="96">
        <f ca="1"/>
        <v>0.59243770075335689</v>
      </c>
      <c r="I445" s="3"/>
      <c r="J445" s="3"/>
      <c r="K445" s="3"/>
      <c r="L445" s="3"/>
      <c r="M445" s="3"/>
    </row>
    <row r="446" spans="1:13">
      <c r="I446" s="3"/>
      <c r="J446" s="3"/>
      <c r="K446" s="3"/>
      <c r="L446" s="3"/>
      <c r="M446" s="3"/>
    </row>
    <row r="447" spans="1:13">
      <c r="I447" s="3"/>
      <c r="J447" s="3"/>
      <c r="K447" s="3"/>
      <c r="L447" s="3"/>
      <c r="M447" s="3"/>
    </row>
    <row r="448" spans="1:13">
      <c r="A448" s="2" t="s">
        <v>283</v>
      </c>
      <c r="B448" s="3"/>
      <c r="C448" s="3"/>
      <c r="D448" s="3"/>
      <c r="E448" s="3"/>
      <c r="F448" s="3"/>
      <c r="G448" s="3"/>
      <c r="I448" s="3"/>
      <c r="J448" s="3"/>
      <c r="K448" s="3"/>
      <c r="L448" s="3"/>
      <c r="M448" s="3"/>
    </row>
    <row r="449" spans="1:13">
      <c r="A449" s="2" t="s">
        <v>47</v>
      </c>
      <c r="B449" s="3"/>
      <c r="C449" s="3"/>
      <c r="D449" s="3"/>
      <c r="E449" s="3"/>
      <c r="F449" s="3"/>
      <c r="G449" s="3"/>
      <c r="I449" s="3"/>
      <c r="J449" s="3"/>
      <c r="K449" s="3"/>
      <c r="L449" s="3"/>
      <c r="M449" s="3"/>
    </row>
    <row r="450" spans="1:13">
      <c r="B450" t="str">
        <f t="shared" ref="B450:G450" si="0">B469</f>
        <v>Price 1</v>
      </c>
      <c r="C450" t="str">
        <f t="shared" si="0"/>
        <v>Price 2</v>
      </c>
      <c r="D450" t="str">
        <f t="shared" si="0"/>
        <v>Price 3</v>
      </c>
      <c r="E450" t="str">
        <f t="shared" si="0"/>
        <v>Prod 1</v>
      </c>
      <c r="F450" t="str">
        <f t="shared" si="0"/>
        <v>Prod 2</v>
      </c>
      <c r="G450" t="str">
        <f t="shared" si="0"/>
        <v>Prod 3</v>
      </c>
      <c r="I450" s="3"/>
      <c r="J450" s="3"/>
      <c r="K450" s="3"/>
      <c r="L450" s="3"/>
      <c r="M450" s="3"/>
    </row>
    <row r="451" spans="1:13">
      <c r="A451" t="str">
        <f t="array" ref="A451:A456">_xll.TRANS(B450:G450)</f>
        <v>Price 1</v>
      </c>
      <c r="B451" s="37">
        <v>100</v>
      </c>
      <c r="C451" s="38">
        <v>173.76999959236963</v>
      </c>
      <c r="D451" s="38">
        <v>147.14369449087516</v>
      </c>
      <c r="E451" s="38">
        <v>-8.9803753250128402</v>
      </c>
      <c r="F451" s="38">
        <v>-43.833367731581973</v>
      </c>
      <c r="G451" s="39">
        <v>-190.31441591738999</v>
      </c>
      <c r="I451" s="3"/>
      <c r="J451" s="3"/>
      <c r="K451" s="3"/>
      <c r="L451" s="3"/>
      <c r="M451" s="3"/>
    </row>
    <row r="452" spans="1:13">
      <c r="A452" t="str">
        <v>Price 2</v>
      </c>
      <c r="B452" s="40"/>
      <c r="C452" s="7">
        <v>400</v>
      </c>
      <c r="D452" s="7">
        <v>244.73439750851722</v>
      </c>
      <c r="E452" s="7">
        <v>-9.523301794647713</v>
      </c>
      <c r="F452" s="7">
        <v>-183.52528739112302</v>
      </c>
      <c r="G452" s="41">
        <v>-246.38081167070192</v>
      </c>
      <c r="I452" s="3"/>
      <c r="J452" s="3"/>
      <c r="K452" s="3"/>
      <c r="L452" s="3"/>
      <c r="M452" s="3"/>
    </row>
    <row r="453" spans="1:13">
      <c r="A453" t="str">
        <v>Price 3</v>
      </c>
      <c r="B453" s="40"/>
      <c r="C453" s="7"/>
      <c r="D453" s="7">
        <v>225</v>
      </c>
      <c r="E453" s="7">
        <v>-12.937860802859184</v>
      </c>
      <c r="F453" s="7">
        <v>-63.368793768716323</v>
      </c>
      <c r="G453" s="41">
        <v>-304.90986386880257</v>
      </c>
      <c r="I453" s="3"/>
      <c r="J453" s="3"/>
      <c r="K453" s="3"/>
      <c r="L453" s="3"/>
      <c r="M453" s="3"/>
    </row>
    <row r="454" spans="1:13">
      <c r="A454" t="str">
        <v>Prod 1</v>
      </c>
      <c r="B454" s="40"/>
      <c r="C454" s="7"/>
      <c r="D454" s="7"/>
      <c r="E454" s="7">
        <v>9</v>
      </c>
      <c r="F454" s="7">
        <v>39.828957480232951</v>
      </c>
      <c r="G454" s="41">
        <v>63.377269425079788</v>
      </c>
      <c r="I454" s="3"/>
      <c r="J454" s="3"/>
      <c r="K454" s="3"/>
      <c r="L454" s="3"/>
      <c r="M454" s="3"/>
    </row>
    <row r="455" spans="1:13">
      <c r="A455" t="str">
        <v>Prod 2</v>
      </c>
      <c r="B455" s="40"/>
      <c r="C455" s="7"/>
      <c r="D455" s="7"/>
      <c r="E455" s="7"/>
      <c r="F455" s="7">
        <v>625</v>
      </c>
      <c r="G455" s="41">
        <v>425.69257263861476</v>
      </c>
      <c r="I455" s="3"/>
      <c r="J455" s="3"/>
      <c r="K455" s="3"/>
      <c r="L455" s="3"/>
      <c r="M455" s="3"/>
    </row>
    <row r="456" spans="1:13">
      <c r="A456" t="str">
        <v>Prod 3</v>
      </c>
      <c r="B456" s="42"/>
      <c r="C456" s="43"/>
      <c r="D456" s="43"/>
      <c r="E456" s="43"/>
      <c r="F456" s="43"/>
      <c r="G456" s="44">
        <v>1296</v>
      </c>
      <c r="I456" s="3"/>
      <c r="J456" s="3"/>
      <c r="K456" s="3"/>
      <c r="L456" s="3"/>
      <c r="M456" s="3"/>
    </row>
    <row r="457" spans="1:13">
      <c r="B457" s="3"/>
      <c r="C457" s="3"/>
      <c r="D457" s="8" t="s">
        <v>366</v>
      </c>
      <c r="E457" s="3"/>
      <c r="F457" s="3"/>
      <c r="G457" s="3"/>
      <c r="I457" s="3"/>
      <c r="J457" s="3"/>
      <c r="K457" s="3"/>
      <c r="L457" s="3"/>
      <c r="M457" s="3"/>
    </row>
    <row r="458" spans="1:13">
      <c r="B458" s="68" t="s">
        <v>364</v>
      </c>
      <c r="D458" s="8" t="s">
        <v>365</v>
      </c>
      <c r="E458" s="3"/>
      <c r="F458" s="8" t="s">
        <v>363</v>
      </c>
      <c r="G458" s="3"/>
      <c r="I458" s="3"/>
      <c r="J458" s="3"/>
      <c r="K458" s="3"/>
      <c r="L458" s="3"/>
      <c r="M458" s="3"/>
    </row>
    <row r="459" spans="1:13">
      <c r="A459" t="str">
        <f t="shared" ref="A459:A464" si="1">A451</f>
        <v>Price 1</v>
      </c>
      <c r="B459" s="22">
        <v>100</v>
      </c>
      <c r="D459" s="133">
        <f t="array" aca="1" ref="D459:D464" ca="1">_xll.MVNORM(B459:B464,B451:G456)</f>
        <v>89.050395948361299</v>
      </c>
      <c r="E459" s="3"/>
      <c r="F459" s="3" t="str">
        <f ca="1">_xll.VFORMULA(D459)</f>
        <v>=MVNORM(B459:B464,B451:G456)</v>
      </c>
      <c r="G459" s="3"/>
      <c r="I459" s="3"/>
      <c r="J459" s="3"/>
      <c r="K459" s="3"/>
      <c r="L459" s="3"/>
      <c r="M459" s="3"/>
    </row>
    <row r="460" spans="1:13">
      <c r="A460" t="str">
        <f t="shared" si="1"/>
        <v>Price 2</v>
      </c>
      <c r="B460" s="22">
        <v>200</v>
      </c>
      <c r="D460" s="134">
        <f ca="1"/>
        <v>173.29548002352169</v>
      </c>
      <c r="E460" s="3"/>
      <c r="F460" s="3" t="str">
        <f ca="1">_xll.VFORMULA(D460)</f>
        <v>=MVNORM(B459:B464,B451:G456)</v>
      </c>
      <c r="G460" s="3"/>
      <c r="I460" s="3"/>
      <c r="J460" s="3"/>
      <c r="K460" s="3"/>
      <c r="L460" s="3"/>
      <c r="M460" s="3"/>
    </row>
    <row r="461" spans="1:13">
      <c r="A461" t="str">
        <f t="shared" si="1"/>
        <v>Price 3</v>
      </c>
      <c r="B461" s="22">
        <v>250</v>
      </c>
      <c r="D461" s="134">
        <f ca="1"/>
        <v>243.69187026049528</v>
      </c>
      <c r="E461" s="3"/>
      <c r="F461" s="3" t="str">
        <f ca="1">_xll.VFORMULA(D461)</f>
        <v>=MVNORM(B459:B464,B451:G456)</v>
      </c>
      <c r="G461" s="3"/>
      <c r="I461" s="3"/>
      <c r="J461" s="3"/>
      <c r="K461" s="3"/>
      <c r="L461" s="3"/>
      <c r="M461" s="3"/>
    </row>
    <row r="462" spans="1:13">
      <c r="A462" t="str">
        <f t="shared" si="1"/>
        <v>Prod 1</v>
      </c>
      <c r="B462" s="22">
        <v>25</v>
      </c>
      <c r="D462" s="134">
        <f ca="1"/>
        <v>27.464522297901329</v>
      </c>
      <c r="E462" s="3"/>
      <c r="F462" s="3" t="str">
        <f ca="1">_xll.VFORMULA(D462)</f>
        <v>=MVNORM(B459:B464,B451:G456)</v>
      </c>
      <c r="G462" s="3"/>
      <c r="I462" s="3"/>
      <c r="J462" s="3"/>
      <c r="K462" s="3"/>
      <c r="L462" s="3"/>
      <c r="M462" s="3"/>
    </row>
    <row r="463" spans="1:13">
      <c r="A463" t="str">
        <f t="shared" si="1"/>
        <v>Prod 2</v>
      </c>
      <c r="B463" s="22">
        <v>190</v>
      </c>
      <c r="D463" s="134">
        <f ca="1"/>
        <v>187.00843311678824</v>
      </c>
      <c r="E463" s="3"/>
      <c r="F463" s="3" t="str">
        <f ca="1">_xll.VFORMULA(D463)</f>
        <v>=MVNORM(B459:B464,B451:G456)</v>
      </c>
      <c r="G463" s="3"/>
      <c r="I463" s="3"/>
      <c r="J463" s="3"/>
      <c r="K463" s="3"/>
      <c r="L463" s="3"/>
      <c r="M463" s="3"/>
    </row>
    <row r="464" spans="1:13">
      <c r="A464" t="str">
        <f t="shared" si="1"/>
        <v>Prod 3</v>
      </c>
      <c r="B464" s="22">
        <v>260</v>
      </c>
      <c r="D464" s="135">
        <f ca="1"/>
        <v>289.53445082366147</v>
      </c>
      <c r="E464" s="3"/>
      <c r="F464" s="3" t="str">
        <f ca="1">_xll.VFORMULA(D464)</f>
        <v>=MVNORM(B459:B464,B451:G456)</v>
      </c>
      <c r="G464" s="3"/>
      <c r="I464" s="3"/>
      <c r="J464" s="3"/>
      <c r="K464" s="3"/>
      <c r="L464" s="3"/>
      <c r="M464" s="3"/>
    </row>
    <row r="465" spans="1:18">
      <c r="I465" s="3"/>
      <c r="J465" s="3"/>
      <c r="K465" s="3"/>
      <c r="L465" s="3"/>
      <c r="M465" s="3"/>
    </row>
    <row r="466" spans="1:18">
      <c r="I466" s="3"/>
      <c r="J466" s="3"/>
      <c r="K466" s="3"/>
      <c r="L466" s="3"/>
      <c r="M466" s="3"/>
    </row>
    <row r="467" spans="1:18">
      <c r="A467" s="2" t="s">
        <v>280</v>
      </c>
      <c r="B467" s="3"/>
      <c r="C467" s="3"/>
      <c r="D467" s="3"/>
      <c r="E467" s="3"/>
      <c r="F467" s="3"/>
      <c r="G467" s="3"/>
      <c r="I467" s="3"/>
      <c r="J467" s="3"/>
      <c r="K467" s="3"/>
      <c r="L467" s="3"/>
      <c r="M467" s="3"/>
    </row>
    <row r="468" spans="1:18">
      <c r="A468" t="s">
        <v>143</v>
      </c>
      <c r="B468" s="3"/>
      <c r="C468" s="3"/>
      <c r="D468" s="3"/>
      <c r="E468" s="3"/>
      <c r="F468" s="3"/>
      <c r="G468" s="3"/>
      <c r="I468" s="3"/>
      <c r="J468" s="3"/>
      <c r="K468" s="3"/>
      <c r="L468" s="3"/>
      <c r="M468" s="3"/>
    </row>
    <row r="469" spans="1:18" ht="12.75" thickBot="1">
      <c r="B469" s="35" t="s">
        <v>88</v>
      </c>
      <c r="C469" s="35" t="s">
        <v>89</v>
      </c>
      <c r="D469" s="35" t="s">
        <v>90</v>
      </c>
      <c r="E469" s="35" t="s">
        <v>91</v>
      </c>
      <c r="F469" s="35" t="s">
        <v>92</v>
      </c>
      <c r="G469" s="35" t="s">
        <v>93</v>
      </c>
      <c r="I469" s="3"/>
      <c r="J469" s="3"/>
      <c r="K469" s="3"/>
      <c r="L469" s="3"/>
      <c r="M469" s="3"/>
    </row>
    <row r="470" spans="1:18">
      <c r="A470" t="str">
        <f t="array" ref="A470:A475">TRANSPOSE(B469:G469)</f>
        <v>Price 1</v>
      </c>
      <c r="B470" s="11">
        <v>1</v>
      </c>
      <c r="C470" s="10">
        <v>0.86884999796184814</v>
      </c>
      <c r="D470" s="10">
        <v>0.98095796327250118</v>
      </c>
      <c r="E470" s="10">
        <v>-0.29934584416709464</v>
      </c>
      <c r="F470" s="10">
        <v>-0.17533347092632789</v>
      </c>
      <c r="G470" s="12">
        <v>-0.52865115532608331</v>
      </c>
      <c r="I470" s="3"/>
      <c r="J470" s="3"/>
      <c r="K470" s="3"/>
      <c r="L470" s="3"/>
      <c r="M470" s="3"/>
    </row>
    <row r="471" spans="1:18">
      <c r="A471" t="str">
        <v>Price 2</v>
      </c>
      <c r="B471" s="13">
        <v>0</v>
      </c>
      <c r="C471" s="5">
        <v>1</v>
      </c>
      <c r="D471" s="5">
        <v>0.81578132502839074</v>
      </c>
      <c r="E471" s="5">
        <v>-0.15872169657746188</v>
      </c>
      <c r="F471" s="5">
        <v>-0.36705057478224601</v>
      </c>
      <c r="G471" s="14">
        <v>-0.34219557176486376</v>
      </c>
      <c r="I471" s="3"/>
      <c r="J471" s="3"/>
      <c r="K471" s="3"/>
      <c r="L471" s="3"/>
      <c r="M471" s="3"/>
    </row>
    <row r="472" spans="1:18">
      <c r="A472" t="str">
        <v>Price 3</v>
      </c>
      <c r="B472" s="13">
        <v>0</v>
      </c>
      <c r="C472" s="5">
        <v>0</v>
      </c>
      <c r="D472" s="5">
        <v>1</v>
      </c>
      <c r="E472" s="5">
        <v>-0.28750801784131519</v>
      </c>
      <c r="F472" s="5">
        <v>-0.16898345004991019</v>
      </c>
      <c r="G472" s="14">
        <v>-0.56464789605333809</v>
      </c>
      <c r="I472" s="3"/>
      <c r="J472" s="3"/>
      <c r="K472" s="3"/>
      <c r="L472" s="3"/>
      <c r="M472" s="3"/>
    </row>
    <row r="473" spans="1:18">
      <c r="A473" t="str">
        <v>Prod 1</v>
      </c>
      <c r="B473" s="13">
        <v>0</v>
      </c>
      <c r="C473" s="5">
        <v>0</v>
      </c>
      <c r="D473" s="5">
        <v>0</v>
      </c>
      <c r="E473" s="5">
        <v>1</v>
      </c>
      <c r="F473" s="5">
        <v>0.53105276640310606</v>
      </c>
      <c r="G473" s="14">
        <v>0.5868265687507388</v>
      </c>
      <c r="I473" s="3"/>
      <c r="J473" s="3"/>
      <c r="K473" s="3"/>
      <c r="L473" s="3"/>
      <c r="M473" s="3"/>
    </row>
    <row r="474" spans="1:18">
      <c r="A474" t="str">
        <v>Prod 2</v>
      </c>
      <c r="B474" s="13">
        <v>0</v>
      </c>
      <c r="C474" s="5">
        <v>0</v>
      </c>
      <c r="D474" s="5">
        <v>0</v>
      </c>
      <c r="E474" s="5">
        <v>0</v>
      </c>
      <c r="F474" s="5">
        <v>1</v>
      </c>
      <c r="G474" s="14">
        <v>0.47299174737623861</v>
      </c>
      <c r="I474" s="3"/>
      <c r="J474" s="3"/>
      <c r="K474" s="3"/>
      <c r="L474" s="3"/>
      <c r="M474" s="3"/>
    </row>
    <row r="475" spans="1:18" ht="12.75" thickBot="1">
      <c r="A475" t="str">
        <v>Prod 3</v>
      </c>
      <c r="B475" s="15">
        <v>0</v>
      </c>
      <c r="C475" s="9">
        <v>0</v>
      </c>
      <c r="D475" s="9">
        <v>0</v>
      </c>
      <c r="E475" s="9">
        <v>0</v>
      </c>
      <c r="F475" s="9">
        <v>0</v>
      </c>
      <c r="G475" s="16">
        <v>1</v>
      </c>
      <c r="I475" s="3"/>
      <c r="J475" s="3"/>
      <c r="K475" s="3"/>
      <c r="L475" s="3"/>
      <c r="M475" s="3"/>
    </row>
    <row r="476" spans="1:18">
      <c r="I476" s="3"/>
      <c r="J476" s="3"/>
      <c r="K476" s="3"/>
      <c r="L476" s="3"/>
      <c r="M476" s="3"/>
    </row>
    <row r="477" spans="1:18">
      <c r="A477" s="2" t="s">
        <v>281</v>
      </c>
      <c r="B477" s="3"/>
      <c r="C477" s="3"/>
      <c r="D477" s="3"/>
      <c r="E477" s="3"/>
      <c r="F477" s="8"/>
      <c r="G477" s="3"/>
      <c r="I477" s="3"/>
      <c r="J477" s="3"/>
      <c r="R477" s="3"/>
    </row>
    <row r="478" spans="1:18" ht="12.75" thickBot="1">
      <c r="B478" s="3"/>
      <c r="C478" s="3"/>
      <c r="D478" s="3" t="s">
        <v>38</v>
      </c>
      <c r="E478" s="8" t="s">
        <v>144</v>
      </c>
      <c r="G478" s="3"/>
      <c r="I478" s="3"/>
      <c r="J478" s="3"/>
      <c r="R478" s="3"/>
    </row>
    <row r="479" spans="1:18">
      <c r="B479" s="3"/>
      <c r="C479" s="3"/>
      <c r="D479" s="17">
        <f t="array" aca="1" ref="D479:D484" ca="1">_xll.CSND(B470:G475)</f>
        <v>2.2738110540234713</v>
      </c>
      <c r="E479" s="23" t="str">
        <f ca="1">_xll.VFORMULA(D479)</f>
        <v>=CSND(B470:G475)</v>
      </c>
      <c r="G479" s="3"/>
      <c r="I479" s="3"/>
      <c r="J479" s="3"/>
      <c r="R479" s="3"/>
    </row>
    <row r="480" spans="1:18">
      <c r="B480" s="3"/>
      <c r="C480" s="3"/>
      <c r="D480" s="18">
        <f ca="1"/>
        <v>1.2018720793953392</v>
      </c>
      <c r="E480" s="23" t="str">
        <f ca="1">_xll.VFORMULA(D480)</f>
        <v>=CSND(B470:G475)</v>
      </c>
      <c r="G480" s="3"/>
      <c r="R480" s="3"/>
    </row>
    <row r="481" spans="1:18">
      <c r="B481" s="3"/>
      <c r="C481" s="3"/>
      <c r="D481" s="18">
        <f ca="1"/>
        <v>2.6278497581269473</v>
      </c>
      <c r="E481" s="23" t="str">
        <f ca="1">_xll.VFORMULA(D481)</f>
        <v>=CSND(B470:G475)</v>
      </c>
      <c r="G481" s="3"/>
      <c r="R481" s="3"/>
    </row>
    <row r="482" spans="1:18">
      <c r="B482" s="3"/>
      <c r="C482" s="3"/>
      <c r="D482" s="18">
        <f ca="1"/>
        <v>-1.329286875015731</v>
      </c>
      <c r="E482" s="23" t="str">
        <f ca="1">_xll.VFORMULA(D482)</f>
        <v>=CSND(B470:G475)</v>
      </c>
      <c r="G482" s="3"/>
      <c r="R482" s="3"/>
    </row>
    <row r="483" spans="1:18">
      <c r="B483" s="3"/>
      <c r="C483" s="3"/>
      <c r="D483" s="18">
        <f ca="1"/>
        <v>-1.3150686095605053</v>
      </c>
      <c r="E483" s="23" t="str">
        <f ca="1">_xll.VFORMULA(D483)</f>
        <v>=CSND(B470:G475)</v>
      </c>
      <c r="G483" s="3"/>
      <c r="R483" s="3"/>
    </row>
    <row r="484" spans="1:18" ht="12.75" thickBot="1">
      <c r="B484" s="3"/>
      <c r="C484" s="3"/>
      <c r="D484" s="19">
        <f ca="1"/>
        <v>-2.2448109264387228</v>
      </c>
      <c r="E484" s="23" t="str">
        <f ca="1">_xll.VFORMULA(D484)</f>
        <v>=CSND(B470:G475)</v>
      </c>
      <c r="G484" s="3"/>
      <c r="R484" s="3"/>
    </row>
    <row r="485" spans="1:18">
      <c r="B485" s="3"/>
      <c r="C485" s="3"/>
      <c r="E485" s="3"/>
      <c r="F485" s="8"/>
      <c r="G485" s="3"/>
      <c r="R485" s="3"/>
    </row>
    <row r="486" spans="1:18">
      <c r="A486" s="2" t="s">
        <v>282</v>
      </c>
      <c r="G486" s="3"/>
      <c r="R486" s="3"/>
    </row>
    <row r="487" spans="1:18">
      <c r="A487" s="2" t="s">
        <v>45</v>
      </c>
      <c r="B487" s="66" t="s">
        <v>8</v>
      </c>
      <c r="C487" s="66" t="s">
        <v>9</v>
      </c>
      <c r="D487" s="66" t="s">
        <v>94</v>
      </c>
      <c r="E487" s="66" t="s">
        <v>95</v>
      </c>
      <c r="F487" s="8" t="s">
        <v>22</v>
      </c>
      <c r="G487" s="3"/>
      <c r="I487" s="3"/>
      <c r="J487" s="3"/>
      <c r="R487" s="3"/>
    </row>
    <row r="488" spans="1:18">
      <c r="A488" s="48" t="str">
        <f t="shared" ref="A488:A493" si="2">A470</f>
        <v>Price 1</v>
      </c>
      <c r="B488" s="22">
        <f t="shared" ref="B488:B493" si="3">B459</f>
        <v>100</v>
      </c>
      <c r="C488">
        <f>SQRT(B451)</f>
        <v>10</v>
      </c>
      <c r="D488" s="3">
        <f t="shared" ref="D488:D493" ca="1" si="4">D479</f>
        <v>2.2738110540234713</v>
      </c>
      <c r="E488" s="3">
        <f t="shared" ref="E488:E493" ca="1" si="5">B488+C488*D488</f>
        <v>122.73811054023471</v>
      </c>
      <c r="F488" s="2" t="str">
        <f ca="1">_xll.VFORMULA(E488)</f>
        <v>=B488+C488*D488</v>
      </c>
      <c r="G488" s="3"/>
      <c r="I488" s="3"/>
      <c r="J488" s="3"/>
      <c r="R488" s="3"/>
    </row>
    <row r="489" spans="1:18">
      <c r="A489" s="48" t="str">
        <f t="shared" si="2"/>
        <v>Price 2</v>
      </c>
      <c r="B489" s="22">
        <f t="shared" si="3"/>
        <v>200</v>
      </c>
      <c r="C489">
        <f>SQRT(C452)</f>
        <v>20</v>
      </c>
      <c r="D489" s="3">
        <f t="shared" ca="1" si="4"/>
        <v>1.2018720793953392</v>
      </c>
      <c r="E489" s="3">
        <f t="shared" ca="1" si="5"/>
        <v>224.03744158790678</v>
      </c>
      <c r="F489" s="2" t="str">
        <f ca="1">_xll.VFORMULA(E489)</f>
        <v>=B489+C489*D489</v>
      </c>
      <c r="G489" s="3"/>
      <c r="I489" s="3"/>
      <c r="J489" s="3"/>
      <c r="R489" s="3"/>
    </row>
    <row r="490" spans="1:18">
      <c r="A490" s="48" t="str">
        <f t="shared" si="2"/>
        <v>Price 3</v>
      </c>
      <c r="B490" s="22">
        <f t="shared" si="3"/>
        <v>250</v>
      </c>
      <c r="C490">
        <f>SQRT(D453)</f>
        <v>15</v>
      </c>
      <c r="D490" s="3">
        <f t="shared" ca="1" si="4"/>
        <v>2.6278497581269473</v>
      </c>
      <c r="E490" s="3">
        <f t="shared" ca="1" si="5"/>
        <v>289.41774637190423</v>
      </c>
      <c r="F490" s="2" t="str">
        <f ca="1">_xll.VFORMULA(E490)</f>
        <v>=B490+C490*D490</v>
      </c>
      <c r="G490" s="3"/>
      <c r="I490" s="3"/>
      <c r="J490" s="3"/>
      <c r="R490" s="3"/>
    </row>
    <row r="491" spans="1:18">
      <c r="A491" s="48" t="str">
        <f t="shared" si="2"/>
        <v>Prod 1</v>
      </c>
      <c r="B491" s="22">
        <f t="shared" si="3"/>
        <v>25</v>
      </c>
      <c r="C491">
        <f>SQRT(E454)</f>
        <v>3</v>
      </c>
      <c r="D491" s="3">
        <f t="shared" ca="1" si="4"/>
        <v>-1.329286875015731</v>
      </c>
      <c r="E491" s="3">
        <f t="shared" ca="1" si="5"/>
        <v>21.012139374952806</v>
      </c>
      <c r="F491" s="2" t="str">
        <f ca="1">_xll.VFORMULA(E491)</f>
        <v>=B491+C491*D491</v>
      </c>
      <c r="G491" s="3"/>
      <c r="I491" s="3"/>
      <c r="J491" s="3"/>
      <c r="R491" s="3"/>
    </row>
    <row r="492" spans="1:18">
      <c r="A492" s="48" t="str">
        <f t="shared" si="2"/>
        <v>Prod 2</v>
      </c>
      <c r="B492" s="22">
        <f t="shared" si="3"/>
        <v>190</v>
      </c>
      <c r="C492">
        <f>SQRT(F455)</f>
        <v>25</v>
      </c>
      <c r="D492" s="3">
        <f t="shared" ca="1" si="4"/>
        <v>-1.3150686095605053</v>
      </c>
      <c r="E492" s="3">
        <f t="shared" ca="1" si="5"/>
        <v>157.12328476098736</v>
      </c>
      <c r="F492" s="2" t="str">
        <f ca="1">_xll.VFORMULA(E492)</f>
        <v>=B492+C492*D492</v>
      </c>
      <c r="G492" s="3"/>
      <c r="I492" s="3"/>
      <c r="J492" s="3"/>
      <c r="R492" s="3"/>
    </row>
    <row r="493" spans="1:18">
      <c r="A493" s="48" t="str">
        <f t="shared" si="2"/>
        <v>Prod 3</v>
      </c>
      <c r="B493" s="22">
        <f t="shared" si="3"/>
        <v>260</v>
      </c>
      <c r="C493">
        <f>SQRT(G456)</f>
        <v>36</v>
      </c>
      <c r="D493" s="3">
        <f t="shared" ca="1" si="4"/>
        <v>-2.2448109264387228</v>
      </c>
      <c r="E493" s="3">
        <f t="shared" ca="1" si="5"/>
        <v>179.18680664820596</v>
      </c>
      <c r="F493" s="2" t="str">
        <f ca="1">_xll.VFORMULA(E493)</f>
        <v>=B493+C493*D493</v>
      </c>
      <c r="G493" s="3"/>
      <c r="I493" s="3"/>
      <c r="J493" s="3"/>
      <c r="R493" s="3"/>
    </row>
    <row r="494" spans="1:18">
      <c r="B494" s="3"/>
      <c r="C494" s="3"/>
      <c r="D494" s="3"/>
      <c r="E494" s="3"/>
      <c r="F494" s="3"/>
      <c r="G494" s="3"/>
      <c r="H494" s="3"/>
      <c r="I494" s="3"/>
      <c r="J494" s="3"/>
      <c r="R494" s="3"/>
    </row>
    <row r="495" spans="1:18">
      <c r="B495" s="3"/>
      <c r="C495" s="3"/>
      <c r="D495" s="3"/>
      <c r="E495" s="3"/>
      <c r="F495" s="3"/>
      <c r="G495" s="3"/>
      <c r="H495" s="3"/>
      <c r="I495" s="3"/>
      <c r="J495" s="3"/>
      <c r="R495" s="3"/>
    </row>
    <row r="496" spans="1:18">
      <c r="A496" s="2" t="s">
        <v>284</v>
      </c>
      <c r="B496" s="3"/>
      <c r="C496" s="3"/>
      <c r="D496" s="3"/>
      <c r="E496" s="3"/>
      <c r="F496" s="8"/>
      <c r="G496" s="3"/>
    </row>
    <row r="497" spans="1:7">
      <c r="A497" t="s">
        <v>107</v>
      </c>
      <c r="B497" s="3"/>
      <c r="C497" s="3"/>
      <c r="D497" s="3"/>
      <c r="E497" s="3"/>
      <c r="F497" s="8"/>
      <c r="G497" s="3"/>
    </row>
    <row r="498" spans="1:7">
      <c r="B498" s="3" t="s">
        <v>388</v>
      </c>
      <c r="C498" s="3" t="s">
        <v>389</v>
      </c>
      <c r="D498" s="3" t="s">
        <v>390</v>
      </c>
      <c r="E498" s="3" t="s">
        <v>391</v>
      </c>
      <c r="F498" s="3" t="s">
        <v>392</v>
      </c>
      <c r="G498" s="3" t="s">
        <v>393</v>
      </c>
    </row>
    <row r="499" spans="1:7">
      <c r="A499">
        <v>1</v>
      </c>
      <c r="B499" s="37">
        <v>1.5</v>
      </c>
      <c r="C499" s="38">
        <v>2.42</v>
      </c>
      <c r="D499" s="38">
        <v>1.37</v>
      </c>
      <c r="E499" s="38">
        <v>119.3748675751375</v>
      </c>
      <c r="F499" s="38">
        <v>34.427976219883732</v>
      </c>
      <c r="G499" s="39">
        <v>67.744353849484085</v>
      </c>
    </row>
    <row r="500" spans="1:7">
      <c r="A500">
        <v>2</v>
      </c>
      <c r="B500" s="40">
        <v>1.94</v>
      </c>
      <c r="C500" s="7">
        <v>2.57</v>
      </c>
      <c r="D500" s="7">
        <v>1.7</v>
      </c>
      <c r="E500" s="7">
        <v>119.84371061255356</v>
      </c>
      <c r="F500" s="7">
        <v>37.674233622307625</v>
      </c>
      <c r="G500" s="41">
        <v>69.395973791662712</v>
      </c>
    </row>
    <row r="501" spans="1:7">
      <c r="A501">
        <v>3</v>
      </c>
      <c r="B501" s="40">
        <v>2.54</v>
      </c>
      <c r="C501" s="7">
        <v>3.72</v>
      </c>
      <c r="D501" s="7">
        <v>2.27</v>
      </c>
      <c r="E501" s="7">
        <v>84.61254935622317</v>
      </c>
      <c r="F501" s="7">
        <v>34.070332769317538</v>
      </c>
      <c r="G501" s="41">
        <v>63.778588807785887</v>
      </c>
    </row>
    <row r="502" spans="1:7">
      <c r="A502">
        <v>4</v>
      </c>
      <c r="B502" s="40">
        <v>2.36</v>
      </c>
      <c r="C502" s="7">
        <v>3.72</v>
      </c>
      <c r="D502" s="7">
        <v>2.1</v>
      </c>
      <c r="E502" s="7">
        <v>116.16462652239014</v>
      </c>
      <c r="F502" s="7">
        <v>32.748319665541082</v>
      </c>
      <c r="G502" s="41">
        <v>55.428262631721154</v>
      </c>
    </row>
    <row r="503" spans="1:7">
      <c r="A503">
        <v>5</v>
      </c>
      <c r="B503" s="40">
        <v>2.2799999999999998</v>
      </c>
      <c r="C503" s="7">
        <v>2.61</v>
      </c>
      <c r="D503" s="7">
        <v>2.12</v>
      </c>
      <c r="E503" s="7">
        <v>118.50322619189868</v>
      </c>
      <c r="F503" s="7">
        <v>39.498094688221713</v>
      </c>
      <c r="G503" s="41">
        <v>63.076576080977006</v>
      </c>
    </row>
    <row r="504" spans="1:7">
      <c r="A504">
        <v>6</v>
      </c>
      <c r="B504" s="40">
        <v>2.37</v>
      </c>
      <c r="C504" s="7">
        <v>3</v>
      </c>
      <c r="D504" s="7">
        <v>2.2511999999999999</v>
      </c>
      <c r="E504" s="7">
        <v>108.58105654567375</v>
      </c>
      <c r="F504" s="7">
        <v>34.333379546990628</v>
      </c>
      <c r="G504" s="41">
        <v>59.256332320162109</v>
      </c>
    </row>
    <row r="505" spans="1:7">
      <c r="A505">
        <v>7</v>
      </c>
      <c r="B505" s="40">
        <v>2.0699999999999998</v>
      </c>
      <c r="C505" s="7">
        <v>3.24</v>
      </c>
      <c r="D505" s="7">
        <v>1.8732</v>
      </c>
      <c r="E505" s="7">
        <v>131.48019479168113</v>
      </c>
      <c r="F505" s="7">
        <v>39.304631857363653</v>
      </c>
      <c r="G505" s="41">
        <v>72.615933609958503</v>
      </c>
    </row>
    <row r="506" spans="1:7">
      <c r="A506">
        <v>8</v>
      </c>
      <c r="B506" s="40">
        <v>2.5</v>
      </c>
      <c r="C506" s="7">
        <v>3.26</v>
      </c>
      <c r="D506" s="7">
        <v>2.31</v>
      </c>
      <c r="E506" s="7">
        <v>100.70516997504808</v>
      </c>
      <c r="F506" s="7">
        <v>38.213420079091719</v>
      </c>
      <c r="G506" s="41">
        <v>59.911619560340959</v>
      </c>
    </row>
    <row r="507" spans="1:7">
      <c r="A507">
        <v>9</v>
      </c>
      <c r="B507" s="40">
        <v>2.2599999999999998</v>
      </c>
      <c r="C507" s="7">
        <v>3.45</v>
      </c>
      <c r="D507" s="7">
        <v>2.1280000000000001</v>
      </c>
      <c r="E507" s="7">
        <v>138.6081880170675</v>
      </c>
      <c r="F507" s="7">
        <v>37.574566941881173</v>
      </c>
      <c r="G507" s="41">
        <v>72.805427834473477</v>
      </c>
    </row>
    <row r="508" spans="1:7">
      <c r="A508">
        <v>10</v>
      </c>
      <c r="B508" s="40">
        <v>3.24</v>
      </c>
      <c r="C508" s="7">
        <v>4.55</v>
      </c>
      <c r="D508" s="7">
        <v>3.19</v>
      </c>
      <c r="E508" s="7">
        <v>113.45297330563889</v>
      </c>
      <c r="F508" s="7">
        <v>35.812470260070555</v>
      </c>
      <c r="G508" s="41">
        <v>55.614037207054842</v>
      </c>
    </row>
    <row r="509" spans="1:7">
      <c r="A509">
        <v>11</v>
      </c>
      <c r="B509" s="40">
        <v>2.71</v>
      </c>
      <c r="C509" s="7">
        <v>4.3</v>
      </c>
      <c r="D509" s="7">
        <v>2.34</v>
      </c>
      <c r="E509" s="7">
        <v>127.05148536508675</v>
      </c>
      <c r="F509" s="7">
        <v>36.314030543327981</v>
      </c>
      <c r="G509" s="41">
        <v>67.471136879253848</v>
      </c>
    </row>
    <row r="510" spans="1:7">
      <c r="A510">
        <v>12</v>
      </c>
      <c r="B510" s="40">
        <v>2.4500000000000002</v>
      </c>
      <c r="C510" s="7">
        <v>3.38</v>
      </c>
      <c r="D510" s="7">
        <v>2.2000000000000002</v>
      </c>
      <c r="E510" s="7">
        <v>127.04251220835594</v>
      </c>
      <c r="F510" s="7">
        <v>39.740031772496344</v>
      </c>
      <c r="G510" s="41">
        <v>69.545948248322858</v>
      </c>
    </row>
    <row r="511" spans="1:7">
      <c r="A511">
        <v>13</v>
      </c>
      <c r="B511" s="42">
        <v>2.0070400979</v>
      </c>
      <c r="C511" s="43">
        <v>2.6054916274000002</v>
      </c>
      <c r="D511" s="43">
        <v>1.8153884429</v>
      </c>
      <c r="E511" s="43">
        <v>133.29993630486928</v>
      </c>
      <c r="F511" s="43">
        <v>43.265276086073897</v>
      </c>
      <c r="G511" s="44">
        <v>66.46861444245981</v>
      </c>
    </row>
    <row r="512" spans="1:7">
      <c r="B512" s="3"/>
      <c r="C512" s="3"/>
      <c r="D512" s="3"/>
      <c r="E512" s="3"/>
      <c r="F512" s="3"/>
      <c r="G512" s="3"/>
    </row>
    <row r="513" spans="1:10" ht="12.75" thickBot="1">
      <c r="A513" s="2" t="s">
        <v>108</v>
      </c>
      <c r="B513" s="8" t="s">
        <v>109</v>
      </c>
      <c r="C513" s="8" t="s">
        <v>22</v>
      </c>
      <c r="E513" s="3"/>
      <c r="F513" s="8" t="s">
        <v>401</v>
      </c>
      <c r="G513" s="3"/>
    </row>
    <row r="514" spans="1:10">
      <c r="A514">
        <f t="shared" ref="A514:A519" si="6">A576</f>
        <v>0.11538461595773697</v>
      </c>
      <c r="B514" s="17">
        <f t="array" aca="1" ref="B514:B519" ca="1">_xll.MVEMP(B499:G511,,,,F514:F519,1)</f>
        <v>96.688334008499609</v>
      </c>
      <c r="C514" s="8" t="str">
        <f ca="1">_xll.VFORMULA(B514)</f>
        <v>=MVEMP(B499:G511,,,,F514:F519,1)</v>
      </c>
      <c r="E514" s="3"/>
      <c r="F514" s="3">
        <f t="shared" ref="F514:F519" si="7">B459</f>
        <v>100</v>
      </c>
      <c r="G514" s="3"/>
    </row>
    <row r="515" spans="1:10">
      <c r="A515">
        <f t="shared" si="6"/>
        <v>0.19230769574642181</v>
      </c>
      <c r="B515" s="18">
        <f ca="1"/>
        <v>184.87815907505558</v>
      </c>
      <c r="C515" s="3"/>
      <c r="D515" s="3"/>
      <c r="E515" s="3"/>
      <c r="F515" s="3">
        <f t="shared" si="7"/>
        <v>200</v>
      </c>
      <c r="G515" s="3"/>
    </row>
    <row r="516" spans="1:10">
      <c r="A516">
        <f t="shared" si="6"/>
        <v>0.26923078298568726</v>
      </c>
      <c r="B516" s="18">
        <f ca="1"/>
        <v>248.0567423600603</v>
      </c>
      <c r="C516" s="3"/>
      <c r="D516" s="3"/>
      <c r="E516" s="3"/>
      <c r="F516" s="3">
        <f t="shared" si="7"/>
        <v>250</v>
      </c>
      <c r="G516" s="3"/>
    </row>
    <row r="517" spans="1:10">
      <c r="A517">
        <f t="shared" si="6"/>
        <v>0.3461538553237915</v>
      </c>
      <c r="B517" s="18">
        <f ca="1"/>
        <v>28.309014759860052</v>
      </c>
      <c r="C517" s="3"/>
      <c r="D517" s="3"/>
      <c r="E517" s="3"/>
      <c r="F517" s="3">
        <f t="shared" si="7"/>
        <v>25</v>
      </c>
      <c r="G517" s="3"/>
    </row>
    <row r="518" spans="1:10">
      <c r="A518">
        <f t="shared" si="6"/>
        <v>0.42307692766189575</v>
      </c>
      <c r="B518" s="18">
        <f ca="1"/>
        <v>205.56611573815746</v>
      </c>
      <c r="C518" s="3"/>
      <c r="D518" s="3"/>
      <c r="E518" s="3"/>
      <c r="F518" s="3">
        <f t="shared" si="7"/>
        <v>190</v>
      </c>
      <c r="G518" s="3"/>
    </row>
    <row r="519" spans="1:10" ht="12.75" thickBot="1">
      <c r="A519">
        <f t="shared" si="6"/>
        <v>0.5</v>
      </c>
      <c r="B519" s="19">
        <f ca="1"/>
        <v>284.86626879114215</v>
      </c>
      <c r="C519" s="3"/>
      <c r="D519" s="3"/>
      <c r="E519" s="3"/>
      <c r="F519" s="3">
        <f t="shared" si="7"/>
        <v>260</v>
      </c>
      <c r="G519" s="3"/>
    </row>
    <row r="520" spans="1:10">
      <c r="B520" s="2" t="s">
        <v>383</v>
      </c>
    </row>
    <row r="521" spans="1:10">
      <c r="B521" s="2" t="s">
        <v>384</v>
      </c>
    </row>
    <row r="524" spans="1:10">
      <c r="A524" s="2" t="s">
        <v>318</v>
      </c>
      <c r="B524" s="3"/>
      <c r="C524" s="3"/>
      <c r="D524" s="3"/>
      <c r="E524" s="3"/>
      <c r="F524" s="3"/>
      <c r="G524" s="3"/>
      <c r="H524" s="3"/>
      <c r="I524" s="3"/>
      <c r="J524" s="3"/>
    </row>
    <row r="525" spans="1:10">
      <c r="A525" s="2" t="s">
        <v>385</v>
      </c>
      <c r="B525" s="3"/>
      <c r="C525" s="3"/>
      <c r="D525" s="3"/>
      <c r="E525" s="3"/>
      <c r="F525" s="3"/>
      <c r="G525" s="3"/>
      <c r="H525" s="3"/>
      <c r="I525" s="3"/>
      <c r="J525" s="3"/>
    </row>
    <row r="526" spans="1:10">
      <c r="A526" t="s">
        <v>387</v>
      </c>
      <c r="H526" s="3"/>
      <c r="I526" s="3"/>
      <c r="J526" s="3"/>
    </row>
    <row r="527" spans="1:10">
      <c r="A527" t="s">
        <v>98</v>
      </c>
      <c r="H527" s="3"/>
      <c r="I527" s="3"/>
      <c r="J527" s="3"/>
    </row>
    <row r="528" spans="1:10">
      <c r="A528" s="6" t="s">
        <v>99</v>
      </c>
      <c r="B528" s="43" t="str">
        <f>Sheet1!$B$498</f>
        <v>Var 1</v>
      </c>
      <c r="C528" s="43" t="str">
        <f>Sheet1!$C$498</f>
        <v>Var 2</v>
      </c>
      <c r="D528" s="43" t="str">
        <f>Sheet1!$D$498</f>
        <v>Var 3</v>
      </c>
      <c r="E528" s="43" t="str">
        <f>Sheet1!$E$498</f>
        <v>Var 4</v>
      </c>
      <c r="F528" s="43" t="str">
        <f>Sheet1!$F$498</f>
        <v>Var 5</v>
      </c>
      <c r="G528" s="43" t="str">
        <f>Sheet1!$G$498</f>
        <v>Var 6</v>
      </c>
      <c r="H528" s="3"/>
      <c r="I528" s="3"/>
      <c r="J528" s="3"/>
    </row>
    <row r="529" spans="1:10">
      <c r="A529">
        <v>1</v>
      </c>
      <c r="B529" s="3">
        <f>(Sheet1!B$499-B$542)</f>
        <v>-0.82515693060769246</v>
      </c>
      <c r="C529" s="3">
        <f>(Sheet1!C$499-C$542)</f>
        <v>-0.87426858672307706</v>
      </c>
      <c r="D529" s="3">
        <f>(Sheet1!D$499-D$542)</f>
        <v>-0.75829141868461525</v>
      </c>
      <c r="E529" s="3">
        <f>(Sheet1!E$499-E$542)</f>
        <v>1.0117524388587071</v>
      </c>
      <c r="F529" s="3">
        <f>(Sheet1!F$499-F$542)</f>
        <v>-2.7240825533907014</v>
      </c>
      <c r="G529" s="3">
        <f>(Sheet1!G$499-G$542)</f>
        <v>2.8895226753565879</v>
      </c>
      <c r="H529" s="3"/>
      <c r="I529" s="3"/>
      <c r="J529" s="3"/>
    </row>
    <row r="530" spans="1:10">
      <c r="A530">
        <v>2</v>
      </c>
      <c r="B530" s="3">
        <f>(Sheet1!B$500-B$542)</f>
        <v>-0.38515693060769252</v>
      </c>
      <c r="C530" s="3">
        <f>(Sheet1!C$500-C$542)</f>
        <v>-0.72426858672307715</v>
      </c>
      <c r="D530" s="3">
        <f>(Sheet1!D$500-D$542)</f>
        <v>-0.4282914186846154</v>
      </c>
      <c r="E530" s="3">
        <f>(Sheet1!E$500-E$542)</f>
        <v>1.4805954762747717</v>
      </c>
      <c r="F530" s="3">
        <f>(Sheet1!F$500-F$542)</f>
        <v>0.52217484903319189</v>
      </c>
      <c r="G530" s="3">
        <f>(Sheet1!G$500-G$542)</f>
        <v>4.5411426175352148</v>
      </c>
      <c r="H530" s="3"/>
      <c r="I530" s="3"/>
      <c r="J530" s="3"/>
    </row>
    <row r="531" spans="1:10">
      <c r="A531">
        <v>3</v>
      </c>
      <c r="B531" s="3">
        <f>(Sheet1!B$501-B$542)</f>
        <v>0.21484306939230757</v>
      </c>
      <c r="C531" s="3">
        <f>(Sheet1!C$501-C$542)</f>
        <v>0.42573141327692321</v>
      </c>
      <c r="D531" s="3">
        <f>(Sheet1!D$501-D$542)</f>
        <v>0.14170858131538466</v>
      </c>
      <c r="E531" s="3">
        <f>(Sheet1!E$501-E$542)</f>
        <v>-33.750565780055624</v>
      </c>
      <c r="F531" s="3">
        <f>(Sheet1!F$501-F$542)</f>
        <v>-3.081726003956895</v>
      </c>
      <c r="G531" s="3">
        <f>(Sheet1!G$501-G$542)</f>
        <v>-1.0762423663416101</v>
      </c>
      <c r="H531" s="3"/>
      <c r="I531" s="3"/>
      <c r="J531" s="3"/>
    </row>
    <row r="532" spans="1:10">
      <c r="A532">
        <v>4</v>
      </c>
      <c r="B532" s="3">
        <f>(Sheet1!B$502-B$542)</f>
        <v>3.4843069392307413E-2</v>
      </c>
      <c r="C532" s="3">
        <f>(Sheet1!C$502-C$542)</f>
        <v>0.42573141327692321</v>
      </c>
      <c r="D532" s="3">
        <f>(Sheet1!D$502-D$542)</f>
        <v>-2.8291418684615266E-2</v>
      </c>
      <c r="E532" s="3">
        <f>(Sheet1!E$502-E$542)</f>
        <v>-2.1984886138886566</v>
      </c>
      <c r="F532" s="3">
        <f>(Sheet1!F$502-F$542)</f>
        <v>-4.403739107733351</v>
      </c>
      <c r="G532" s="3">
        <f>(Sheet1!G$502-G$542)</f>
        <v>-9.4265685424063435</v>
      </c>
      <c r="H532" s="3"/>
      <c r="I532" s="3"/>
      <c r="J532" s="3"/>
    </row>
    <row r="533" spans="1:10">
      <c r="A533">
        <v>5</v>
      </c>
      <c r="B533" s="3">
        <f>(Sheet1!B$503-B$542)</f>
        <v>-4.5156930607692658E-2</v>
      </c>
      <c r="C533" s="3">
        <f>(Sheet1!C$503-C$542)</f>
        <v>-0.68426858672307711</v>
      </c>
      <c r="D533" s="3">
        <f>(Sheet1!D$503-D$542)</f>
        <v>-8.2914186846152482E-3</v>
      </c>
      <c r="E533" s="3">
        <f>(Sheet1!E$503-E$542)</f>
        <v>0.14011105561988302</v>
      </c>
      <c r="F533" s="3">
        <f>(Sheet1!F$503-F$542)</f>
        <v>2.3460359149472794</v>
      </c>
      <c r="G533" s="3">
        <f>(Sheet1!G$503-G$542)</f>
        <v>-1.7782550931504915</v>
      </c>
      <c r="H533" s="3"/>
      <c r="I533" s="3"/>
      <c r="J533" s="3"/>
    </row>
    <row r="534" spans="1:10">
      <c r="A534">
        <v>6</v>
      </c>
      <c r="B534" s="3">
        <f>(Sheet1!B$504-B$542)</f>
        <v>4.4843069392307644E-2</v>
      </c>
      <c r="C534" s="3">
        <f>(Sheet1!C$504-C$542)</f>
        <v>-0.29426858672307699</v>
      </c>
      <c r="D534" s="3">
        <f>(Sheet1!D$504-D$542)</f>
        <v>0.12290858131538451</v>
      </c>
      <c r="E534" s="3">
        <f>(Sheet1!E$504-E$542)</f>
        <v>-9.7820585906050468</v>
      </c>
      <c r="F534" s="3">
        <f>(Sheet1!F$504-F$542)</f>
        <v>-2.8186792262838054</v>
      </c>
      <c r="G534" s="3">
        <f>(Sheet1!G$504-G$542)</f>
        <v>-5.5984988539653884</v>
      </c>
      <c r="H534" s="3"/>
      <c r="I534" s="3"/>
      <c r="J534" s="3"/>
    </row>
    <row r="535" spans="1:10">
      <c r="A535">
        <v>7</v>
      </c>
      <c r="B535" s="3">
        <f>(Sheet1!B$505-B$542)</f>
        <v>-0.25515693060769262</v>
      </c>
      <c r="C535" s="3">
        <f>(Sheet1!C$505-C$542)</f>
        <v>-5.4268586723076773E-2</v>
      </c>
      <c r="D535" s="3">
        <f>(Sheet1!D$505-D$542)</f>
        <v>-0.25509141868461538</v>
      </c>
      <c r="E535" s="3">
        <f>(Sheet1!E$505-E$542)</f>
        <v>13.117079655402335</v>
      </c>
      <c r="F535" s="3">
        <f>(Sheet1!F$505-F$542)</f>
        <v>2.1525730840892194</v>
      </c>
      <c r="G535" s="3">
        <f>(Sheet1!G$505-G$542)</f>
        <v>7.7611024358310061</v>
      </c>
      <c r="H535" s="3"/>
      <c r="I535" s="3"/>
      <c r="J535" s="3"/>
    </row>
    <row r="536" spans="1:10">
      <c r="A536">
        <v>8</v>
      </c>
      <c r="B536" s="3">
        <f>(Sheet1!B$506-B$542)</f>
        <v>0.17484306939230754</v>
      </c>
      <c r="C536" s="3">
        <f>(Sheet1!C$506-C$542)</f>
        <v>-3.4268586723077199E-2</v>
      </c>
      <c r="D536" s="3">
        <f>(Sheet1!D$506-D$542)</f>
        <v>0.1817085813153847</v>
      </c>
      <c r="E536" s="3">
        <f>(Sheet1!E$506-E$542)</f>
        <v>-17.657945161230714</v>
      </c>
      <c r="F536" s="3">
        <f>(Sheet1!F$506-F$542)</f>
        <v>1.0613613058172859</v>
      </c>
      <c r="G536" s="3">
        <f>(Sheet1!G$506-G$542)</f>
        <v>-4.9432116137865378</v>
      </c>
      <c r="H536" s="3"/>
      <c r="I536" s="3"/>
      <c r="J536" s="3"/>
    </row>
    <row r="537" spans="1:10">
      <c r="A537">
        <v>9</v>
      </c>
      <c r="B537" s="3">
        <f>(Sheet1!B$507-B$542)</f>
        <v>-6.5156930607692676E-2</v>
      </c>
      <c r="C537" s="3">
        <f>(Sheet1!C$507-C$542)</f>
        <v>0.15573141327692319</v>
      </c>
      <c r="D537" s="3">
        <f>(Sheet1!D$507-D$542)</f>
        <v>-2.9141868461524112E-4</v>
      </c>
      <c r="E537" s="3">
        <f>(Sheet1!E$507-E$542)</f>
        <v>20.245072880788712</v>
      </c>
      <c r="F537" s="3">
        <f>(Sheet1!F$507-F$542)</f>
        <v>0.42250816860673979</v>
      </c>
      <c r="G537" s="3">
        <f>(Sheet1!G$507-G$542)</f>
        <v>7.9505966603459797</v>
      </c>
      <c r="H537" s="3"/>
      <c r="I537" s="3"/>
      <c r="J537" s="3"/>
    </row>
    <row r="538" spans="1:10">
      <c r="A538">
        <v>10</v>
      </c>
      <c r="B538" s="3">
        <f>(Sheet1!B$508-B$542)</f>
        <v>0.91484306939230775</v>
      </c>
      <c r="C538" s="3">
        <f>(Sheet1!C$508-C$542)</f>
        <v>1.2557314132769228</v>
      </c>
      <c r="D538" s="3">
        <f>(Sheet1!D$508-D$542)</f>
        <v>1.0617085813153846</v>
      </c>
      <c r="E538" s="3">
        <f>(Sheet1!E$508-E$542)</f>
        <v>-4.9101418306399012</v>
      </c>
      <c r="F538" s="3">
        <f>(Sheet1!F$508-F$542)</f>
        <v>-1.3395885132038785</v>
      </c>
      <c r="G538" s="3">
        <f>(Sheet1!G$508-G$542)</f>
        <v>-9.2407939670726549</v>
      </c>
      <c r="H538" s="3"/>
      <c r="I538" s="3"/>
      <c r="J538" s="3"/>
    </row>
    <row r="539" spans="1:10">
      <c r="A539">
        <v>11</v>
      </c>
      <c r="B539" s="3">
        <f>(Sheet1!B$509-B$542)</f>
        <v>0.3848430693923075</v>
      </c>
      <c r="C539" s="3">
        <f>(Sheet1!C$509-C$542)</f>
        <v>1.0057314132769228</v>
      </c>
      <c r="D539" s="3">
        <f>(Sheet1!D$509-D$542)</f>
        <v>0.2117085813153845</v>
      </c>
      <c r="E539" s="3">
        <f>(Sheet1!E$509-E$542)</f>
        <v>8.6883702288079547</v>
      </c>
      <c r="F539" s="3">
        <f>(Sheet1!F$509-F$542)</f>
        <v>-0.83802822994645254</v>
      </c>
      <c r="G539" s="3">
        <f>(Sheet1!G$509-G$542)</f>
        <v>2.6163057051263507</v>
      </c>
      <c r="H539" s="3"/>
      <c r="I539" s="3"/>
      <c r="J539" s="3"/>
    </row>
    <row r="540" spans="1:10">
      <c r="A540">
        <v>12</v>
      </c>
      <c r="B540" s="3">
        <f>(Sheet1!B$510-B$542)</f>
        <v>0.12484306939230772</v>
      </c>
      <c r="C540" s="3">
        <f>(Sheet1!C$510-C$542)</f>
        <v>8.5731413276922908E-2</v>
      </c>
      <c r="D540" s="3">
        <f>(Sheet1!D$510-D$542)</f>
        <v>7.1708581315384823E-2</v>
      </c>
      <c r="E540" s="3">
        <f>(Sheet1!E$510-E$542)</f>
        <v>8.6793970720771512</v>
      </c>
      <c r="F540" s="3">
        <f>(Sheet1!F$510-F$542)</f>
        <v>2.5879729992219112</v>
      </c>
      <c r="G540" s="3">
        <f>(Sheet1!G$510-G$542)</f>
        <v>4.6911170741953612</v>
      </c>
      <c r="H540" s="3"/>
      <c r="I540" s="3"/>
      <c r="J540" s="3"/>
    </row>
    <row r="541" spans="1:10">
      <c r="A541" s="6">
        <v>13</v>
      </c>
      <c r="B541" s="43">
        <f>(Sheet1!B$511-B$542)</f>
        <v>-0.31811683270769242</v>
      </c>
      <c r="C541" s="43">
        <f>(Sheet1!C$511-C$542)</f>
        <v>-0.68877695932307681</v>
      </c>
      <c r="D541" s="43">
        <f>(Sheet1!D$511-D$542)</f>
        <v>-0.31290297578461534</v>
      </c>
      <c r="E541" s="43">
        <f>(Sheet1!E$511-E$542)</f>
        <v>14.936821168590484</v>
      </c>
      <c r="F541" s="43">
        <f>(Sheet1!F$511-F$542)</f>
        <v>6.1132173127994633</v>
      </c>
      <c r="G541" s="43">
        <f>(Sheet1!G$511-G$542)</f>
        <v>1.6137832683323126</v>
      </c>
      <c r="H541" s="3"/>
      <c r="I541" s="3"/>
      <c r="J541" s="3"/>
    </row>
    <row r="542" spans="1:10">
      <c r="A542" t="s">
        <v>8</v>
      </c>
      <c r="B542" s="3">
        <f>AVERAGE(Sheet1!B$499:B$511)</f>
        <v>2.3251569306076925</v>
      </c>
      <c r="C542" s="3">
        <f>AVERAGE(Sheet1!C$499:C$511)</f>
        <v>3.294268586723077</v>
      </c>
      <c r="D542" s="3">
        <f>AVERAGE(Sheet1!D$499:D$511)</f>
        <v>2.1282914186846154</v>
      </c>
      <c r="E542" s="3">
        <f>AVERAGE(Sheet1!E$499:E$511)</f>
        <v>118.36311513627879</v>
      </c>
      <c r="F542" s="3">
        <f>AVERAGE(Sheet1!F$499:F$511)</f>
        <v>37.152058773274433</v>
      </c>
      <c r="G542" s="3">
        <f>AVERAGE(Sheet1!G$499:G$511)</f>
        <v>64.854831174127497</v>
      </c>
      <c r="H542" s="3"/>
      <c r="I542" s="3"/>
      <c r="J542" s="3"/>
    </row>
    <row r="543" spans="1:10">
      <c r="A543" t="s">
        <v>100</v>
      </c>
      <c r="B543">
        <f>STDEVP(Sheet1!B$499:B$511)</f>
        <v>0.40023052772405948</v>
      </c>
      <c r="C543">
        <f>STDEVP(Sheet1!C$499:C$511)</f>
        <v>0.63879181882287883</v>
      </c>
      <c r="D543">
        <f>STDEVP(Sheet1!D$499:D$511)</f>
        <v>0.40834395019672393</v>
      </c>
      <c r="E543">
        <f>STDEVP(Sheet1!E$499:E$511)</f>
        <v>13.963192719921844</v>
      </c>
      <c r="F543">
        <f>STDEVP(Sheet1!F$499:F$511)</f>
        <v>2.808455275269786</v>
      </c>
      <c r="G543">
        <f>STDEVP(Sheet1!G$499:G$511)</f>
        <v>5.6719650246649396</v>
      </c>
      <c r="H543" s="3"/>
      <c r="I543" s="3"/>
      <c r="J543" s="3"/>
    </row>
    <row r="544" spans="1:10">
      <c r="A544" t="s">
        <v>101</v>
      </c>
      <c r="B544">
        <f t="shared" ref="B544:G544" si="8">100*B$543/B$542</f>
        <v>17.213054416049975</v>
      </c>
      <c r="C544">
        <f t="shared" si="8"/>
        <v>19.391005985286316</v>
      </c>
      <c r="D544">
        <f t="shared" si="8"/>
        <v>19.186467915615605</v>
      </c>
      <c r="E544">
        <f t="shared" si="8"/>
        <v>11.79691215785015</v>
      </c>
      <c r="F544">
        <f t="shared" si="8"/>
        <v>7.5593530156936168</v>
      </c>
      <c r="G544">
        <f t="shared" si="8"/>
        <v>8.7456322404670033</v>
      </c>
      <c r="H544" s="3"/>
      <c r="I544" s="3"/>
      <c r="J544" s="3"/>
    </row>
    <row r="545" spans="1:10">
      <c r="A545" t="s">
        <v>102</v>
      </c>
      <c r="B545">
        <f t="shared" ref="B545:G545" si="9">CORREL(B$529:B$540,B$530:B$541)</f>
        <v>0.27654166954063447</v>
      </c>
      <c r="C545">
        <f t="shared" si="9"/>
        <v>0.40252620410719953</v>
      </c>
      <c r="D545">
        <f t="shared" si="9"/>
        <v>0.21235316742278723</v>
      </c>
      <c r="E545">
        <f t="shared" si="9"/>
        <v>-0.26206988677550619</v>
      </c>
      <c r="F545">
        <f t="shared" si="9"/>
        <v>7.6494372468564636E-2</v>
      </c>
      <c r="G545">
        <f t="shared" si="9"/>
        <v>-0.37404161006948167</v>
      </c>
      <c r="H545" s="3"/>
      <c r="I545" s="3"/>
      <c r="J545" s="3"/>
    </row>
    <row r="546" spans="1:10">
      <c r="H546" s="3"/>
      <c r="I546" s="3"/>
      <c r="J546" s="3"/>
    </row>
    <row r="547" spans="1:10">
      <c r="A547" t="s">
        <v>103</v>
      </c>
      <c r="H547" s="3"/>
      <c r="I547" s="3"/>
      <c r="J547" s="3"/>
    </row>
    <row r="548" spans="1:10">
      <c r="A548" s="6" t="s">
        <v>99</v>
      </c>
      <c r="B548" s="43" t="str">
        <f>Sheet1!$B$498</f>
        <v>Var 1</v>
      </c>
      <c r="C548" s="43" t="str">
        <f>Sheet1!$C$498</f>
        <v>Var 2</v>
      </c>
      <c r="D548" s="43" t="str">
        <f>Sheet1!$D$498</f>
        <v>Var 3</v>
      </c>
      <c r="E548" s="43" t="str">
        <f>Sheet1!$E$498</f>
        <v>Var 4</v>
      </c>
      <c r="F548" s="43" t="str">
        <f>Sheet1!$F$498</f>
        <v>Var 5</v>
      </c>
      <c r="G548" s="43" t="str">
        <f>Sheet1!$G$498</f>
        <v>Var 6</v>
      </c>
      <c r="H548" s="3"/>
      <c r="I548" s="3"/>
      <c r="J548" s="3"/>
    </row>
    <row r="549" spans="1:10">
      <c r="A549">
        <v>1</v>
      </c>
      <c r="B549">
        <f>Sheet1!B$529/B$542</f>
        <v>-0.35488225321291894</v>
      </c>
      <c r="C549">
        <f>Sheet1!C$529/C$542</f>
        <v>-0.26539080336274046</v>
      </c>
      <c r="D549">
        <f>Sheet1!D$529/D$542</f>
        <v>-0.35629116014256879</v>
      </c>
      <c r="E549">
        <f>Sheet1!E$529/E$542</f>
        <v>8.5478693061923367E-3</v>
      </c>
      <c r="F549">
        <f>Sheet1!F$529/F$542</f>
        <v>-7.3322519487137749E-2</v>
      </c>
      <c r="G549">
        <f>Sheet1!G$529/G$542</f>
        <v>4.4553699748266458E-2</v>
      </c>
      <c r="H549" s="3"/>
      <c r="I549" s="3"/>
      <c r="J549" s="3"/>
    </row>
    <row r="550" spans="1:10">
      <c r="A550">
        <v>2</v>
      </c>
      <c r="B550">
        <f>Sheet1!B$530/B$542</f>
        <v>-0.16564771415537516</v>
      </c>
      <c r="C550">
        <f>Sheet1!C$530/C$542</f>
        <v>-0.21985717547200126</v>
      </c>
      <c r="D550">
        <f>Sheet1!D$530/D$542</f>
        <v>-0.20123720601632633</v>
      </c>
      <c r="E550">
        <f>Sheet1!E$530/E$542</f>
        <v>1.250892623576247E-2</v>
      </c>
      <c r="F550">
        <f>Sheet1!F$530/F$542</f>
        <v>1.405507167771875E-2</v>
      </c>
      <c r="G550">
        <f>Sheet1!G$530/G$542</f>
        <v>7.0020113156146965E-2</v>
      </c>
      <c r="H550" s="3"/>
      <c r="I550" s="3"/>
      <c r="J550" s="3"/>
    </row>
    <row r="551" spans="1:10">
      <c r="A551">
        <v>3</v>
      </c>
      <c r="B551">
        <f>Sheet1!B$531/B$542</f>
        <v>9.2399384559457315E-2</v>
      </c>
      <c r="C551">
        <f>Sheet1!C$531/C$542</f>
        <v>0.12923397169033293</v>
      </c>
      <c r="D551">
        <f>Sheet1!D$531/D$542</f>
        <v>6.6583260201728986E-2</v>
      </c>
      <c r="E551">
        <f>Sheet1!E$531/E$542</f>
        <v>-0.28514428452813617</v>
      </c>
      <c r="F551">
        <f>Sheet1!F$531/F$542</f>
        <v>-8.2948996790825333E-2</v>
      </c>
      <c r="G551">
        <f>Sheet1!G$531/G$542</f>
        <v>-1.6594636773504621E-2</v>
      </c>
      <c r="H551" s="3"/>
      <c r="I551" s="3"/>
      <c r="J551" s="3"/>
    </row>
    <row r="552" spans="1:10">
      <c r="A552">
        <v>4</v>
      </c>
      <c r="B552">
        <f>Sheet1!B$532/B$542</f>
        <v>1.4985254945007513E-2</v>
      </c>
      <c r="C552">
        <f>Sheet1!C$532/C$542</f>
        <v>0.12923397169033293</v>
      </c>
      <c r="D552">
        <f>Sheet1!D$532/D$542</f>
        <v>-1.3293019196638353E-2</v>
      </c>
      <c r="E552">
        <f>Sheet1!E$532/E$542</f>
        <v>-1.8574102340559392E-2</v>
      </c>
      <c r="F552">
        <f>Sheet1!F$532/F$542</f>
        <v>-0.11853284187042706</v>
      </c>
      <c r="G552">
        <f>Sheet1!G$532/G$542</f>
        <v>-0.14534874845479329</v>
      </c>
      <c r="H552" s="3"/>
      <c r="I552" s="3"/>
      <c r="J552" s="3"/>
    </row>
    <row r="553" spans="1:10">
      <c r="A553">
        <v>5</v>
      </c>
      <c r="B553">
        <f>Sheet1!B$533/B$542</f>
        <v>-1.9421024883636843E-2</v>
      </c>
      <c r="C553">
        <f>Sheet1!C$533/C$542</f>
        <v>-0.20771487470113745</v>
      </c>
      <c r="D553">
        <f>Sheet1!D$533/D$542</f>
        <v>-3.8958098556539484E-3</v>
      </c>
      <c r="E553">
        <f>Sheet1!E$533/E$542</f>
        <v>1.1837391695763031E-3</v>
      </c>
      <c r="F553">
        <f>Sheet1!F$533/F$542</f>
        <v>6.3146861638658777E-2</v>
      </c>
      <c r="G553">
        <f>Sheet1!G$533/G$542</f>
        <v>-2.7419007357772442E-2</v>
      </c>
      <c r="H553" s="3"/>
      <c r="I553" s="3"/>
      <c r="J553" s="3"/>
    </row>
    <row r="554" spans="1:10">
      <c r="A554">
        <v>6</v>
      </c>
      <c r="B554">
        <f>Sheet1!B$534/B$542</f>
        <v>1.9286039923588152E-2</v>
      </c>
      <c r="C554">
        <f>Sheet1!C$534/C$542</f>
        <v>-8.9327442185215419E-2</v>
      </c>
      <c r="D554">
        <f>Sheet1!D$534/D$542</f>
        <v>5.7749883421203581E-2</v>
      </c>
      <c r="E554">
        <f>Sheet1!E$534/E$542</f>
        <v>-8.2644484131246088E-2</v>
      </c>
      <c r="F554">
        <f>Sheet1!F$534/F$542</f>
        <v>-7.5868722201512015E-2</v>
      </c>
      <c r="G554">
        <f>Sheet1!G$534/G$542</f>
        <v>-8.6323543714639947E-2</v>
      </c>
      <c r="H554" s="3"/>
      <c r="I554" s="3"/>
      <c r="J554" s="3"/>
    </row>
    <row r="555" spans="1:10">
      <c r="A555">
        <v>7</v>
      </c>
      <c r="B555">
        <f>Sheet1!B$535/B$542</f>
        <v>-0.10973750943382818</v>
      </c>
      <c r="C555">
        <f>Sheet1!C$535/C$542</f>
        <v>-1.6473637560032596E-2</v>
      </c>
      <c r="D555">
        <f>Sheet1!D$535/D$542</f>
        <v>-0.11985737312340146</v>
      </c>
      <c r="E555">
        <f>Sheet1!E$535/E$542</f>
        <v>0.11082066943151866</v>
      </c>
      <c r="F555">
        <f>Sheet1!F$535/F$542</f>
        <v>5.7939537004546474E-2</v>
      </c>
      <c r="G555">
        <f>Sheet1!G$535/G$542</f>
        <v>0.11966884032113768</v>
      </c>
      <c r="H555" s="3"/>
      <c r="I555" s="3"/>
      <c r="J555" s="3"/>
    </row>
    <row r="556" spans="1:10">
      <c r="A556">
        <v>8</v>
      </c>
      <c r="B556">
        <f>Sheet1!B$536/B$542</f>
        <v>7.5196244645135135E-2</v>
      </c>
      <c r="C556">
        <f>Sheet1!C$536/C$542</f>
        <v>-1.0402487174600827E-2</v>
      </c>
      <c r="D556">
        <f>Sheet1!D$536/D$542</f>
        <v>8.5377678883697794E-2</v>
      </c>
      <c r="E556">
        <f>Sheet1!E$536/E$542</f>
        <v>-0.14918452544021021</v>
      </c>
      <c r="F556">
        <f>Sheet1!F$536/F$542</f>
        <v>2.8568034743226205E-2</v>
      </c>
      <c r="G556">
        <f>Sheet1!G$536/G$542</f>
        <v>-7.6219635828125173E-2</v>
      </c>
      <c r="H556" s="3"/>
      <c r="I556" s="3"/>
      <c r="J556" s="3"/>
    </row>
    <row r="557" spans="1:10">
      <c r="A557">
        <v>9</v>
      </c>
      <c r="B557">
        <f>Sheet1!B$537/B$542</f>
        <v>-2.8022594840797933E-2</v>
      </c>
      <c r="C557">
        <f>Sheet1!C$537/C$542</f>
        <v>4.7273441487002313E-2</v>
      </c>
      <c r="D557">
        <f>Sheet1!D$537/D$542</f>
        <v>-1.3692611926018649E-4</v>
      </c>
      <c r="E557">
        <f>Sheet1!E$537/E$542</f>
        <v>0.17104207554422088</v>
      </c>
      <c r="F557">
        <f>Sheet1!F$537/F$542</f>
        <v>1.137240256819021E-2</v>
      </c>
      <c r="G557">
        <f>Sheet1!G$537/G$542</f>
        <v>0.12259066158077837</v>
      </c>
      <c r="H557" s="3"/>
      <c r="I557" s="3"/>
      <c r="J557" s="3"/>
    </row>
    <row r="558" spans="1:10">
      <c r="A558">
        <v>10</v>
      </c>
      <c r="B558">
        <f>Sheet1!B$538/B$542</f>
        <v>0.39345433306009525</v>
      </c>
      <c r="C558">
        <f>Sheet1!C$538/C$542</f>
        <v>0.38118671268575655</v>
      </c>
      <c r="D558">
        <f>Sheet1!D$538/D$542</f>
        <v>0.49885488988701115</v>
      </c>
      <c r="E558">
        <f>Sheet1!E$538/E$542</f>
        <v>-4.1483715809494795E-2</v>
      </c>
      <c r="F558">
        <f>Sheet1!F$538/F$542</f>
        <v>-3.6056911983771943E-2</v>
      </c>
      <c r="G558">
        <f>Sheet1!G$538/G$542</f>
        <v>-0.14248428065847898</v>
      </c>
      <c r="H558" s="3"/>
      <c r="I558" s="3"/>
      <c r="J558" s="3"/>
    </row>
    <row r="559" spans="1:10">
      <c r="A559">
        <v>11</v>
      </c>
      <c r="B559">
        <f>Sheet1!B$539/B$542</f>
        <v>0.16551272919532647</v>
      </c>
      <c r="C559">
        <f>Sheet1!C$539/C$542</f>
        <v>0.30529733286785782</v>
      </c>
      <c r="D559">
        <f>Sheet1!D$539/D$542</f>
        <v>9.9473492895174292E-2</v>
      </c>
      <c r="E559">
        <f>Sheet1!E$539/E$542</f>
        <v>7.3404372796411238E-2</v>
      </c>
      <c r="F559">
        <f>Sheet1!F$539/F$542</f>
        <v>-2.2556710384763212E-2</v>
      </c>
      <c r="G559">
        <f>Sheet1!G$539/G$542</f>
        <v>4.0340953137351969E-2</v>
      </c>
      <c r="H559" s="3"/>
      <c r="I559" s="3"/>
      <c r="J559" s="3"/>
    </row>
    <row r="560" spans="1:10">
      <c r="A560">
        <v>12</v>
      </c>
      <c r="B560">
        <f>Sheet1!B$540/B$542</f>
        <v>5.3692319752232508E-2</v>
      </c>
      <c r="C560">
        <f>Sheet1!C$540/C$542</f>
        <v>2.602441513799059E-2</v>
      </c>
      <c r="D560">
        <f>Sheet1!D$540/D$542</f>
        <v>3.3693027508283672E-2</v>
      </c>
      <c r="E560">
        <f>Sheet1!E$540/E$542</f>
        <v>7.3328562382664761E-2</v>
      </c>
      <c r="F560">
        <f>Sheet1!F$540/F$542</f>
        <v>6.9658939091784222E-2</v>
      </c>
      <c r="G560">
        <f>Sheet1!G$540/G$542</f>
        <v>7.2332577068935242E-2</v>
      </c>
      <c r="H560" s="3"/>
      <c r="I560" s="3"/>
      <c r="J560" s="3"/>
    </row>
    <row r="561" spans="1:10">
      <c r="A561" s="6">
        <v>13</v>
      </c>
      <c r="B561" s="6">
        <f>Sheet1!B$541/B$542</f>
        <v>-0.13681520955428622</v>
      </c>
      <c r="C561" s="6">
        <f>Sheet1!C$541/C$542</f>
        <v>-0.20908342510354538</v>
      </c>
      <c r="D561" s="6">
        <f>Sheet1!D$541/D$542</f>
        <v>-0.14702073834325008</v>
      </c>
      <c r="E561" s="6">
        <f>Sheet1!E$541/E$542</f>
        <v>0.1261948973833005</v>
      </c>
      <c r="F561" s="6">
        <f>Sheet1!F$541/F$542</f>
        <v>0.16454585599431287</v>
      </c>
      <c r="G561" s="6">
        <f>Sheet1!G$541/G$542</f>
        <v>2.4883007774694481E-2</v>
      </c>
      <c r="H561" s="3"/>
      <c r="I561" s="3"/>
      <c r="J561" s="3"/>
    </row>
    <row r="562" spans="1:10">
      <c r="H562" s="3"/>
      <c r="I562" s="3"/>
      <c r="J562" s="3"/>
    </row>
    <row r="563" spans="1:10">
      <c r="A563" t="s">
        <v>386</v>
      </c>
      <c r="H563" s="3"/>
      <c r="I563" s="3"/>
      <c r="J563" s="3"/>
    </row>
    <row r="564" spans="1:10">
      <c r="B564" s="3" t="str">
        <f>Sheet1!$B$498</f>
        <v>Var 1</v>
      </c>
      <c r="C564" s="3" t="str">
        <f>Sheet1!$C$498</f>
        <v>Var 2</v>
      </c>
      <c r="D564" s="3" t="str">
        <f>Sheet1!$D$498</f>
        <v>Var 3</v>
      </c>
      <c r="E564" s="3" t="str">
        <f>Sheet1!$E$498</f>
        <v>Var 4</v>
      </c>
      <c r="F564" s="3" t="str">
        <f>Sheet1!$F$498</f>
        <v>Var 5</v>
      </c>
      <c r="G564" s="3" t="str">
        <f>Sheet1!$G$498</f>
        <v>Var 6</v>
      </c>
      <c r="H564" s="3"/>
      <c r="I564" s="3"/>
      <c r="J564" s="3"/>
    </row>
    <row r="565" spans="1:10">
      <c r="A565" s="3" t="str">
        <f>Sheet1!$B$498</f>
        <v>Var 1</v>
      </c>
      <c r="B565">
        <f>CORREL(B$549:B$561,B$549:B$561)</f>
        <v>1</v>
      </c>
      <c r="C565">
        <f>CORREL(B$549:B$561,C$549:C$561)</f>
        <v>0.86884999796184792</v>
      </c>
      <c r="D565">
        <f>CORREL(B$549:B$561,D$549:D$561)</f>
        <v>0.98095796327250073</v>
      </c>
      <c r="E565">
        <f>CORREL(B$549:B$561,E$549:E$561)</f>
        <v>-0.29934584416709464</v>
      </c>
      <c r="F565">
        <f>CORREL(B$549:B$561,F$549:F$561)</f>
        <v>-0.17533347092632784</v>
      </c>
      <c r="G565">
        <f>CORREL(B$549:B$561,G$549:G$561)</f>
        <v>-0.52865115532608309</v>
      </c>
    </row>
    <row r="566" spans="1:10">
      <c r="A566" s="3" t="str">
        <f>Sheet1!$C$498</f>
        <v>Var 2</v>
      </c>
      <c r="C566">
        <f>CORREL(C$549:C$561,C$549:C$561)</f>
        <v>1</v>
      </c>
      <c r="D566">
        <f>CORREL(C$549:C$561,D$549:D$561)</f>
        <v>0.81578132502839051</v>
      </c>
      <c r="E566">
        <f>CORREL(C$549:C$561,E$549:E$561)</f>
        <v>-0.15872169657746196</v>
      </c>
      <c r="F566">
        <f>CORREL(C$549:C$561,F$549:F$561)</f>
        <v>-0.36705057478224601</v>
      </c>
      <c r="G566">
        <f>CORREL(C$549:C$561,G$549:G$561)</f>
        <v>-0.34219557176486365</v>
      </c>
    </row>
    <row r="567" spans="1:10">
      <c r="A567" s="3" t="str">
        <f>Sheet1!$D$498</f>
        <v>Var 3</v>
      </c>
      <c r="D567">
        <f>CORREL(D$549:D$561,D$549:D$561)</f>
        <v>1</v>
      </c>
      <c r="E567">
        <f>CORREL(D$549:D$561,E$549:E$561)</f>
        <v>-0.28750801784131519</v>
      </c>
      <c r="F567">
        <f>CORREL(D$549:D$561,F$549:F$561)</f>
        <v>-0.16898345004991028</v>
      </c>
      <c r="G567">
        <f>CORREL(D$549:D$561,G$549:G$561)</f>
        <v>-0.56464789605333809</v>
      </c>
    </row>
    <row r="568" spans="1:10">
      <c r="A568" s="3" t="str">
        <f>Sheet1!$E$498</f>
        <v>Var 4</v>
      </c>
      <c r="E568">
        <f>CORREL(E$549:E$561,E$549:E$561)</f>
        <v>1</v>
      </c>
      <c r="F568">
        <f>CORREL(E$549:E$561,F$549:F$561)</f>
        <v>0.53105276640310606</v>
      </c>
      <c r="G568">
        <f>CORREL(E$549:E$561,G$549:G$561)</f>
        <v>0.58682656875073869</v>
      </c>
    </row>
    <row r="569" spans="1:10">
      <c r="A569" s="3" t="str">
        <f>Sheet1!$F$498</f>
        <v>Var 5</v>
      </c>
      <c r="F569">
        <f>CORREL(F$549:F$561,F$549:F$561)</f>
        <v>1</v>
      </c>
      <c r="G569">
        <f>CORREL(F$549:F$561,G$549:G$561)</f>
        <v>0.47299174737623845</v>
      </c>
    </row>
    <row r="570" spans="1:10">
      <c r="A570" s="3" t="str">
        <f>Sheet1!$G$498</f>
        <v>Var 6</v>
      </c>
      <c r="G570">
        <f>CORREL(G$549:G$561,G$549:G$561)</f>
        <v>0.99999999999999989</v>
      </c>
    </row>
    <row r="572" spans="1:10">
      <c r="A572" t="s">
        <v>104</v>
      </c>
    </row>
    <row r="573" spans="1:10">
      <c r="A573" s="6" t="s">
        <v>105</v>
      </c>
      <c r="B573" s="43" t="str">
        <f>Sheet1!$B$498</f>
        <v>Var 1</v>
      </c>
      <c r="C573" s="43" t="str">
        <f>Sheet1!$C$498</f>
        <v>Var 2</v>
      </c>
      <c r="D573" s="43" t="str">
        <f>Sheet1!$D$498</f>
        <v>Var 3</v>
      </c>
      <c r="E573" s="43" t="str">
        <f>Sheet1!$E$498</f>
        <v>Var 4</v>
      </c>
      <c r="F573" s="43" t="str">
        <f>Sheet1!$F$498</f>
        <v>Var 5</v>
      </c>
      <c r="G573" s="43" t="str">
        <f>Sheet1!$G$498</f>
        <v>Var 6</v>
      </c>
    </row>
    <row r="574" spans="1:10">
      <c r="A574">
        <v>0</v>
      </c>
      <c r="B574">
        <f t="shared" ref="B574:G574" si="10">IF(B$575&lt;0,B$575* 1.0001,B$575*0.9999)</f>
        <v>-0.35491774143824023</v>
      </c>
      <c r="C574">
        <f t="shared" si="10"/>
        <v>-0.26541734244307674</v>
      </c>
      <c r="D574">
        <f t="shared" si="10"/>
        <v>-0.35632678925858302</v>
      </c>
      <c r="E574">
        <f t="shared" si="10"/>
        <v>-0.28517279895658898</v>
      </c>
      <c r="F574">
        <f t="shared" si="10"/>
        <v>-0.1185446951546141</v>
      </c>
      <c r="G574">
        <f t="shared" si="10"/>
        <v>-0.14536328332963877</v>
      </c>
    </row>
    <row r="575" spans="1:10">
      <c r="A575">
        <v>3.8461539894342422E-2</v>
      </c>
      <c r="B575">
        <f>IF(B$542&gt;0,(SMALL(Sheet1!B$499:B$511,$A$529)-B$542)/B$542,(LARGE(Sheet1!B$499:B$511,$A$529)-B$542)/B$542)</f>
        <v>-0.35488225321291894</v>
      </c>
      <c r="C575">
        <f>IF(C$542&gt;0,(SMALL(Sheet1!C$499:C$511,$A$529)-C$542)/C$542,(LARGE(Sheet1!C$499:C$511,$A$529)-C$542)/C$542)</f>
        <v>-0.26539080336274046</v>
      </c>
      <c r="D575">
        <f>IF(D$542&gt;0,(SMALL(Sheet1!D$499:D$511,$A$529)-D$542)/D$542,(LARGE(Sheet1!D$499:D$511,$A$529)-D$542)/D$542)</f>
        <v>-0.35629116014256879</v>
      </c>
      <c r="E575">
        <f>IF(E$542&gt;0,(SMALL(Sheet1!E$499:E$511,$A$529)-E$542)/E$542,(LARGE(Sheet1!E$499:E$511,$A$529)-E$542)/E$542)</f>
        <v>-0.28514428452813617</v>
      </c>
      <c r="F575">
        <f>IF(F$542&gt;0,(SMALL(Sheet1!F$499:F$511,$A$529)-F$542)/F$542,(LARGE(Sheet1!F$499:F$511,$A$529)-F$542)/F$542)</f>
        <v>-0.11853284187042706</v>
      </c>
      <c r="G575">
        <f>IF(G$542&gt;0,(SMALL(Sheet1!G$499:G$511,$A$529)-G$542)/G$542,(LARGE(Sheet1!G$499:G$511,$A$529)-G$542)/G$542)</f>
        <v>-0.14534874845479329</v>
      </c>
    </row>
    <row r="576" spans="1:10">
      <c r="A576">
        <v>0.11538461595773697</v>
      </c>
      <c r="B576">
        <f>IF(B$542&gt;0,(SMALL(Sheet1!B$499:B$511,$A$530)-B$542)/B$542,(LARGE(Sheet1!B$499:B$511,$A$530)-B$542)/B$542)</f>
        <v>-0.16564771415537516</v>
      </c>
      <c r="C576">
        <f>IF(C$542&gt;0,(SMALL(Sheet1!C$499:C$511,$A$530)-C$542)/C$542,(LARGE(Sheet1!C$499:C$511,$A$530)-C$542)/C$542)</f>
        <v>-0.21985717547200126</v>
      </c>
      <c r="D576">
        <f>IF(D$542&gt;0,(SMALL(Sheet1!D$499:D$511,$A$530)-D$542)/D$542,(LARGE(Sheet1!D$499:D$511,$A$530)-D$542)/D$542)</f>
        <v>-0.20123720601632633</v>
      </c>
      <c r="E576">
        <f>IF(E$542&gt;0,(SMALL(Sheet1!E$499:E$511,$A$530)-E$542)/E$542,(LARGE(Sheet1!E$499:E$511,$A$530)-E$542)/E$542)</f>
        <v>-0.14918452544021021</v>
      </c>
      <c r="F576">
        <f>IF(F$542&gt;0,(SMALL(Sheet1!F$499:F$511,$A$530)-F$542)/F$542,(LARGE(Sheet1!F$499:F$511,$A$530)-F$542)/F$542)</f>
        <v>-8.2948996790825333E-2</v>
      </c>
      <c r="G576">
        <f>IF(G$542&gt;0,(SMALL(Sheet1!G$499:G$511,$A$530)-G$542)/G$542,(LARGE(Sheet1!G$499:G$511,$A$530)-G$542)/G$542)</f>
        <v>-0.14248428065847898</v>
      </c>
    </row>
    <row r="577" spans="1:8">
      <c r="A577">
        <v>0.19230769574642181</v>
      </c>
      <c r="B577">
        <f>IF(B$542&gt;0,(SMALL(Sheet1!B$499:B$511,$A$531)-B$542)/B$542,(LARGE(Sheet1!B$499:B$511,$A$531)-B$542)/B$542)</f>
        <v>-0.13681520955428622</v>
      </c>
      <c r="C577">
        <f>IF(C$542&gt;0,(SMALL(Sheet1!C$499:C$511,$A$531)-C$542)/C$542,(LARGE(Sheet1!C$499:C$511,$A$531)-C$542)/C$542)</f>
        <v>-0.20908342510354538</v>
      </c>
      <c r="D577">
        <f>IF(D$542&gt;0,(SMALL(Sheet1!D$499:D$511,$A$531)-D$542)/D$542,(LARGE(Sheet1!D$499:D$511,$A$531)-D$542)/D$542)</f>
        <v>-0.14702073834325008</v>
      </c>
      <c r="E577">
        <f>IF(E$542&gt;0,(SMALL(Sheet1!E$499:E$511,$A$531)-E$542)/E$542,(LARGE(Sheet1!E$499:E$511,$A$531)-E$542)/E$542)</f>
        <v>-8.2644484131246088E-2</v>
      </c>
      <c r="F577">
        <f>IF(F$542&gt;0,(SMALL(Sheet1!F$499:F$511,$A$531)-F$542)/F$542,(LARGE(Sheet1!F$499:F$511,$A$531)-F$542)/F$542)</f>
        <v>-7.5868722201512015E-2</v>
      </c>
      <c r="G577">
        <f>IF(G$542&gt;0,(SMALL(Sheet1!G$499:G$511,$A$531)-G$542)/G$542,(LARGE(Sheet1!G$499:G$511,$A$531)-G$542)/G$542)</f>
        <v>-8.6323543714639947E-2</v>
      </c>
    </row>
    <row r="578" spans="1:8">
      <c r="A578">
        <v>0.26923078298568726</v>
      </c>
      <c r="B578">
        <f>IF(B$542&gt;0,(SMALL(Sheet1!B$499:B$511,$A$532)-B$542)/B$542,(LARGE(Sheet1!B$499:B$511,$A$532)-B$542)/B$542)</f>
        <v>-0.10973750943382818</v>
      </c>
      <c r="C578">
        <f>IF(C$542&gt;0,(SMALL(Sheet1!C$499:C$511,$A$532)-C$542)/C$542,(LARGE(Sheet1!C$499:C$511,$A$532)-C$542)/C$542)</f>
        <v>-0.20771487470113745</v>
      </c>
      <c r="D578">
        <f>IF(D$542&gt;0,(SMALL(Sheet1!D$499:D$511,$A$532)-D$542)/D$542,(LARGE(Sheet1!D$499:D$511,$A$532)-D$542)/D$542)</f>
        <v>-0.11985737312340146</v>
      </c>
      <c r="E578">
        <f>IF(E$542&gt;0,(SMALL(Sheet1!E$499:E$511,$A$532)-E$542)/E$542,(LARGE(Sheet1!E$499:E$511,$A$532)-E$542)/E$542)</f>
        <v>-4.1483715809494795E-2</v>
      </c>
      <c r="F578">
        <f>IF(F$542&gt;0,(SMALL(Sheet1!F$499:F$511,$A$532)-F$542)/F$542,(LARGE(Sheet1!F$499:F$511,$A$532)-F$542)/F$542)</f>
        <v>-7.3322519487137749E-2</v>
      </c>
      <c r="G578">
        <f>IF(G$542&gt;0,(SMALL(Sheet1!G$499:G$511,$A$532)-G$542)/G$542,(LARGE(Sheet1!G$499:G$511,$A$532)-G$542)/G$542)</f>
        <v>-7.6219635828125173E-2</v>
      </c>
    </row>
    <row r="579" spans="1:8">
      <c r="A579">
        <v>0.3461538553237915</v>
      </c>
      <c r="B579">
        <f>IF(B$542&gt;0,(SMALL(Sheet1!B$499:B$511,$A$533)-B$542)/B$542,(LARGE(Sheet1!B$499:B$511,$A$533)-B$542)/B$542)</f>
        <v>-2.8022594840797933E-2</v>
      </c>
      <c r="C579">
        <f>IF(C$542&gt;0,(SMALL(Sheet1!C$499:C$511,$A$533)-C$542)/C$542,(LARGE(Sheet1!C$499:C$511,$A$533)-C$542)/C$542)</f>
        <v>-8.9327442185215419E-2</v>
      </c>
      <c r="D579">
        <f>IF(D$542&gt;0,(SMALL(Sheet1!D$499:D$511,$A$533)-D$542)/D$542,(LARGE(Sheet1!D$499:D$511,$A$533)-D$542)/D$542)</f>
        <v>-1.3293019196638353E-2</v>
      </c>
      <c r="E579">
        <f>IF(E$542&gt;0,(SMALL(Sheet1!E$499:E$511,$A$533)-E$542)/E$542,(LARGE(Sheet1!E$499:E$511,$A$533)-E$542)/E$542)</f>
        <v>-1.8574102340559392E-2</v>
      </c>
      <c r="F579">
        <f>IF(F$542&gt;0,(SMALL(Sheet1!F$499:F$511,$A$533)-F$542)/F$542,(LARGE(Sheet1!F$499:F$511,$A$533)-F$542)/F$542)</f>
        <v>-3.6056911983771943E-2</v>
      </c>
      <c r="G579">
        <f>IF(G$542&gt;0,(SMALL(Sheet1!G$499:G$511,$A$533)-G$542)/G$542,(LARGE(Sheet1!G$499:G$511,$A$533)-G$542)/G$542)</f>
        <v>-2.7419007357772442E-2</v>
      </c>
    </row>
    <row r="580" spans="1:8">
      <c r="A580">
        <v>0.42307692766189575</v>
      </c>
      <c r="B580">
        <f>IF(B$542&gt;0,(SMALL(Sheet1!B$499:B$511,$A$534)-B$542)/B$542,(LARGE(Sheet1!B$499:B$511,$A$534)-B$542)/B$542)</f>
        <v>-1.9421024883636843E-2</v>
      </c>
      <c r="C580">
        <f>IF(C$542&gt;0,(SMALL(Sheet1!C$499:C$511,$A$534)-C$542)/C$542,(LARGE(Sheet1!C$499:C$511,$A$534)-C$542)/C$542)</f>
        <v>-1.6473637560032596E-2</v>
      </c>
      <c r="D580">
        <f>IF(D$542&gt;0,(SMALL(Sheet1!D$499:D$511,$A$534)-D$542)/D$542,(LARGE(Sheet1!D$499:D$511,$A$534)-D$542)/D$542)</f>
        <v>-3.8958098556539484E-3</v>
      </c>
      <c r="E580">
        <f>IF(E$542&gt;0,(SMALL(Sheet1!E$499:E$511,$A$534)-E$542)/E$542,(LARGE(Sheet1!E$499:E$511,$A$534)-E$542)/E$542)</f>
        <v>1.1837391695763031E-3</v>
      </c>
      <c r="F580">
        <f>IF(F$542&gt;0,(SMALL(Sheet1!F$499:F$511,$A$534)-F$542)/F$542,(LARGE(Sheet1!F$499:F$511,$A$534)-F$542)/F$542)</f>
        <v>-2.2556710384763212E-2</v>
      </c>
      <c r="G580">
        <f>IF(G$542&gt;0,(SMALL(Sheet1!G$499:G$511,$A$534)-G$542)/G$542,(LARGE(Sheet1!G$499:G$511,$A$534)-G$542)/G$542)</f>
        <v>-1.6594636773504621E-2</v>
      </c>
    </row>
    <row r="581" spans="1:8">
      <c r="A581">
        <v>0.5</v>
      </c>
      <c r="B581">
        <f>IF(B$542&gt;0,(SMALL(Sheet1!B$499:B$511,$A$535)-B$542)/B$542,(LARGE(Sheet1!B$499:B$511,$A$535)-B$542)/B$542)</f>
        <v>1.4985254945007513E-2</v>
      </c>
      <c r="C581">
        <f>IF(C$542&gt;0,(SMALL(Sheet1!C$499:C$511,$A$535)-C$542)/C$542,(LARGE(Sheet1!C$499:C$511,$A$535)-C$542)/C$542)</f>
        <v>-1.0402487174600827E-2</v>
      </c>
      <c r="D581">
        <f>IF(D$542&gt;0,(SMALL(Sheet1!D$499:D$511,$A$535)-D$542)/D$542,(LARGE(Sheet1!D$499:D$511,$A$535)-D$542)/D$542)</f>
        <v>-1.3692611926018649E-4</v>
      </c>
      <c r="E581">
        <f>IF(E$542&gt;0,(SMALL(Sheet1!E$499:E$511,$A$535)-E$542)/E$542,(LARGE(Sheet1!E$499:E$511,$A$535)-E$542)/E$542)</f>
        <v>8.5478693061923367E-3</v>
      </c>
      <c r="F581">
        <f>IF(F$542&gt;0,(SMALL(Sheet1!F$499:F$511,$A$535)-F$542)/F$542,(LARGE(Sheet1!F$499:F$511,$A$535)-F$542)/F$542)</f>
        <v>1.137240256819021E-2</v>
      </c>
      <c r="G581">
        <f>IF(G$542&gt;0,(SMALL(Sheet1!G$499:G$511,$A$535)-G$542)/G$542,(LARGE(Sheet1!G$499:G$511,$A$535)-G$542)/G$542)</f>
        <v>2.4883007774694481E-2</v>
      </c>
    </row>
    <row r="582" spans="1:8">
      <c r="A582">
        <v>0.57692307233810425</v>
      </c>
      <c r="B582">
        <f>IF(B$542&gt;0,(SMALL(Sheet1!B$499:B$511,$A$536)-B$542)/B$542,(LARGE(Sheet1!B$499:B$511,$A$536)-B$542)/B$542)</f>
        <v>1.9286039923588152E-2</v>
      </c>
      <c r="C582">
        <f>IF(C$542&gt;0,(SMALL(Sheet1!C$499:C$511,$A$536)-C$542)/C$542,(LARGE(Sheet1!C$499:C$511,$A$536)-C$542)/C$542)</f>
        <v>2.602441513799059E-2</v>
      </c>
      <c r="D582">
        <f>IF(D$542&gt;0,(SMALL(Sheet1!D$499:D$511,$A$536)-D$542)/D$542,(LARGE(Sheet1!D$499:D$511,$A$536)-D$542)/D$542)</f>
        <v>3.3693027508283672E-2</v>
      </c>
      <c r="E582">
        <f>IF(E$542&gt;0,(SMALL(Sheet1!E$499:E$511,$A$536)-E$542)/E$542,(LARGE(Sheet1!E$499:E$511,$A$536)-E$542)/E$542)</f>
        <v>1.250892623576247E-2</v>
      </c>
      <c r="F582">
        <f>IF(F$542&gt;0,(SMALL(Sheet1!F$499:F$511,$A$536)-F$542)/F$542,(LARGE(Sheet1!F$499:F$511,$A$536)-F$542)/F$542)</f>
        <v>1.405507167771875E-2</v>
      </c>
      <c r="G582">
        <f>IF(G$542&gt;0,(SMALL(Sheet1!G$499:G$511,$A$536)-G$542)/G$542,(LARGE(Sheet1!G$499:G$511,$A$536)-G$542)/G$542)</f>
        <v>4.0340953137351969E-2</v>
      </c>
    </row>
    <row r="583" spans="1:8">
      <c r="A583">
        <v>0.6538461446762085</v>
      </c>
      <c r="B583">
        <f>IF(B$542&gt;0,(SMALL(Sheet1!B$499:B$511,$A$537)-B$542)/B$542,(LARGE(Sheet1!B$499:B$511,$A$537)-B$542)/B$542)</f>
        <v>5.3692319752232508E-2</v>
      </c>
      <c r="C583">
        <f>IF(C$542&gt;0,(SMALL(Sheet1!C$499:C$511,$A$537)-C$542)/C$542,(LARGE(Sheet1!C$499:C$511,$A$537)-C$542)/C$542)</f>
        <v>4.7273441487002313E-2</v>
      </c>
      <c r="D583">
        <f>IF(D$542&gt;0,(SMALL(Sheet1!D$499:D$511,$A$537)-D$542)/D$542,(LARGE(Sheet1!D$499:D$511,$A$537)-D$542)/D$542)</f>
        <v>5.7749883421203581E-2</v>
      </c>
      <c r="E583">
        <f>IF(E$542&gt;0,(SMALL(Sheet1!E$499:E$511,$A$537)-E$542)/E$542,(LARGE(Sheet1!E$499:E$511,$A$537)-E$542)/E$542)</f>
        <v>7.3328562382664761E-2</v>
      </c>
      <c r="F583">
        <f>IF(F$542&gt;0,(SMALL(Sheet1!F$499:F$511,$A$537)-F$542)/F$542,(LARGE(Sheet1!F$499:F$511,$A$537)-F$542)/F$542)</f>
        <v>2.8568034743226205E-2</v>
      </c>
      <c r="G583">
        <f>IF(G$542&gt;0,(SMALL(Sheet1!G$499:G$511,$A$537)-G$542)/G$542,(LARGE(Sheet1!G$499:G$511,$A$537)-G$542)/G$542)</f>
        <v>4.4553699748266458E-2</v>
      </c>
    </row>
    <row r="584" spans="1:8">
      <c r="A584">
        <v>0.73076921701431274</v>
      </c>
      <c r="B584">
        <f>IF(B$542&gt;0,(SMALL(Sheet1!B$499:B$511,$A$538)-B$542)/B$542,(LARGE(Sheet1!B$499:B$511,$A$538)-B$542)/B$542)</f>
        <v>7.5196244645135135E-2</v>
      </c>
      <c r="C584">
        <f>IF(C$542&gt;0,(SMALL(Sheet1!C$499:C$511,$A$538)-C$542)/C$542,(LARGE(Sheet1!C$499:C$511,$A$538)-C$542)/C$542)</f>
        <v>0.12923397169033293</v>
      </c>
      <c r="D584">
        <f>IF(D$542&gt;0,(SMALL(Sheet1!D$499:D$511,$A$538)-D$542)/D$542,(LARGE(Sheet1!D$499:D$511,$A$538)-D$542)/D$542)</f>
        <v>6.6583260201728986E-2</v>
      </c>
      <c r="E584">
        <f>IF(E$542&gt;0,(SMALL(Sheet1!E$499:E$511,$A$538)-E$542)/E$542,(LARGE(Sheet1!E$499:E$511,$A$538)-E$542)/E$542)</f>
        <v>7.3404372796411238E-2</v>
      </c>
      <c r="F584">
        <f>IF(F$542&gt;0,(SMALL(Sheet1!F$499:F$511,$A$538)-F$542)/F$542,(LARGE(Sheet1!F$499:F$511,$A$538)-F$542)/F$542)</f>
        <v>5.7939537004546474E-2</v>
      </c>
      <c r="G584">
        <f>IF(G$542&gt;0,(SMALL(Sheet1!G$499:G$511,$A$538)-G$542)/G$542,(LARGE(Sheet1!G$499:G$511,$A$538)-G$542)/G$542)</f>
        <v>7.0020113156146965E-2</v>
      </c>
    </row>
    <row r="585" spans="1:8">
      <c r="A585">
        <v>0.80769228935241699</v>
      </c>
      <c r="B585">
        <f>IF(B$542&gt;0,(SMALL(Sheet1!B$499:B$511,$A$539)-B$542)/B$542,(LARGE(Sheet1!B$499:B$511,$A$539)-B$542)/B$542)</f>
        <v>9.2399384559457315E-2</v>
      </c>
      <c r="C585">
        <f>IF(C$542&gt;0,(SMALL(Sheet1!C$499:C$511,$A$539)-C$542)/C$542,(LARGE(Sheet1!C$499:C$511,$A$539)-C$542)/C$542)</f>
        <v>0.12923397169033293</v>
      </c>
      <c r="D585">
        <f>IF(D$542&gt;0,(SMALL(Sheet1!D$499:D$511,$A$539)-D$542)/D$542,(LARGE(Sheet1!D$499:D$511,$A$539)-D$542)/D$542)</f>
        <v>8.5377678883697794E-2</v>
      </c>
      <c r="E585">
        <f>IF(E$542&gt;0,(SMALL(Sheet1!E$499:E$511,$A$539)-E$542)/E$542,(LARGE(Sheet1!E$499:E$511,$A$539)-E$542)/E$542)</f>
        <v>0.11082066943151866</v>
      </c>
      <c r="F585">
        <f>IF(F$542&gt;0,(SMALL(Sheet1!F$499:F$511,$A$539)-F$542)/F$542,(LARGE(Sheet1!F$499:F$511,$A$539)-F$542)/F$542)</f>
        <v>6.3146861638658777E-2</v>
      </c>
      <c r="G585">
        <f>IF(G$542&gt;0,(SMALL(Sheet1!G$499:G$511,$A$539)-G$542)/G$542,(LARGE(Sheet1!G$499:G$511,$A$539)-G$542)/G$542)</f>
        <v>7.2332577068935242E-2</v>
      </c>
    </row>
    <row r="586" spans="1:8">
      <c r="A586">
        <v>0.88461536169052124</v>
      </c>
      <c r="B586">
        <f>IF(B$542&gt;0,(SMALL(Sheet1!B$499:B$511,$A$540)-B$542)/B$542,(LARGE(Sheet1!B$499:B$511,$A$540)-B$542)/B$542)</f>
        <v>0.16551272919532647</v>
      </c>
      <c r="C586">
        <f>IF(C$542&gt;0,(SMALL(Sheet1!C$499:C$511,$A$540)-C$542)/C$542,(LARGE(Sheet1!C$499:C$511,$A$540)-C$542)/C$542)</f>
        <v>0.30529733286785782</v>
      </c>
      <c r="D586">
        <f>IF(D$542&gt;0,(SMALL(Sheet1!D$499:D$511,$A$540)-D$542)/D$542,(LARGE(Sheet1!D$499:D$511,$A$540)-D$542)/D$542)</f>
        <v>9.9473492895174292E-2</v>
      </c>
      <c r="E586">
        <f>IF(E$542&gt;0,(SMALL(Sheet1!E$499:E$511,$A$540)-E$542)/E$542,(LARGE(Sheet1!E$499:E$511,$A$540)-E$542)/E$542)</f>
        <v>0.1261948973833005</v>
      </c>
      <c r="F586">
        <f>IF(F$542&gt;0,(SMALL(Sheet1!F$499:F$511,$A$540)-F$542)/F$542,(LARGE(Sheet1!F$499:F$511,$A$540)-F$542)/F$542)</f>
        <v>6.9658939091784222E-2</v>
      </c>
      <c r="G586">
        <f>IF(G$542&gt;0,(SMALL(Sheet1!G$499:G$511,$A$540)-G$542)/G$542,(LARGE(Sheet1!G$499:G$511,$A$540)-G$542)/G$542)</f>
        <v>0.11966884032113768</v>
      </c>
    </row>
    <row r="587" spans="1:8">
      <c r="A587">
        <v>0.96153843402862549</v>
      </c>
      <c r="B587">
        <f>IF(B$542&gt;0,(SMALL(Sheet1!B$499:B$511,$A$541)-B$542)/B$542,(LARGE(Sheet1!B$499:B$511,$A$541)-B$542)/B$542)</f>
        <v>0.39345433306009525</v>
      </c>
      <c r="C587">
        <f>IF(C$542&gt;0,(SMALL(Sheet1!C$499:C$511,$A$541)-C$542)/C$542,(LARGE(Sheet1!C$499:C$511,$A$541)-C$542)/C$542)</f>
        <v>0.38118671268575655</v>
      </c>
      <c r="D587">
        <f>IF(D$542&gt;0,(SMALL(Sheet1!D$499:D$511,$A$541)-D$542)/D$542,(LARGE(Sheet1!D$499:D$511,$A$541)-D$542)/D$542)</f>
        <v>0.49885488988701115</v>
      </c>
      <c r="E587">
        <f>IF(E$542&gt;0,(SMALL(Sheet1!E$499:E$511,$A$541)-E$542)/E$542,(LARGE(Sheet1!E$499:E$511,$A$541)-E$542)/E$542)</f>
        <v>0.17104207554422088</v>
      </c>
      <c r="F587">
        <f>IF(F$542&gt;0,(SMALL(Sheet1!F$499:F$511,$A$541)-F$542)/F$542,(LARGE(Sheet1!F$499:F$511,$A$541)-F$542)/F$542)</f>
        <v>0.16454585599431287</v>
      </c>
      <c r="G587">
        <f>IF(G$542&gt;0,(SMALL(Sheet1!G$499:G$511,$A$541)-G$542)/G$542,(LARGE(Sheet1!G$499:G$511,$A$541)-G$542)/G$542)</f>
        <v>0.12259066158077837</v>
      </c>
    </row>
    <row r="588" spans="1:8">
      <c r="A588" s="6">
        <v>1</v>
      </c>
      <c r="B588" s="6">
        <f t="shared" ref="B588:G588" si="11">IF(B$587&lt;0,B$587* 0.9999,B$587*1.0001)</f>
        <v>0.39349367849340128</v>
      </c>
      <c r="C588" s="6">
        <f t="shared" si="11"/>
        <v>0.38122483135702512</v>
      </c>
      <c r="D588" s="6">
        <f t="shared" si="11"/>
        <v>0.49890477537599986</v>
      </c>
      <c r="E588" s="6">
        <f t="shared" si="11"/>
        <v>0.17105917975177529</v>
      </c>
      <c r="F588" s="6">
        <f t="shared" si="11"/>
        <v>0.1645623105799123</v>
      </c>
      <c r="G588" s="6">
        <f t="shared" si="11"/>
        <v>0.12260292064693645</v>
      </c>
    </row>
    <row r="589" spans="1:8">
      <c r="A589" s="5"/>
      <c r="B589" s="5"/>
      <c r="C589" s="5"/>
      <c r="D589" s="5"/>
      <c r="E589" s="5"/>
      <c r="F589" s="5"/>
      <c r="G589" s="5"/>
    </row>
    <row r="590" spans="1:8">
      <c r="A590" s="87" t="s">
        <v>395</v>
      </c>
      <c r="B590" s="5"/>
      <c r="C590" s="5"/>
      <c r="D590" s="5"/>
      <c r="E590" s="5"/>
      <c r="F590" s="5"/>
      <c r="G590" s="5"/>
    </row>
    <row r="591" spans="1:8">
      <c r="B591" s="3" t="str">
        <f t="shared" ref="B591:G591" si="12">B573</f>
        <v>Var 1</v>
      </c>
      <c r="C591" s="3" t="str">
        <f t="shared" si="12"/>
        <v>Var 2</v>
      </c>
      <c r="D591" s="3" t="str">
        <f t="shared" si="12"/>
        <v>Var 3</v>
      </c>
      <c r="E591" s="3" t="str">
        <f t="shared" si="12"/>
        <v>Var 4</v>
      </c>
      <c r="F591" s="3" t="str">
        <f t="shared" si="12"/>
        <v>Var 5</v>
      </c>
      <c r="G591" s="3" t="str">
        <f t="shared" si="12"/>
        <v>Var 6</v>
      </c>
    </row>
    <row r="592" spans="1:8">
      <c r="A592" t="s">
        <v>394</v>
      </c>
      <c r="B592">
        <f t="array" aca="1" ref="B592:G592" ca="1">_xll.CUSD(B565:G570)</f>
        <v>0.93961784496170186</v>
      </c>
      <c r="C592">
        <f ca="1"/>
        <v>0.9591282208800842</v>
      </c>
      <c r="D592">
        <f ca="1"/>
        <v>0.91035083759818003</v>
      </c>
      <c r="E592">
        <f ca="1"/>
        <v>0.27750717201546105</v>
      </c>
      <c r="F592">
        <f ca="1"/>
        <v>0.29358343145395738</v>
      </c>
      <c r="G592">
        <f ca="1"/>
        <v>0.23205559151515232</v>
      </c>
      <c r="H592" t="str">
        <f ca="1">_xll.VFORMULA(G592)</f>
        <v>=CUSD(B565:G570)</v>
      </c>
    </row>
    <row r="593" spans="1:13">
      <c r="A593" t="s">
        <v>396</v>
      </c>
      <c r="B593">
        <f t="array" ref="B593:G593">_xll.TRANS(F514:F519)</f>
        <v>100</v>
      </c>
      <c r="C593">
        <v>200</v>
      </c>
      <c r="D593">
        <v>250</v>
      </c>
      <c r="E593">
        <v>25</v>
      </c>
      <c r="F593">
        <v>190</v>
      </c>
      <c r="G593">
        <v>260</v>
      </c>
      <c r="H593" t="str">
        <f ca="1">_xll.VFORMULA(G593)</f>
        <v>=TRANS(F514:F519)</v>
      </c>
    </row>
    <row r="594" spans="1:13">
      <c r="B594" s="3" t="str">
        <f t="shared" ref="B594:G594" si="13">B591</f>
        <v>Var 1</v>
      </c>
      <c r="C594" s="3" t="str">
        <f t="shared" si="13"/>
        <v>Var 2</v>
      </c>
      <c r="D594" s="3" t="str">
        <f t="shared" si="13"/>
        <v>Var 3</v>
      </c>
      <c r="E594" s="3" t="str">
        <f t="shared" si="13"/>
        <v>Var 4</v>
      </c>
      <c r="F594" s="3" t="str">
        <f t="shared" si="13"/>
        <v>Var 5</v>
      </c>
      <c r="G594" s="3" t="str">
        <f t="shared" si="13"/>
        <v>Var 6</v>
      </c>
    </row>
    <row r="595" spans="1:13">
      <c r="A595" t="s">
        <v>397</v>
      </c>
      <c r="B595">
        <f t="shared" ref="B595:G595" ca="1" si="14">B593*(1+B592)</f>
        <v>193.9617844961702</v>
      </c>
      <c r="C595">
        <f t="shared" ca="1" si="14"/>
        <v>391.82564417601685</v>
      </c>
      <c r="D595">
        <f t="shared" ca="1" si="14"/>
        <v>477.58770939954496</v>
      </c>
      <c r="E595">
        <f t="shared" ca="1" si="14"/>
        <v>31.937679300386524</v>
      </c>
      <c r="F595">
        <f t="shared" ca="1" si="14"/>
        <v>245.78085197625191</v>
      </c>
      <c r="G595">
        <f t="shared" ca="1" si="14"/>
        <v>320.33445379393959</v>
      </c>
      <c r="H595" t="str">
        <f ca="1">_xll.VFORMULA(G595)</f>
        <v>=G593*(1+G592)</v>
      </c>
    </row>
    <row r="597" spans="1:13">
      <c r="I597" s="3"/>
      <c r="J597" s="3"/>
      <c r="K597" s="3"/>
      <c r="L597" s="3"/>
      <c r="M597" s="3"/>
    </row>
    <row r="598" spans="1:13">
      <c r="A598" s="2" t="s">
        <v>320</v>
      </c>
      <c r="I598" s="3"/>
      <c r="J598" s="3"/>
      <c r="K598" s="3"/>
      <c r="L598" s="3"/>
      <c r="M598" s="3"/>
    </row>
    <row r="599" spans="1:13">
      <c r="A599" s="48" t="s">
        <v>224</v>
      </c>
      <c r="I599" s="3"/>
      <c r="J599" s="3"/>
      <c r="K599" s="3"/>
      <c r="L599" s="3"/>
      <c r="M599" s="3"/>
    </row>
    <row r="600" spans="1:13">
      <c r="A600" s="2"/>
      <c r="B600" s="65" t="s">
        <v>32</v>
      </c>
      <c r="C600" s="65" t="s">
        <v>33</v>
      </c>
      <c r="D600" s="65" t="s">
        <v>34</v>
      </c>
      <c r="E600" s="65" t="s">
        <v>35</v>
      </c>
      <c r="I600" s="3"/>
      <c r="J600" s="3"/>
      <c r="K600" s="3"/>
      <c r="L600" s="3"/>
      <c r="M600" s="3"/>
    </row>
    <row r="601" spans="1:13">
      <c r="A601" s="48" t="str">
        <f t="array" ref="A601:A604">TRANSPOSE(B600:E600)</f>
        <v>Variable 1</v>
      </c>
      <c r="B601" s="26">
        <f t="shared" ref="B601:E602" si="15">B565</f>
        <v>1</v>
      </c>
      <c r="C601" s="27">
        <f t="shared" si="15"/>
        <v>0.86884999796184792</v>
      </c>
      <c r="D601" s="27">
        <f t="shared" si="15"/>
        <v>0.98095796327250073</v>
      </c>
      <c r="E601" s="28">
        <f t="shared" si="15"/>
        <v>-0.29934584416709464</v>
      </c>
      <c r="I601" s="3"/>
      <c r="J601" s="3"/>
      <c r="K601" s="3"/>
      <c r="L601" s="3"/>
      <c r="M601" s="3"/>
    </row>
    <row r="602" spans="1:13">
      <c r="A602" s="48" t="str">
        <v>Variable 2</v>
      </c>
      <c r="B602" s="29">
        <f t="shared" si="15"/>
        <v>0</v>
      </c>
      <c r="C602" s="5">
        <f t="shared" si="15"/>
        <v>1</v>
      </c>
      <c r="D602" s="5">
        <f t="shared" si="15"/>
        <v>0.81578132502839051</v>
      </c>
      <c r="E602" s="30">
        <f t="shared" si="15"/>
        <v>-0.15872169657746196</v>
      </c>
      <c r="I602" s="3"/>
      <c r="J602" s="3"/>
      <c r="K602" s="3"/>
      <c r="L602" s="3"/>
      <c r="M602" s="3"/>
    </row>
    <row r="603" spans="1:13">
      <c r="A603" s="48" t="str">
        <v>Variable 3</v>
      </c>
      <c r="B603" s="29">
        <f t="shared" ref="B603:E604" si="16">B567</f>
        <v>0</v>
      </c>
      <c r="C603" s="5">
        <f t="shared" si="16"/>
        <v>0</v>
      </c>
      <c r="D603" s="5">
        <f t="shared" si="16"/>
        <v>1</v>
      </c>
      <c r="E603" s="30">
        <f t="shared" si="16"/>
        <v>-0.28750801784131519</v>
      </c>
      <c r="I603" s="3"/>
      <c r="J603" s="3"/>
      <c r="K603" s="3"/>
      <c r="L603" s="3"/>
      <c r="M603" s="3"/>
    </row>
    <row r="604" spans="1:13">
      <c r="A604" s="48" t="str">
        <v>Variable 4</v>
      </c>
      <c r="B604" s="31">
        <f t="shared" si="16"/>
        <v>0</v>
      </c>
      <c r="C604" s="6">
        <f t="shared" si="16"/>
        <v>0</v>
      </c>
      <c r="D604" s="6">
        <f t="shared" si="16"/>
        <v>0</v>
      </c>
      <c r="E604" s="32">
        <f t="shared" si="16"/>
        <v>1</v>
      </c>
      <c r="I604" s="3"/>
      <c r="J604" s="3"/>
      <c r="K604" s="3"/>
      <c r="L604" s="3"/>
      <c r="M604" s="3"/>
    </row>
    <row r="605" spans="1:13">
      <c r="A605" s="48"/>
      <c r="I605" s="3"/>
      <c r="J605" s="3"/>
      <c r="K605" s="3"/>
      <c r="L605" s="3"/>
      <c r="M605" s="3"/>
    </row>
    <row r="606" spans="1:13">
      <c r="A606" s="48" t="s">
        <v>223</v>
      </c>
      <c r="I606" s="3"/>
      <c r="J606" s="3"/>
      <c r="K606" s="3"/>
      <c r="L606" s="3"/>
      <c r="M606" s="3"/>
    </row>
    <row r="607" spans="1:13">
      <c r="A607" s="48" t="str">
        <f>A601</f>
        <v>Variable 1</v>
      </c>
      <c r="B607" s="70">
        <f t="array" aca="1" ref="B607:B610" ca="1">_xll.CUSD(B601:E604)</f>
        <v>0.41703220514179185</v>
      </c>
      <c r="C607" t="str">
        <f ca="1">_xll.VFORMULA(B607)</f>
        <v>=CUSD(B601:E604)</v>
      </c>
      <c r="I607" s="3"/>
      <c r="J607" s="3"/>
      <c r="K607" s="3"/>
      <c r="L607" s="3"/>
      <c r="M607" s="3"/>
    </row>
    <row r="608" spans="1:13">
      <c r="A608" s="48" t="str">
        <f>A602</f>
        <v>Variable 2</v>
      </c>
      <c r="B608" s="71">
        <f ca="1"/>
        <v>0.47829803544551286</v>
      </c>
      <c r="I608" s="3"/>
      <c r="J608" s="3"/>
      <c r="K608" s="3"/>
      <c r="L608" s="3"/>
      <c r="M608" s="3"/>
    </row>
    <row r="609" spans="1:13">
      <c r="A609" s="48" t="str">
        <f>A603</f>
        <v>Variable 3</v>
      </c>
      <c r="B609" s="71">
        <f ca="1"/>
        <v>0.28748233570655035</v>
      </c>
      <c r="I609" s="3"/>
      <c r="J609" s="3"/>
      <c r="K609" s="3"/>
      <c r="L609" s="3"/>
      <c r="M609" s="3"/>
    </row>
    <row r="610" spans="1:13">
      <c r="A610" s="48" t="str">
        <f>A604</f>
        <v>Variable 4</v>
      </c>
      <c r="B610" s="72">
        <f ca="1"/>
        <v>0.72302251316638932</v>
      </c>
      <c r="I610" s="3"/>
      <c r="J610" s="3"/>
      <c r="K610" s="3"/>
      <c r="L610" s="3"/>
      <c r="M610" s="3"/>
    </row>
    <row r="611" spans="1:13">
      <c r="A611" s="48"/>
      <c r="I611" s="3"/>
      <c r="J611" s="3"/>
      <c r="K611" s="3"/>
      <c r="L611" s="3"/>
      <c r="M611" s="3"/>
    </row>
    <row r="612" spans="1:13">
      <c r="A612" s="2" t="s">
        <v>110</v>
      </c>
      <c r="D612" s="66" t="s">
        <v>10</v>
      </c>
      <c r="E612" s="66" t="s">
        <v>324</v>
      </c>
      <c r="F612" s="66" t="s">
        <v>11</v>
      </c>
      <c r="I612" s="3"/>
      <c r="J612" s="3"/>
      <c r="K612" s="3"/>
      <c r="L612" s="3"/>
      <c r="M612" s="3"/>
    </row>
    <row r="613" spans="1:13">
      <c r="A613" s="48" t="str">
        <f>A601</f>
        <v>Variable 1</v>
      </c>
      <c r="B613" t="s">
        <v>112</v>
      </c>
      <c r="D613">
        <v>10</v>
      </c>
      <c r="F613">
        <v>20</v>
      </c>
      <c r="I613" s="3"/>
      <c r="J613" s="3"/>
      <c r="K613" s="3"/>
      <c r="L613" s="3"/>
      <c r="M613" s="3"/>
    </row>
    <row r="614" spans="1:13">
      <c r="A614" s="48" t="str">
        <f>A602</f>
        <v>Variable 2</v>
      </c>
      <c r="B614" t="s">
        <v>114</v>
      </c>
      <c r="E614">
        <v>2.3250000000000002</v>
      </c>
      <c r="I614" s="3"/>
      <c r="J614" s="3"/>
      <c r="K614" s="3"/>
      <c r="L614" s="3"/>
      <c r="M614" s="3"/>
    </row>
    <row r="615" spans="1:13">
      <c r="A615" s="48" t="str">
        <f>A603</f>
        <v>Variable 3</v>
      </c>
      <c r="B615" t="s">
        <v>111</v>
      </c>
      <c r="D615">
        <v>5</v>
      </c>
      <c r="E615">
        <v>15</v>
      </c>
      <c r="F615">
        <v>17</v>
      </c>
      <c r="I615" s="3"/>
      <c r="J615" s="3"/>
      <c r="K615" s="3"/>
      <c r="L615" s="3"/>
      <c r="M615" s="3"/>
    </row>
    <row r="616" spans="1:13">
      <c r="A616" s="48" t="str">
        <f>A604</f>
        <v>Variable 4</v>
      </c>
      <c r="B616" t="s">
        <v>113</v>
      </c>
      <c r="D616">
        <v>1.5</v>
      </c>
      <c r="E616">
        <v>5</v>
      </c>
      <c r="I616" s="3"/>
      <c r="J616" s="3"/>
      <c r="K616" s="3"/>
      <c r="L616" s="3"/>
      <c r="M616" s="3"/>
    </row>
    <row r="617" spans="1:13">
      <c r="A617" s="48" t="s">
        <v>323</v>
      </c>
      <c r="I617" s="3"/>
      <c r="J617" s="3"/>
      <c r="K617" s="3"/>
      <c r="L617" s="3"/>
      <c r="M617" s="3"/>
    </row>
    <row r="618" spans="1:13">
      <c r="A618" s="98" t="s">
        <v>398</v>
      </c>
      <c r="B618" s="6" t="s">
        <v>96</v>
      </c>
      <c r="I618" s="3"/>
      <c r="J618" s="3"/>
      <c r="K618" s="3"/>
      <c r="L618" s="3"/>
      <c r="M618" s="3"/>
    </row>
    <row r="619" spans="1:13">
      <c r="A619" s="69">
        <f t="shared" ref="A619:A633" si="17">B574</f>
        <v>-0.35491774143824023</v>
      </c>
      <c r="B619">
        <f>A574</f>
        <v>0</v>
      </c>
      <c r="I619" s="3"/>
      <c r="J619" s="3"/>
      <c r="K619" s="3"/>
      <c r="L619" s="3"/>
      <c r="M619" s="3"/>
    </row>
    <row r="620" spans="1:13">
      <c r="A620" s="69">
        <f t="shared" si="17"/>
        <v>-0.35488225321291894</v>
      </c>
      <c r="B620">
        <f t="shared" ref="B620:B633" si="18">A575</f>
        <v>3.8461539894342422E-2</v>
      </c>
      <c r="D620" s="2" t="s">
        <v>399</v>
      </c>
      <c r="I620" s="3"/>
      <c r="J620" s="3"/>
      <c r="K620" s="3"/>
      <c r="L620" s="3"/>
      <c r="M620" s="3"/>
    </row>
    <row r="621" spans="1:13">
      <c r="A621" s="69">
        <f t="shared" si="17"/>
        <v>-0.16564771415537516</v>
      </c>
      <c r="B621">
        <f t="shared" si="18"/>
        <v>0.11538461595773697</v>
      </c>
      <c r="D621" t="s">
        <v>322</v>
      </c>
      <c r="E621" s="8" t="s">
        <v>225</v>
      </c>
      <c r="I621" s="3"/>
      <c r="J621" s="3"/>
      <c r="K621" s="3"/>
      <c r="L621" s="3"/>
      <c r="M621" s="3"/>
    </row>
    <row r="622" spans="1:13">
      <c r="A622" s="69">
        <f t="shared" si="17"/>
        <v>-0.13681520955428622</v>
      </c>
      <c r="B622">
        <f t="shared" si="18"/>
        <v>0.19230769574642181</v>
      </c>
      <c r="D622" s="65" t="str">
        <f>A613</f>
        <v>Variable 1</v>
      </c>
      <c r="E622" s="36">
        <f ca="1">_xll.UNIFORM(D613,F613,B607)</f>
        <v>14.170322051417919</v>
      </c>
      <c r="F622" s="2" t="str">
        <f ca="1">_xll.VFORMULA(E622)</f>
        <v>=UNIFORM(D613,F613,B607)</v>
      </c>
      <c r="I622" s="3"/>
      <c r="J622" s="3"/>
      <c r="K622" s="3"/>
      <c r="L622" s="3"/>
      <c r="M622" s="3"/>
    </row>
    <row r="623" spans="1:13">
      <c r="A623" s="69">
        <f t="shared" si="17"/>
        <v>-0.10973750943382818</v>
      </c>
      <c r="B623">
        <f t="shared" si="18"/>
        <v>0.26923078298568726</v>
      </c>
      <c r="D623" s="65" t="str">
        <f>A614</f>
        <v>Variable 2</v>
      </c>
      <c r="E623" s="36">
        <f ca="1">E614*(1+_xll.EMP(A619:A633,B619:B633,B608))</f>
        <v>2.3372721965734726</v>
      </c>
      <c r="F623" s="2" t="str">
        <f ca="1">_xll.VFORMULA(E623)</f>
        <v>=E614*(1+EMP(A619:A633,B619:B633,B608))</v>
      </c>
      <c r="I623" s="3"/>
      <c r="J623" s="3"/>
      <c r="K623" s="3"/>
      <c r="L623" s="3"/>
      <c r="M623" s="3"/>
    </row>
    <row r="624" spans="1:13">
      <c r="A624" s="69">
        <f t="shared" si="17"/>
        <v>-2.8022594840797933E-2</v>
      </c>
      <c r="B624">
        <f t="shared" si="18"/>
        <v>0.3461538553237915</v>
      </c>
      <c r="D624" s="65" t="str">
        <f>A615</f>
        <v>Variable 3</v>
      </c>
      <c r="E624" s="36">
        <f ca="1">_xll.GRKS(D615,E615,F615,B609)</f>
        <v>12.196225719314889</v>
      </c>
      <c r="F624" s="2" t="str">
        <f ca="1">_xll.VFORMULA(E624)</f>
        <v>=GRKS(D615,E615,F615,B609)</v>
      </c>
      <c r="I624" s="3"/>
      <c r="J624" s="3"/>
      <c r="K624" s="3"/>
      <c r="L624" s="3"/>
      <c r="M624" s="3"/>
    </row>
    <row r="625" spans="1:13">
      <c r="A625" s="69">
        <f t="shared" si="17"/>
        <v>-1.9421024883636843E-2</v>
      </c>
      <c r="B625">
        <f t="shared" si="18"/>
        <v>0.42307692766189575</v>
      </c>
      <c r="D625" s="65" t="str">
        <f>A616</f>
        <v>Variable 4</v>
      </c>
      <c r="E625" s="36">
        <f ca="1">BETAINV(B610,D616,E616)</f>
        <v>0.30847549438476563</v>
      </c>
      <c r="F625" s="2" t="str">
        <f ca="1">_xll.VFORMULA(E625)</f>
        <v>=BETAINV(B610,D616,E616)</v>
      </c>
      <c r="I625" s="3"/>
      <c r="J625" s="3"/>
      <c r="K625" s="3"/>
      <c r="L625" s="3"/>
      <c r="M625" s="3"/>
    </row>
    <row r="626" spans="1:13">
      <c r="A626" s="69">
        <f t="shared" si="17"/>
        <v>1.4985254945007513E-2</v>
      </c>
      <c r="B626">
        <f t="shared" si="18"/>
        <v>0.5</v>
      </c>
      <c r="I626" s="3"/>
      <c r="J626" s="3"/>
      <c r="K626" s="3"/>
      <c r="L626" s="3"/>
      <c r="M626" s="3"/>
    </row>
    <row r="627" spans="1:13">
      <c r="A627" s="69">
        <f t="shared" si="17"/>
        <v>1.9286039923588152E-2</v>
      </c>
      <c r="B627">
        <f t="shared" si="18"/>
        <v>0.57692307233810425</v>
      </c>
      <c r="I627" s="3"/>
      <c r="J627" s="3"/>
      <c r="K627" s="3"/>
      <c r="L627" s="3"/>
      <c r="M627" s="3"/>
    </row>
    <row r="628" spans="1:13">
      <c r="A628" s="69">
        <f t="shared" si="17"/>
        <v>5.3692319752232508E-2</v>
      </c>
      <c r="B628">
        <f t="shared" si="18"/>
        <v>0.6538461446762085</v>
      </c>
      <c r="I628" s="3"/>
      <c r="J628" s="3"/>
      <c r="K628" s="3"/>
      <c r="L628" s="3"/>
      <c r="M628" s="3"/>
    </row>
    <row r="629" spans="1:13">
      <c r="A629" s="69">
        <f t="shared" si="17"/>
        <v>7.5196244645135135E-2</v>
      </c>
      <c r="B629">
        <f t="shared" si="18"/>
        <v>0.73076921701431274</v>
      </c>
      <c r="D629" s="65"/>
      <c r="I629" s="3"/>
      <c r="J629" s="3"/>
      <c r="K629" s="3"/>
      <c r="L629" s="3"/>
      <c r="M629" s="3"/>
    </row>
    <row r="630" spans="1:13">
      <c r="A630" s="69">
        <f t="shared" si="17"/>
        <v>9.2399384559457315E-2</v>
      </c>
      <c r="B630">
        <f t="shared" si="18"/>
        <v>0.80769228935241699</v>
      </c>
      <c r="I630" s="3"/>
      <c r="J630" s="3"/>
      <c r="K630" s="3"/>
      <c r="L630" s="3"/>
      <c r="M630" s="3"/>
    </row>
    <row r="631" spans="1:13">
      <c r="A631" s="69">
        <f t="shared" si="17"/>
        <v>0.16551272919532647</v>
      </c>
      <c r="B631">
        <f t="shared" si="18"/>
        <v>0.88461536169052124</v>
      </c>
      <c r="I631" s="3"/>
      <c r="J631" s="3"/>
      <c r="K631" s="3"/>
      <c r="L631" s="3"/>
      <c r="M631" s="3"/>
    </row>
    <row r="632" spans="1:13">
      <c r="A632" s="69">
        <f t="shared" si="17"/>
        <v>0.39345433306009525</v>
      </c>
      <c r="B632">
        <f t="shared" si="18"/>
        <v>0.96153843402862549</v>
      </c>
      <c r="I632" s="3"/>
      <c r="J632" s="3"/>
      <c r="K632" s="3"/>
      <c r="L632" s="3"/>
      <c r="M632" s="3"/>
    </row>
    <row r="633" spans="1:13">
      <c r="A633" s="69">
        <f t="shared" si="17"/>
        <v>0.39349367849340128</v>
      </c>
      <c r="B633">
        <f t="shared" si="18"/>
        <v>1</v>
      </c>
      <c r="I633" s="3"/>
      <c r="J633" s="3"/>
      <c r="K633" s="3"/>
      <c r="L633" s="3"/>
      <c r="M633" s="3"/>
    </row>
    <row r="634" spans="1:13">
      <c r="A634" s="69"/>
      <c r="B634" s="69"/>
      <c r="I634" s="3"/>
      <c r="J634" s="3"/>
      <c r="K634" s="3"/>
      <c r="L634" s="3"/>
      <c r="M634" s="3"/>
    </row>
    <row r="635" spans="1:13">
      <c r="A635" s="69"/>
      <c r="B635" s="69"/>
      <c r="I635" s="3"/>
      <c r="J635" s="3"/>
      <c r="K635" s="3"/>
      <c r="L635" s="3"/>
      <c r="M635" s="3"/>
    </row>
    <row r="636" spans="1:13">
      <c r="A636" s="2" t="s">
        <v>289</v>
      </c>
      <c r="I636" s="3"/>
      <c r="J636" s="3"/>
      <c r="K636" s="3"/>
      <c r="L636" s="3"/>
      <c r="M636" s="3"/>
    </row>
    <row r="637" spans="1:13">
      <c r="C637" t="s">
        <v>47</v>
      </c>
      <c r="I637" s="3"/>
      <c r="J637" s="3"/>
      <c r="K637" s="3"/>
      <c r="L637" s="3"/>
      <c r="M637" s="3"/>
    </row>
    <row r="638" spans="1:13">
      <c r="A638" s="98" t="s">
        <v>325</v>
      </c>
      <c r="C638" t="s">
        <v>88</v>
      </c>
      <c r="D638" t="s">
        <v>89</v>
      </c>
      <c r="E638" t="s">
        <v>90</v>
      </c>
      <c r="I638" s="3"/>
      <c r="J638" s="3"/>
      <c r="K638" s="3"/>
      <c r="L638" s="3"/>
      <c r="M638" s="3"/>
    </row>
    <row r="639" spans="1:13">
      <c r="A639" s="102">
        <v>14</v>
      </c>
      <c r="B639" t="str">
        <f t="array" ref="B639:B641">_xll.TRANS(C638:H638)</f>
        <v>Price 1</v>
      </c>
      <c r="C639" s="37">
        <v>16</v>
      </c>
      <c r="D639" s="38">
        <v>-5</v>
      </c>
      <c r="E639" s="39">
        <v>10</v>
      </c>
      <c r="I639" s="3"/>
      <c r="J639" s="3"/>
      <c r="K639" s="3"/>
      <c r="L639" s="3"/>
      <c r="M639" s="3"/>
    </row>
    <row r="640" spans="1:13">
      <c r="A640" s="103">
        <v>20</v>
      </c>
      <c r="B640" t="str">
        <v>Price 2</v>
      </c>
      <c r="C640" s="40"/>
      <c r="D640" s="7">
        <v>25</v>
      </c>
      <c r="E640" s="41">
        <v>-9</v>
      </c>
      <c r="I640" s="3"/>
      <c r="J640" s="3"/>
      <c r="K640" s="3"/>
      <c r="L640" s="3"/>
      <c r="M640" s="3"/>
    </row>
    <row r="641" spans="1:13">
      <c r="A641" s="104">
        <v>17</v>
      </c>
      <c r="B641" t="str">
        <v>Price 3</v>
      </c>
      <c r="C641" s="42"/>
      <c r="D641" s="43"/>
      <c r="E641" s="44">
        <v>49</v>
      </c>
      <c r="I641" s="3"/>
      <c r="J641" s="3"/>
      <c r="K641" s="3"/>
      <c r="L641" s="3"/>
      <c r="M641" s="3"/>
    </row>
    <row r="642" spans="1:13">
      <c r="A642" s="2"/>
      <c r="I642" s="3"/>
      <c r="J642" s="3"/>
      <c r="K642" s="3"/>
      <c r="L642" s="3"/>
      <c r="M642" s="3"/>
    </row>
    <row r="643" spans="1:13">
      <c r="D643" t="s">
        <v>321</v>
      </c>
      <c r="I643" s="3"/>
      <c r="J643" s="3"/>
      <c r="K643" s="3"/>
      <c r="L643" s="3"/>
      <c r="M643" s="3"/>
    </row>
    <row r="644" spans="1:13">
      <c r="A644" s="48" t="s">
        <v>326</v>
      </c>
      <c r="D644" t="s">
        <v>322</v>
      </c>
      <c r="E644" s="8" t="s">
        <v>225</v>
      </c>
      <c r="I644" s="3"/>
      <c r="J644" s="3"/>
      <c r="K644" s="3"/>
      <c r="L644" s="3"/>
      <c r="M644" s="3"/>
    </row>
    <row r="645" spans="1:13">
      <c r="A645" s="99">
        <f ca="1">_xll.NORM()</f>
        <v>-0.14408034958158211</v>
      </c>
      <c r="D645" t="s">
        <v>327</v>
      </c>
      <c r="E645" s="94">
        <f t="array" aca="1" ref="E645:E647" ca="1">_xll.MVLOGNORM(A639:A641,C639:E641,A645:A647,,1)</f>
        <v>12.972264228057933</v>
      </c>
      <c r="F645" s="2" t="str">
        <f ca="1">_xll.VFORMULA(E645)</f>
        <v>=MVLOGNORM(A639:A641,C639:E641,A645:A647,,1)</v>
      </c>
      <c r="I645" s="3"/>
      <c r="J645" s="3"/>
      <c r="K645" s="3"/>
      <c r="L645" s="3"/>
      <c r="M645" s="3"/>
    </row>
    <row r="646" spans="1:13">
      <c r="A646" s="100">
        <f ca="1">_xll.NORM()</f>
        <v>-1.5242694944657553</v>
      </c>
      <c r="D646" t="s">
        <v>328</v>
      </c>
      <c r="E646" s="95">
        <f ca="1"/>
        <v>14.975596858583392</v>
      </c>
      <c r="F646" t="s">
        <v>352</v>
      </c>
      <c r="I646" s="3"/>
      <c r="J646" s="3"/>
      <c r="K646" s="3"/>
      <c r="L646" s="3"/>
      <c r="M646" s="3"/>
    </row>
    <row r="647" spans="1:13">
      <c r="A647" s="101">
        <f ca="1">_xll.NORM()</f>
        <v>-1.0557626492052796</v>
      </c>
      <c r="D647" t="s">
        <v>329</v>
      </c>
      <c r="E647" s="96">
        <f ca="1"/>
        <v>11.191145154870997</v>
      </c>
      <c r="I647" s="3"/>
      <c r="J647" s="3"/>
      <c r="K647" s="3"/>
      <c r="L647" s="3"/>
      <c r="M647" s="3"/>
    </row>
    <row r="648" spans="1:13">
      <c r="A648" s="2"/>
      <c r="I648" s="3"/>
      <c r="J648" s="3"/>
      <c r="K648" s="3"/>
      <c r="L648" s="3"/>
      <c r="M648" s="3"/>
    </row>
    <row r="649" spans="1:13">
      <c r="A649" s="2"/>
      <c r="F649" s="2"/>
      <c r="I649" s="3"/>
      <c r="J649" s="3"/>
      <c r="K649" s="3"/>
      <c r="L649" s="3"/>
      <c r="M649" s="3"/>
    </row>
    <row r="650" spans="1:13">
      <c r="A650" s="2" t="s">
        <v>288</v>
      </c>
      <c r="I650" s="3"/>
      <c r="J650" s="3"/>
      <c r="K650" s="3"/>
      <c r="L650" s="3"/>
      <c r="M650" s="3"/>
    </row>
    <row r="651" spans="1:13">
      <c r="A651" s="2"/>
      <c r="C651" t="s">
        <v>47</v>
      </c>
      <c r="I651" s="3"/>
      <c r="J651" s="3"/>
      <c r="K651" s="3"/>
      <c r="L651" s="3"/>
      <c r="M651" s="3"/>
    </row>
    <row r="652" spans="1:13">
      <c r="A652" s="2" t="s">
        <v>325</v>
      </c>
      <c r="C652" t="s">
        <v>88</v>
      </c>
      <c r="D652" t="s">
        <v>89</v>
      </c>
      <c r="E652" t="s">
        <v>90</v>
      </c>
      <c r="I652" s="3"/>
      <c r="J652" s="3"/>
      <c r="K652" s="3"/>
      <c r="L652" s="3"/>
      <c r="M652" s="3"/>
    </row>
    <row r="653" spans="1:13">
      <c r="A653" s="102">
        <v>14</v>
      </c>
      <c r="B653" t="s">
        <v>88</v>
      </c>
      <c r="C653" s="106">
        <v>16</v>
      </c>
      <c r="D653" s="107">
        <v>-5</v>
      </c>
      <c r="E653" s="108">
        <v>10</v>
      </c>
      <c r="I653" s="3"/>
      <c r="J653" s="3"/>
      <c r="K653" s="3"/>
      <c r="L653" s="3"/>
      <c r="M653" s="3"/>
    </row>
    <row r="654" spans="1:13">
      <c r="A654" s="103">
        <v>20</v>
      </c>
      <c r="B654" t="s">
        <v>89</v>
      </c>
      <c r="C654" s="109"/>
      <c r="D654" s="110">
        <v>25</v>
      </c>
      <c r="E654" s="111">
        <v>-9</v>
      </c>
      <c r="I654" s="3"/>
      <c r="J654" s="3"/>
      <c r="K654" s="3"/>
      <c r="L654" s="3"/>
      <c r="M654" s="3"/>
    </row>
    <row r="655" spans="1:13">
      <c r="A655" s="104">
        <v>17</v>
      </c>
      <c r="B655" t="s">
        <v>90</v>
      </c>
      <c r="C655" s="112"/>
      <c r="D655" s="113"/>
      <c r="E655" s="114">
        <v>49</v>
      </c>
      <c r="I655" s="3"/>
      <c r="J655" s="3"/>
      <c r="K655" s="3"/>
      <c r="L655" s="3"/>
      <c r="M655" s="3"/>
    </row>
    <row r="656" spans="1:13">
      <c r="A656" s="2"/>
      <c r="I656" s="3"/>
      <c r="J656" s="3"/>
      <c r="K656" s="3"/>
      <c r="L656" s="3"/>
      <c r="M656" s="3"/>
    </row>
    <row r="657" spans="1:13">
      <c r="A657" s="48" t="s">
        <v>330</v>
      </c>
      <c r="C657">
        <v>25</v>
      </c>
      <c r="I657" s="3"/>
      <c r="J657" s="3"/>
      <c r="K657" s="3"/>
      <c r="L657" s="3"/>
      <c r="M657" s="3"/>
    </row>
    <row r="658" spans="1:13">
      <c r="A658" s="48" t="s">
        <v>331</v>
      </c>
      <c r="D658" t="s">
        <v>321</v>
      </c>
      <c r="I658" s="3"/>
      <c r="J658" s="3"/>
      <c r="K658" s="3"/>
      <c r="L658" s="3"/>
      <c r="M658" s="3"/>
    </row>
    <row r="659" spans="1:13">
      <c r="A659" s="99">
        <f ca="1">_xll.NORM()</f>
        <v>-0.44501207963065514</v>
      </c>
      <c r="D659" t="s">
        <v>322</v>
      </c>
      <c r="E659" s="8" t="s">
        <v>225</v>
      </c>
      <c r="I659" s="3"/>
      <c r="J659" s="3"/>
      <c r="K659" s="3"/>
      <c r="L659" s="3"/>
      <c r="M659" s="3"/>
    </row>
    <row r="660" spans="1:13">
      <c r="A660" s="100">
        <f ca="1">_xll.NORM()</f>
        <v>0.54633037463473966</v>
      </c>
      <c r="D660" t="s">
        <v>332</v>
      </c>
      <c r="E660" s="94">
        <f t="array" aca="1" ref="E660:E662" ca="1">_xll.MVTINV(A653:A655,C653:E655,C657,A659:A661)</f>
        <v>10.601331787022776</v>
      </c>
      <c r="F660" s="2" t="str">
        <f ca="1">_xll.VFORMULA(E660)</f>
        <v>=MVTINV(A653:A655,C653:E655,C657,A659:A661)</v>
      </c>
      <c r="I660" s="3"/>
      <c r="J660" s="3"/>
      <c r="K660" s="3"/>
      <c r="L660" s="3"/>
      <c r="M660" s="3"/>
    </row>
    <row r="661" spans="1:13">
      <c r="A661" s="101">
        <f ca="1">_xll.NORM()</f>
        <v>0.28684507004985704</v>
      </c>
      <c r="D661" t="s">
        <v>333</v>
      </c>
      <c r="E661" s="95">
        <f ca="1"/>
        <v>19.679778097982076</v>
      </c>
      <c r="I661" s="3"/>
      <c r="J661" s="3"/>
      <c r="K661" s="3"/>
      <c r="L661" s="3"/>
      <c r="M661" s="3"/>
    </row>
    <row r="662" spans="1:13">
      <c r="D662" t="s">
        <v>334</v>
      </c>
      <c r="E662" s="96">
        <f ca="1"/>
        <v>16.805381201924973</v>
      </c>
      <c r="I662" s="3"/>
      <c r="J662" s="3"/>
      <c r="K662" s="3"/>
      <c r="L662" s="3"/>
      <c r="M662" s="3"/>
    </row>
    <row r="663" spans="1:13">
      <c r="E663" s="105"/>
      <c r="I663" s="3"/>
      <c r="J663" s="3"/>
      <c r="K663" s="3"/>
      <c r="L663" s="3"/>
      <c r="M663" s="3"/>
    </row>
    <row r="664" spans="1:13">
      <c r="A664" s="115"/>
      <c r="B664" s="69"/>
      <c r="I664" s="3"/>
      <c r="J664" s="3"/>
      <c r="K664" s="3"/>
      <c r="L664" s="3"/>
      <c r="M664" s="3"/>
    </row>
    <row r="665" spans="1:13">
      <c r="A665" s="2" t="s">
        <v>262</v>
      </c>
      <c r="B665" s="3"/>
      <c r="C665" s="3"/>
      <c r="D665" s="58"/>
      <c r="E665" s="53"/>
      <c r="F665" s="53"/>
      <c r="I665" s="3"/>
      <c r="J665" s="3"/>
      <c r="K665" s="3"/>
      <c r="L665" s="3"/>
      <c r="M665" s="3"/>
    </row>
    <row r="666" spans="1:13">
      <c r="A666" t="s">
        <v>81</v>
      </c>
      <c r="B666" s="3"/>
      <c r="C666" s="3">
        <v>3</v>
      </c>
      <c r="D666" s="58"/>
      <c r="E666" s="53"/>
      <c r="F666" s="53"/>
    </row>
    <row r="667" spans="1:13">
      <c r="A667" t="s">
        <v>82</v>
      </c>
      <c r="B667" s="3"/>
      <c r="C667" s="3">
        <v>25</v>
      </c>
      <c r="D667" s="58"/>
      <c r="E667" s="53"/>
      <c r="F667" s="53"/>
    </row>
    <row r="668" spans="1:13">
      <c r="A668" t="s">
        <v>165</v>
      </c>
      <c r="B668" s="3"/>
      <c r="C668" s="3">
        <f ca="1">_xll.UNIFORM()</f>
        <v>0.143218994140625</v>
      </c>
      <c r="D668" s="8"/>
      <c r="E668" s="2" t="str">
        <f>E316</f>
        <v>Random Nos.</v>
      </c>
      <c r="F668" s="8" t="str">
        <f>F316</f>
        <v>Formulas</v>
      </c>
    </row>
    <row r="669" spans="1:13">
      <c r="A669" t="s">
        <v>83</v>
      </c>
      <c r="B669" s="3"/>
      <c r="C669" s="3"/>
      <c r="D669" t="s">
        <v>205</v>
      </c>
      <c r="E669" s="58">
        <f ca="1">_xll.HOTELLTINV(C666,C667)</f>
        <v>1.6866460690157647</v>
      </c>
      <c r="F669" s="53" t="str">
        <f ca="1">_xll.VFORMULA(E669)</f>
        <v>=HOTELLTINV(C666,C667)</v>
      </c>
    </row>
    <row r="670" spans="1:13">
      <c r="A670" t="s">
        <v>204</v>
      </c>
      <c r="B670" s="3"/>
      <c r="C670" s="3"/>
      <c r="D670" t="s">
        <v>205</v>
      </c>
      <c r="E670" s="58">
        <f ca="1">_xll.HOTELLTINV(C666,C667,C668)</f>
        <v>6.4969640289496802</v>
      </c>
      <c r="F670" s="53" t="str">
        <f ca="1">_xll.VFORMULA(E670)</f>
        <v>=HOTELLTINV(C666,C667,C668)</v>
      </c>
    </row>
    <row r="671" spans="1:13">
      <c r="B671" s="3"/>
      <c r="C671" s="3"/>
      <c r="D671" s="8"/>
    </row>
    <row r="672" spans="1:13">
      <c r="B672" s="3"/>
      <c r="C672" s="3"/>
      <c r="D672" s="8"/>
    </row>
    <row r="673" spans="1:7">
      <c r="A673" s="2" t="s">
        <v>261</v>
      </c>
      <c r="B673" s="3"/>
      <c r="C673" s="3"/>
      <c r="D673" s="8"/>
    </row>
    <row r="674" spans="1:7">
      <c r="A674" t="s">
        <v>79</v>
      </c>
      <c r="B674" s="3"/>
      <c r="C674" s="3"/>
      <c r="D674" s="8"/>
    </row>
    <row r="675" spans="1:7">
      <c r="A675" s="26">
        <v>16</v>
      </c>
      <c r="B675" s="38">
        <v>-5</v>
      </c>
      <c r="C675" s="39">
        <v>10</v>
      </c>
      <c r="D675" s="8"/>
    </row>
    <row r="676" spans="1:7">
      <c r="A676" s="29"/>
      <c r="B676" s="7">
        <v>25</v>
      </c>
      <c r="C676" s="41">
        <v>-9</v>
      </c>
      <c r="D676" s="8"/>
    </row>
    <row r="677" spans="1:7">
      <c r="A677" s="31"/>
      <c r="B677" s="43"/>
      <c r="C677" s="44">
        <v>49</v>
      </c>
      <c r="D677" s="8"/>
    </row>
    <row r="678" spans="1:7">
      <c r="A678" t="s">
        <v>82</v>
      </c>
      <c r="B678" s="3"/>
      <c r="C678" s="3">
        <v>25</v>
      </c>
      <c r="D678" s="8"/>
    </row>
    <row r="679" spans="1:7" ht="12.75" thickBot="1">
      <c r="B679" s="3"/>
      <c r="C679" s="8"/>
      <c r="D679" s="2" t="str">
        <f>E316</f>
        <v>Random Nos.</v>
      </c>
      <c r="F679" s="8" t="str">
        <f>F316</f>
        <v>Formulas</v>
      </c>
      <c r="G679" s="3"/>
    </row>
    <row r="680" spans="1:7">
      <c r="A680" t="s">
        <v>80</v>
      </c>
      <c r="B680" s="3"/>
      <c r="C680" s="49">
        <f t="array" aca="1" ref="C680:E682" ca="1">_xll.WISHINV(A675:C677,C678)</f>
        <v>261.16164738482092</v>
      </c>
      <c r="D680" s="50">
        <f ca="1"/>
        <v>7.5333864448964825</v>
      </c>
      <c r="E680" s="51">
        <f ca="1"/>
        <v>231.23267332739945</v>
      </c>
      <c r="F680" t="str">
        <f ca="1">_xll.VFORMULA(C680)</f>
        <v>=WISHINV(A675:C677,C678)</v>
      </c>
      <c r="G680" s="3"/>
    </row>
    <row r="681" spans="1:7">
      <c r="B681" s="3"/>
      <c r="C681" s="52">
        <f ca="1"/>
        <v>7.5333864448964825</v>
      </c>
      <c r="D681" s="53">
        <f ca="1"/>
        <v>416.91011317928309</v>
      </c>
      <c r="E681" s="54">
        <f ca="1"/>
        <v>-123.97861825033254</v>
      </c>
      <c r="G681" s="3"/>
    </row>
    <row r="682" spans="1:7" ht="12.75" thickBot="1">
      <c r="B682" s="3"/>
      <c r="C682" s="55">
        <f ca="1"/>
        <v>231.23267332739945</v>
      </c>
      <c r="D682" s="56">
        <f ca="1"/>
        <v>-123.97861825033254</v>
      </c>
      <c r="E682" s="57">
        <f ca="1"/>
        <v>716.67142349757228</v>
      </c>
      <c r="G682" s="3"/>
    </row>
    <row r="683" spans="1:7">
      <c r="B683" s="3"/>
      <c r="C683" s="3"/>
      <c r="E683" s="58"/>
      <c r="F683" s="53"/>
    </row>
    <row r="684" spans="1:7">
      <c r="B684" s="3"/>
      <c r="C684" s="3"/>
      <c r="D684" s="58"/>
      <c r="E684" s="53"/>
      <c r="F684" s="53"/>
    </row>
    <row r="685" spans="1:7">
      <c r="A685" s="2" t="s">
        <v>263</v>
      </c>
      <c r="B685" s="3"/>
      <c r="C685" s="3"/>
      <c r="D685" s="58"/>
      <c r="E685" s="53"/>
      <c r="F685" s="53"/>
    </row>
    <row r="686" spans="1:7">
      <c r="A686" t="s">
        <v>84</v>
      </c>
      <c r="B686" s="3"/>
      <c r="C686" s="3">
        <v>3</v>
      </c>
      <c r="D686" s="58"/>
      <c r="E686" s="53"/>
      <c r="F686" s="53"/>
    </row>
    <row r="687" spans="1:7">
      <c r="A687" t="s">
        <v>85</v>
      </c>
      <c r="B687" s="3"/>
      <c r="C687" s="3">
        <v>25</v>
      </c>
      <c r="D687" s="58"/>
      <c r="E687" s="53"/>
      <c r="F687" s="53"/>
    </row>
    <row r="688" spans="1:7">
      <c r="A688" t="s">
        <v>86</v>
      </c>
      <c r="B688" s="3"/>
      <c r="C688" s="3">
        <v>50</v>
      </c>
      <c r="D688" s="58"/>
      <c r="E688" s="8" t="s">
        <v>154</v>
      </c>
      <c r="F688" s="8" t="s">
        <v>120</v>
      </c>
    </row>
    <row r="689" spans="1:6">
      <c r="A689" t="s">
        <v>87</v>
      </c>
      <c r="B689" s="3"/>
      <c r="C689" s="3"/>
      <c r="D689" t="s">
        <v>206</v>
      </c>
      <c r="E689" s="58">
        <f ca="1">_xll.WILKSLINV(C686,C687,C688)</f>
        <v>3.5499213041226246E-2</v>
      </c>
      <c r="F689" s="53" t="str">
        <f ca="1">_xll.VFORMULA(E689)</f>
        <v>=WILKSLINV(C686,C687,C688)</v>
      </c>
    </row>
    <row r="692" spans="1:6">
      <c r="A692" s="2" t="s">
        <v>290</v>
      </c>
    </row>
    <row r="693" spans="1:6">
      <c r="A693" s="97" t="s">
        <v>335</v>
      </c>
      <c r="B693" s="35" t="s">
        <v>336</v>
      </c>
      <c r="E693" s="2" t="s">
        <v>154</v>
      </c>
      <c r="F693" s="2" t="s">
        <v>120</v>
      </c>
    </row>
    <row r="694" spans="1:6">
      <c r="A694" s="99">
        <v>12</v>
      </c>
      <c r="B694" s="91">
        <f ca="1">_xll.UNIFORM()</f>
        <v>0.4102783203125</v>
      </c>
      <c r="D694" t="s">
        <v>337</v>
      </c>
      <c r="E694">
        <f t="array" aca="1" ref="E694:E697" ca="1">_xll.DIRICHINV(A694:A697,B694:B697)</f>
        <v>0.23547761182760327</v>
      </c>
      <c r="F694" s="53" t="str">
        <f ca="1">_xll.VFORMULA(E694)</f>
        <v>=DIRICHINV(A694:A697,B694:B697)</v>
      </c>
    </row>
    <row r="695" spans="1:6">
      <c r="A695" s="100">
        <v>13</v>
      </c>
      <c r="B695" s="92">
        <f ca="1">_xll.UNIFORM()</f>
        <v>0.234344482421875</v>
      </c>
      <c r="D695" t="s">
        <v>338</v>
      </c>
      <c r="E695">
        <f ca="1"/>
        <v>0.22153815641908237</v>
      </c>
      <c r="F695" s="53" t="str">
        <f ca="1">_xll.VFORMULA(E695)</f>
        <v>=DIRICHINV(A694:A697,B694:B697)</v>
      </c>
    </row>
    <row r="696" spans="1:6">
      <c r="A696" s="100">
        <v>14</v>
      </c>
      <c r="B696" s="92">
        <f ca="1">_xll.UNIFORM()</f>
        <v>0.255950927734375</v>
      </c>
      <c r="D696" t="s">
        <v>339</v>
      </c>
      <c r="E696">
        <f ca="1"/>
        <v>0.24576609147558062</v>
      </c>
      <c r="F696" s="53" t="str">
        <f ca="1">_xll.VFORMULA(E696)</f>
        <v>=DIRICHINV(A694:A697,B694:B697)</v>
      </c>
    </row>
    <row r="697" spans="1:6">
      <c r="A697" s="101">
        <v>15</v>
      </c>
      <c r="B697" s="93">
        <f ca="1">_xll.UNIFORM()</f>
        <v>0.40557861328125</v>
      </c>
      <c r="D697" t="s">
        <v>340</v>
      </c>
      <c r="E697">
        <f ca="1"/>
        <v>0.29721814027773386</v>
      </c>
      <c r="F697" s="53" t="str">
        <f ca="1">_xll.VFORMULA(E697)</f>
        <v>=DIRICHINV(A694:A697,B694:B697)</v>
      </c>
    </row>
    <row r="698" spans="1:6">
      <c r="A698" s="2"/>
    </row>
    <row r="699" spans="1:6">
      <c r="A699" s="2"/>
    </row>
    <row r="700" spans="1:6">
      <c r="A700" s="2" t="s">
        <v>341</v>
      </c>
    </row>
    <row r="701" spans="1:6">
      <c r="A701" s="2"/>
      <c r="B701" t="s">
        <v>88</v>
      </c>
      <c r="C701" t="s">
        <v>89</v>
      </c>
      <c r="D701" t="s">
        <v>90</v>
      </c>
    </row>
    <row r="702" spans="1:6">
      <c r="A702" t="s">
        <v>88</v>
      </c>
      <c r="B702" s="26">
        <v>1</v>
      </c>
      <c r="C702" s="27">
        <v>0.86884999796184814</v>
      </c>
      <c r="D702" s="28">
        <v>0.98095796327250118</v>
      </c>
    </row>
    <row r="703" spans="1:6">
      <c r="A703" t="s">
        <v>89</v>
      </c>
      <c r="B703" s="29">
        <v>0</v>
      </c>
      <c r="C703" s="5">
        <v>1</v>
      </c>
      <c r="D703" s="30">
        <v>0.81578132502839074</v>
      </c>
    </row>
    <row r="704" spans="1:6">
      <c r="A704" t="s">
        <v>90</v>
      </c>
      <c r="B704" s="31">
        <v>0</v>
      </c>
      <c r="C704" s="6">
        <v>0</v>
      </c>
      <c r="D704" s="32">
        <v>1</v>
      </c>
    </row>
    <row r="706" spans="1:6">
      <c r="A706" t="s">
        <v>343</v>
      </c>
    </row>
    <row r="707" spans="1:6">
      <c r="B707" t="s">
        <v>342</v>
      </c>
      <c r="D707" t="s">
        <v>319</v>
      </c>
      <c r="F707" t="s">
        <v>344</v>
      </c>
    </row>
    <row r="708" spans="1:6">
      <c r="A708" t="str">
        <f>A702</f>
        <v>Price 1</v>
      </c>
      <c r="B708" s="91">
        <f t="array" aca="1" ref="B708:B710" ca="1">_xll.CSND(B702:D704,F708:F710)</f>
        <v>-0.95141607530236549</v>
      </c>
      <c r="D708" s="91">
        <f t="array" aca="1" ref="D708:D710" ca="1">_xll.CUSD(B702:D704,F708:F710)</f>
        <v>0.17069658784922603</v>
      </c>
      <c r="F708">
        <f ca="1">_xll.NORM()</f>
        <v>-0.76622491652020297</v>
      </c>
    </row>
    <row r="709" spans="1:6">
      <c r="A709" t="str">
        <f>A703</f>
        <v>Price 2</v>
      </c>
      <c r="B709" s="92">
        <f ca="1"/>
        <v>-0.71961534273415695</v>
      </c>
      <c r="D709" s="92">
        <f ca="1"/>
        <v>0.2358808568910109</v>
      </c>
      <c r="F709">
        <f ca="1">_xll.NORM()</f>
        <v>-5.5028534951367503E-2</v>
      </c>
    </row>
    <row r="710" spans="1:6">
      <c r="A710" t="str">
        <f>A704</f>
        <v>Price 3</v>
      </c>
      <c r="B710" s="93">
        <f ca="1"/>
        <v>-0.84310463167316152</v>
      </c>
      <c r="D710" s="93">
        <f ca="1"/>
        <v>0.19958491082879304</v>
      </c>
      <c r="F710">
        <f ca="1">_xll.NORM()</f>
        <v>-0.84310463167316152</v>
      </c>
    </row>
    <row r="711" spans="1:6">
      <c r="B711" t="str">
        <f ca="1">_xll.VFORMULA(B710)</f>
        <v>=CSND(B702:D704,F708:F710)</v>
      </c>
      <c r="D711" t="str">
        <f ca="1">_xll.VFORMULA(D710)</f>
        <v>=CUSD(B702:D704,F708:F710)</v>
      </c>
      <c r="F711" t="str">
        <f ca="1">_xll.VFORMULA(F710)</f>
        <v>=NORM()</v>
      </c>
    </row>
    <row r="713" spans="1:6">
      <c r="A713" s="2" t="s">
        <v>345</v>
      </c>
    </row>
    <row r="714" spans="1:6">
      <c r="B714" t="s">
        <v>346</v>
      </c>
      <c r="D714" t="s">
        <v>347</v>
      </c>
    </row>
    <row r="715" spans="1:6">
      <c r="A715" t="str">
        <f>A708</f>
        <v>Price 1</v>
      </c>
      <c r="B715" s="91" t="e">
        <f t="array" aca="1" ref="B715:B717" ca="1">_xll.USND(B702:D704,B708:B710)</f>
        <v>#NUM!</v>
      </c>
      <c r="D715" s="91" t="e">
        <f t="array" aca="1" ref="D715:D717" ca="1">_xll.UUSD(B702:D704,D708:D710)</f>
        <v>#NUM!</v>
      </c>
      <c r="F715" t="s">
        <v>348</v>
      </c>
    </row>
    <row r="716" spans="1:6">
      <c r="A716" t="str">
        <f>A709</f>
        <v>Price 2</v>
      </c>
      <c r="B716" s="92" t="e">
        <f ca="1"/>
        <v>#NUM!</v>
      </c>
      <c r="D716" s="92" t="e">
        <f ca="1"/>
        <v>#NUM!</v>
      </c>
      <c r="F716" t="s">
        <v>349</v>
      </c>
    </row>
    <row r="717" spans="1:6">
      <c r="A717" t="str">
        <f>A710</f>
        <v>Price 3</v>
      </c>
      <c r="B717" s="93" t="e">
        <f ca="1"/>
        <v>#NUM!</v>
      </c>
      <c r="D717" s="93" t="e">
        <f ca="1"/>
        <v>#NUM!</v>
      </c>
    </row>
    <row r="718" spans="1:6">
      <c r="B718" t="str">
        <f ca="1">_xll.VFORMULA(B717)</f>
        <v>=USND(B702:D704,B708:B710)</v>
      </c>
      <c r="D718" t="str">
        <f ca="1">_xll.VFORMULA(D717)</f>
        <v>=UUSD(B702:D704,D708:D710)</v>
      </c>
    </row>
    <row r="721" spans="1:5">
      <c r="A721" s="73" t="s">
        <v>285</v>
      </c>
      <c r="B721" s="69"/>
    </row>
    <row r="722" spans="1:5">
      <c r="A722" s="69" t="s">
        <v>115</v>
      </c>
      <c r="B722" s="69"/>
      <c r="D722">
        <f ca="1">_xll.ITERATION()</f>
        <v>1</v>
      </c>
      <c r="E722" t="str">
        <f ca="1">_xll.VFORMULA(D722)</f>
        <v>=ITERATION()</v>
      </c>
    </row>
    <row r="813" spans="1:13">
      <c r="H813" s="77"/>
      <c r="I813" s="77"/>
      <c r="J813" s="77"/>
      <c r="K813" s="77"/>
      <c r="L813" s="77"/>
      <c r="M813" s="77"/>
    </row>
    <row r="814" spans="1:13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>
      <c r="A815" s="2" t="s">
        <v>116</v>
      </c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>
      <c r="A816" t="s">
        <v>97</v>
      </c>
      <c r="B816" s="3" t="str">
        <f t="shared" ref="B816:G816" si="19">B469</f>
        <v>Price 1</v>
      </c>
      <c r="C816" s="3" t="str">
        <f t="shared" si="19"/>
        <v>Price 2</v>
      </c>
      <c r="D816" s="3" t="str">
        <f t="shared" si="19"/>
        <v>Price 3</v>
      </c>
      <c r="E816" s="3" t="str">
        <f t="shared" si="19"/>
        <v>Prod 1</v>
      </c>
      <c r="F816" s="3" t="str">
        <f t="shared" si="19"/>
        <v>Prod 2</v>
      </c>
      <c r="G816" s="3" t="str">
        <f t="shared" si="19"/>
        <v>Prod 3</v>
      </c>
      <c r="H816" s="3"/>
      <c r="I816" s="3"/>
      <c r="J816" s="3"/>
      <c r="K816" s="3"/>
      <c r="L816" s="3"/>
      <c r="M816" s="3"/>
    </row>
    <row r="817" spans="1:13">
      <c r="A817">
        <v>1</v>
      </c>
      <c r="B817" s="3">
        <v>1.5</v>
      </c>
      <c r="C817" s="3">
        <v>2.42</v>
      </c>
      <c r="D817" s="3">
        <v>1.37</v>
      </c>
      <c r="E817" s="3">
        <v>119.3748675751375</v>
      </c>
      <c r="F817" s="3">
        <v>34.427976219883732</v>
      </c>
      <c r="G817" s="3">
        <v>67.744353849484085</v>
      </c>
      <c r="H817" s="3"/>
      <c r="I817" s="3"/>
      <c r="J817" s="3"/>
      <c r="K817" s="3"/>
      <c r="L817" s="3"/>
      <c r="M817" s="3"/>
    </row>
    <row r="818" spans="1:13">
      <c r="A818">
        <v>2</v>
      </c>
      <c r="B818" s="3">
        <v>1.94</v>
      </c>
      <c r="C818" s="3">
        <v>2.57</v>
      </c>
      <c r="D818" s="3">
        <v>1.7</v>
      </c>
      <c r="E818" s="3">
        <v>119.84371061255356</v>
      </c>
      <c r="F818" s="3">
        <v>37.674233622307625</v>
      </c>
      <c r="G818" s="3">
        <v>69.395973791662712</v>
      </c>
      <c r="H818" s="3"/>
      <c r="I818" s="3"/>
      <c r="J818" s="3"/>
      <c r="K818" s="3"/>
      <c r="L818" s="3"/>
      <c r="M818" s="3"/>
    </row>
    <row r="819" spans="1:13">
      <c r="A819">
        <v>3</v>
      </c>
      <c r="B819" s="3">
        <v>2.54</v>
      </c>
      <c r="C819" s="3">
        <v>3.72</v>
      </c>
      <c r="D819" s="3">
        <v>2.27</v>
      </c>
      <c r="E819" s="3">
        <v>84.61254935622317</v>
      </c>
      <c r="F819" s="3">
        <v>34.070332769317538</v>
      </c>
      <c r="G819" s="3">
        <v>63.778588807785887</v>
      </c>
      <c r="H819" s="3"/>
      <c r="I819" s="3"/>
      <c r="J819" s="3"/>
      <c r="K819" s="3"/>
      <c r="L819" s="3"/>
      <c r="M819" s="3"/>
    </row>
    <row r="820" spans="1:13">
      <c r="A820">
        <v>4</v>
      </c>
      <c r="B820" s="3">
        <v>2.36</v>
      </c>
      <c r="C820" s="3">
        <v>3.72</v>
      </c>
      <c r="D820" s="3">
        <v>2.1</v>
      </c>
      <c r="E820" s="3">
        <v>116.16462652239014</v>
      </c>
      <c r="F820" s="3">
        <v>32.748319665541082</v>
      </c>
      <c r="G820" s="3">
        <v>55.428262631721154</v>
      </c>
      <c r="H820" s="3"/>
      <c r="I820" s="3"/>
      <c r="J820" s="3"/>
      <c r="K820" s="3"/>
      <c r="L820" s="3"/>
      <c r="M820" s="3"/>
    </row>
    <row r="821" spans="1:13">
      <c r="A821">
        <v>5</v>
      </c>
      <c r="B821" s="3">
        <v>2.2799999999999998</v>
      </c>
      <c r="C821" s="3">
        <v>2.61</v>
      </c>
      <c r="D821" s="3">
        <v>2.12</v>
      </c>
      <c r="E821" s="3">
        <v>118.50322619189868</v>
      </c>
      <c r="F821" s="3">
        <v>39.498094688221713</v>
      </c>
      <c r="G821" s="3">
        <v>63.076576080977006</v>
      </c>
      <c r="H821" s="3"/>
      <c r="I821" s="3"/>
      <c r="J821" s="3"/>
      <c r="K821" s="3"/>
      <c r="L821" s="3"/>
      <c r="M821" s="3"/>
    </row>
    <row r="822" spans="1:13">
      <c r="A822">
        <v>6</v>
      </c>
      <c r="B822" s="3">
        <v>2.37</v>
      </c>
      <c r="C822" s="3">
        <v>3</v>
      </c>
      <c r="D822" s="3">
        <v>2.2511999999999999</v>
      </c>
      <c r="E822" s="3">
        <v>108.58105654567375</v>
      </c>
      <c r="F822" s="3">
        <v>34.333379546990628</v>
      </c>
      <c r="G822" s="3">
        <v>59.256332320162109</v>
      </c>
      <c r="H822" s="3"/>
      <c r="I822" s="3"/>
      <c r="J822" s="3"/>
      <c r="K822" s="3"/>
      <c r="L822" s="3"/>
      <c r="M822" s="3"/>
    </row>
    <row r="823" spans="1:13">
      <c r="A823">
        <v>7</v>
      </c>
      <c r="B823" s="3">
        <v>2.0699999999999998</v>
      </c>
      <c r="C823" s="3">
        <v>3.24</v>
      </c>
      <c r="D823" s="3">
        <v>1.8732</v>
      </c>
      <c r="E823" s="3">
        <v>131.48019479168113</v>
      </c>
      <c r="F823" s="3">
        <v>39.304631857363653</v>
      </c>
      <c r="G823" s="3">
        <v>72.615933609958503</v>
      </c>
      <c r="H823" s="3"/>
      <c r="I823" s="3"/>
      <c r="J823" s="3"/>
      <c r="K823" s="3"/>
      <c r="L823" s="3"/>
      <c r="M823" s="3"/>
    </row>
    <row r="824" spans="1:13">
      <c r="A824">
        <v>8</v>
      </c>
      <c r="B824" s="3">
        <v>2.5</v>
      </c>
      <c r="C824" s="3">
        <v>3.26</v>
      </c>
      <c r="D824" s="3">
        <v>2.31</v>
      </c>
      <c r="E824" s="3">
        <v>100.70516997504808</v>
      </c>
      <c r="F824" s="3">
        <v>38.213420079091719</v>
      </c>
      <c r="G824" s="3">
        <v>59.911619560340959</v>
      </c>
      <c r="H824" s="3"/>
      <c r="I824" s="3"/>
      <c r="J824" s="3"/>
      <c r="K824" s="3"/>
      <c r="L824" s="3"/>
      <c r="M824" s="3"/>
    </row>
    <row r="825" spans="1:13">
      <c r="A825">
        <v>9</v>
      </c>
      <c r="B825" s="3">
        <v>2.2599999999999998</v>
      </c>
      <c r="C825" s="3">
        <v>3.45</v>
      </c>
      <c r="D825" s="3">
        <v>2.1280000000000001</v>
      </c>
      <c r="E825" s="3">
        <v>138.6081880170675</v>
      </c>
      <c r="F825" s="3">
        <v>37.574566941881173</v>
      </c>
      <c r="G825" s="3">
        <v>72.805427834473477</v>
      </c>
      <c r="H825" s="3"/>
      <c r="I825" s="3"/>
      <c r="J825" s="3"/>
      <c r="K825" s="3"/>
      <c r="L825" s="3"/>
      <c r="M825" s="3"/>
    </row>
    <row r="826" spans="1:13">
      <c r="A826">
        <v>10</v>
      </c>
      <c r="B826" s="3">
        <v>3.24</v>
      </c>
      <c r="C826" s="3">
        <v>4.55</v>
      </c>
      <c r="D826" s="3">
        <v>3.19</v>
      </c>
      <c r="E826" s="3">
        <v>113.45297330563889</v>
      </c>
      <c r="F826" s="3">
        <v>35.812470260070555</v>
      </c>
      <c r="G826" s="3">
        <v>55.614037207054842</v>
      </c>
      <c r="H826" s="3"/>
      <c r="I826" s="3"/>
      <c r="J826" s="3"/>
      <c r="K826" s="3"/>
      <c r="L826" s="3"/>
      <c r="M826" s="3"/>
    </row>
    <row r="827" spans="1:13">
      <c r="A827">
        <v>11</v>
      </c>
      <c r="B827" s="3">
        <v>2.71</v>
      </c>
      <c r="C827" s="3">
        <v>4.3</v>
      </c>
      <c r="D827" s="3">
        <v>2.34</v>
      </c>
      <c r="E827" s="3">
        <v>127.05148536508675</v>
      </c>
      <c r="F827" s="3">
        <v>36.314030543327981</v>
      </c>
      <c r="G827" s="3">
        <v>67.471136879253848</v>
      </c>
      <c r="H827" s="3"/>
      <c r="I827" s="3"/>
      <c r="J827" s="3"/>
      <c r="K827" s="3"/>
      <c r="L827" s="3"/>
      <c r="M827" s="3"/>
    </row>
    <row r="828" spans="1:13">
      <c r="A828">
        <v>12</v>
      </c>
      <c r="B828" s="3">
        <v>2.4500000000000002</v>
      </c>
      <c r="C828" s="3">
        <v>3.38</v>
      </c>
      <c r="D828" s="3">
        <v>2.2000000000000002</v>
      </c>
      <c r="E828" s="3">
        <v>127.04251220835594</v>
      </c>
      <c r="F828" s="3">
        <v>39.740031772496344</v>
      </c>
      <c r="G828" s="3">
        <v>69.545948248322858</v>
      </c>
      <c r="H828" s="3"/>
      <c r="I828" s="3"/>
      <c r="J828" s="3"/>
      <c r="K828" s="3"/>
      <c r="L828" s="3"/>
      <c r="M828" s="3"/>
    </row>
    <row r="829" spans="1:13">
      <c r="A829">
        <v>13</v>
      </c>
      <c r="B829" s="3">
        <v>2.0070400979</v>
      </c>
      <c r="C829" s="3">
        <v>2.6054916274000002</v>
      </c>
      <c r="D829" s="3">
        <v>1.8153884429</v>
      </c>
      <c r="E829" s="3">
        <v>133.29993630486928</v>
      </c>
      <c r="F829" s="3">
        <v>43.265276086073897</v>
      </c>
      <c r="G829" s="3">
        <v>66.46861444245981</v>
      </c>
      <c r="H829" s="3"/>
      <c r="I829" s="3"/>
      <c r="J829" s="3"/>
      <c r="K829" s="3"/>
      <c r="L829" s="3"/>
      <c r="M829" s="3"/>
    </row>
    <row r="830" spans="1:13">
      <c r="A830" t="s">
        <v>106</v>
      </c>
      <c r="H830" s="3"/>
      <c r="I830" s="3"/>
      <c r="J830" s="3"/>
      <c r="K830" s="3"/>
      <c r="L830" s="3"/>
      <c r="M830" s="3"/>
    </row>
    <row r="831" spans="1:13">
      <c r="A831" t="s">
        <v>98</v>
      </c>
      <c r="H831" s="3"/>
      <c r="I831" s="3"/>
      <c r="J831" s="3"/>
      <c r="K831" s="3"/>
      <c r="L831" s="3"/>
      <c r="M831" s="3"/>
    </row>
    <row r="832" spans="1:13">
      <c r="A832" s="6" t="s">
        <v>99</v>
      </c>
      <c r="B832" s="43" t="str">
        <f>$B816</f>
        <v>Price 1</v>
      </c>
      <c r="C832" s="43" t="str">
        <f>$C816</f>
        <v>Price 2</v>
      </c>
      <c r="D832" s="43" t="str">
        <f>$D816</f>
        <v>Price 3</v>
      </c>
      <c r="E832" s="43" t="str">
        <f>$E816</f>
        <v>Prod 1</v>
      </c>
      <c r="F832" s="43" t="str">
        <f>$F816</f>
        <v>Prod 2</v>
      </c>
      <c r="G832" s="43" t="str">
        <f>$G816</f>
        <v>Prod 3</v>
      </c>
      <c r="H832" s="3"/>
      <c r="I832" s="3"/>
      <c r="J832" s="3"/>
      <c r="K832" s="3"/>
      <c r="L832" s="3"/>
      <c r="M832" s="3"/>
    </row>
    <row r="833" spans="1:13">
      <c r="A833">
        <v>1</v>
      </c>
      <c r="B833" s="3">
        <f>(Sheet1!B$817-B$846)</f>
        <v>-0.82515693060769246</v>
      </c>
      <c r="C833" s="3">
        <f>(Sheet1!C$817-C$846)</f>
        <v>-0.87426858672307706</v>
      </c>
      <c r="D833" s="3">
        <f>(Sheet1!D$817-D$846)</f>
        <v>-0.75829141868461525</v>
      </c>
      <c r="E833" s="3">
        <f>(Sheet1!E$817-E$846)</f>
        <v>1.0117524388587071</v>
      </c>
      <c r="F833" s="3">
        <f>(Sheet1!F$817-F$846)</f>
        <v>-2.7240825533907014</v>
      </c>
      <c r="G833" s="3">
        <f>(Sheet1!G$817-G$846)</f>
        <v>2.8895226753565879</v>
      </c>
      <c r="H833" s="3"/>
      <c r="I833" s="3"/>
      <c r="J833" s="3"/>
      <c r="K833" s="3"/>
      <c r="L833" s="3"/>
      <c r="M833" s="3"/>
    </row>
    <row r="834" spans="1:13">
      <c r="A834">
        <v>2</v>
      </c>
      <c r="B834" s="3">
        <f>(Sheet1!B$818-B$846)</f>
        <v>-0.38515693060769252</v>
      </c>
      <c r="C834" s="3">
        <f>(Sheet1!C$818-C$846)</f>
        <v>-0.72426858672307715</v>
      </c>
      <c r="D834" s="3">
        <f>(Sheet1!D$818-D$846)</f>
        <v>-0.4282914186846154</v>
      </c>
      <c r="E834" s="3">
        <f>(Sheet1!E$818-E$846)</f>
        <v>1.4805954762747717</v>
      </c>
      <c r="F834" s="3">
        <f>(Sheet1!F$818-F$846)</f>
        <v>0.52217484903319189</v>
      </c>
      <c r="G834" s="3">
        <f>(Sheet1!G$818-G$846)</f>
        <v>4.5411426175352148</v>
      </c>
      <c r="H834" s="3"/>
      <c r="I834" s="3"/>
      <c r="J834" s="3"/>
      <c r="K834" s="3"/>
      <c r="L834" s="3"/>
      <c r="M834" s="3"/>
    </row>
    <row r="835" spans="1:13">
      <c r="A835">
        <v>3</v>
      </c>
      <c r="B835" s="3">
        <f>(Sheet1!B$819-B$846)</f>
        <v>0.21484306939230757</v>
      </c>
      <c r="C835" s="3">
        <f>(Sheet1!C$819-C$846)</f>
        <v>0.42573141327692321</v>
      </c>
      <c r="D835" s="3">
        <f>(Sheet1!D$819-D$846)</f>
        <v>0.14170858131538466</v>
      </c>
      <c r="E835" s="3">
        <f>(Sheet1!E$819-E$846)</f>
        <v>-33.750565780055624</v>
      </c>
      <c r="F835" s="3">
        <f>(Sheet1!F$819-F$846)</f>
        <v>-3.081726003956895</v>
      </c>
      <c r="G835" s="3">
        <f>(Sheet1!G$819-G$846)</f>
        <v>-1.0762423663416101</v>
      </c>
      <c r="H835" s="3"/>
      <c r="I835" s="3"/>
      <c r="J835" s="3"/>
      <c r="K835" s="3"/>
      <c r="L835" s="3"/>
      <c r="M835" s="3"/>
    </row>
    <row r="836" spans="1:13">
      <c r="A836">
        <v>4</v>
      </c>
      <c r="B836" s="3">
        <f>(Sheet1!B$820-B$846)</f>
        <v>3.4843069392307413E-2</v>
      </c>
      <c r="C836" s="3">
        <f>(Sheet1!C$820-C$846)</f>
        <v>0.42573141327692321</v>
      </c>
      <c r="D836" s="3">
        <f>(Sheet1!D$820-D$846)</f>
        <v>-2.8291418684615266E-2</v>
      </c>
      <c r="E836" s="3">
        <f>(Sheet1!E$820-E$846)</f>
        <v>-2.1984886138886566</v>
      </c>
      <c r="F836" s="3">
        <f>(Sheet1!F$820-F$846)</f>
        <v>-4.403739107733351</v>
      </c>
      <c r="G836" s="3">
        <f>(Sheet1!G$820-G$846)</f>
        <v>-9.4265685424063435</v>
      </c>
      <c r="H836" s="3"/>
      <c r="I836" s="3"/>
      <c r="J836" s="3"/>
      <c r="K836" s="3"/>
      <c r="L836" s="3"/>
      <c r="M836" s="3"/>
    </row>
    <row r="837" spans="1:13">
      <c r="A837">
        <v>5</v>
      </c>
      <c r="B837" s="3">
        <f>(Sheet1!B$821-B$846)</f>
        <v>-4.5156930607692658E-2</v>
      </c>
      <c r="C837" s="3">
        <f>(Sheet1!C$821-C$846)</f>
        <v>-0.68426858672307711</v>
      </c>
      <c r="D837" s="3">
        <f>(Sheet1!D$821-D$846)</f>
        <v>-8.2914186846152482E-3</v>
      </c>
      <c r="E837" s="3">
        <f>(Sheet1!E$821-E$846)</f>
        <v>0.14011105561988302</v>
      </c>
      <c r="F837" s="3">
        <f>(Sheet1!F$821-F$846)</f>
        <v>2.3460359149472794</v>
      </c>
      <c r="G837" s="3">
        <f>(Sheet1!G$821-G$846)</f>
        <v>-1.7782550931504915</v>
      </c>
      <c r="H837" s="3"/>
      <c r="I837" s="3"/>
      <c r="J837" s="3"/>
      <c r="K837" s="3"/>
      <c r="L837" s="3"/>
      <c r="M837" s="3"/>
    </row>
    <row r="838" spans="1:13">
      <c r="A838">
        <v>6</v>
      </c>
      <c r="B838" s="3">
        <f>(Sheet1!B$822-B$846)</f>
        <v>4.4843069392307644E-2</v>
      </c>
      <c r="C838" s="3">
        <f>(Sheet1!C$822-C$846)</f>
        <v>-0.29426858672307699</v>
      </c>
      <c r="D838" s="3">
        <f>(Sheet1!D$822-D$846)</f>
        <v>0.12290858131538451</v>
      </c>
      <c r="E838" s="3">
        <f>(Sheet1!E$822-E$846)</f>
        <v>-9.7820585906050468</v>
      </c>
      <c r="F838" s="3">
        <f>(Sheet1!F$822-F$846)</f>
        <v>-2.8186792262838054</v>
      </c>
      <c r="G838" s="3">
        <f>(Sheet1!G$822-G$846)</f>
        <v>-5.5984988539653884</v>
      </c>
      <c r="H838" s="3"/>
      <c r="I838" s="3"/>
      <c r="J838" s="3"/>
      <c r="K838" s="3"/>
      <c r="L838" s="3"/>
      <c r="M838" s="3"/>
    </row>
    <row r="839" spans="1:13">
      <c r="A839">
        <v>7</v>
      </c>
      <c r="B839" s="3">
        <f>(Sheet1!B$823-B$846)</f>
        <v>-0.25515693060769262</v>
      </c>
      <c r="C839" s="3">
        <f>(Sheet1!C$823-C$846)</f>
        <v>-5.4268586723076773E-2</v>
      </c>
      <c r="D839" s="3">
        <f>(Sheet1!D$823-D$846)</f>
        <v>-0.25509141868461538</v>
      </c>
      <c r="E839" s="3">
        <f>(Sheet1!E$823-E$846)</f>
        <v>13.117079655402335</v>
      </c>
      <c r="F839" s="3">
        <f>(Sheet1!F$823-F$846)</f>
        <v>2.1525730840892194</v>
      </c>
      <c r="G839" s="3">
        <f>(Sheet1!G$823-G$846)</f>
        <v>7.7611024358310061</v>
      </c>
      <c r="H839" s="3"/>
      <c r="I839" s="3"/>
      <c r="J839" s="3"/>
      <c r="K839" s="3"/>
      <c r="L839" s="3"/>
      <c r="M839" s="3"/>
    </row>
    <row r="840" spans="1:13">
      <c r="A840">
        <v>8</v>
      </c>
      <c r="B840" s="3">
        <f>(Sheet1!B$824-B$846)</f>
        <v>0.17484306939230754</v>
      </c>
      <c r="C840" s="3">
        <f>(Sheet1!C$824-C$846)</f>
        <v>-3.4268586723077199E-2</v>
      </c>
      <c r="D840" s="3">
        <f>(Sheet1!D$824-D$846)</f>
        <v>0.1817085813153847</v>
      </c>
      <c r="E840" s="3">
        <f>(Sheet1!E$824-E$846)</f>
        <v>-17.657945161230714</v>
      </c>
      <c r="F840" s="3">
        <f>(Sheet1!F$824-F$846)</f>
        <v>1.0613613058172859</v>
      </c>
      <c r="G840" s="3">
        <f>(Sheet1!G$824-G$846)</f>
        <v>-4.9432116137865378</v>
      </c>
      <c r="H840" s="3"/>
      <c r="I840" s="3"/>
      <c r="J840" s="3"/>
      <c r="K840" s="3"/>
      <c r="L840" s="3"/>
      <c r="M840" s="3"/>
    </row>
    <row r="841" spans="1:13">
      <c r="A841">
        <v>9</v>
      </c>
      <c r="B841" s="3">
        <f>(Sheet1!B$825-B$846)</f>
        <v>-6.5156930607692676E-2</v>
      </c>
      <c r="C841" s="3">
        <f>(Sheet1!C$825-C$846)</f>
        <v>0.15573141327692319</v>
      </c>
      <c r="D841" s="3">
        <f>(Sheet1!D$825-D$846)</f>
        <v>-2.9141868461524112E-4</v>
      </c>
      <c r="E841" s="3">
        <f>(Sheet1!E$825-E$846)</f>
        <v>20.245072880788712</v>
      </c>
      <c r="F841" s="3">
        <f>(Sheet1!F$825-F$846)</f>
        <v>0.42250816860673979</v>
      </c>
      <c r="G841" s="3">
        <f>(Sheet1!G$825-G$846)</f>
        <v>7.9505966603459797</v>
      </c>
      <c r="H841" s="3"/>
      <c r="I841" s="3"/>
      <c r="J841" s="3"/>
      <c r="K841" s="3"/>
      <c r="L841" s="3"/>
      <c r="M841" s="3"/>
    </row>
    <row r="842" spans="1:13">
      <c r="A842">
        <v>10</v>
      </c>
      <c r="B842" s="3">
        <f>(Sheet1!B$826-B$846)</f>
        <v>0.91484306939230775</v>
      </c>
      <c r="C842" s="3">
        <f>(Sheet1!C$826-C$846)</f>
        <v>1.2557314132769228</v>
      </c>
      <c r="D842" s="3">
        <f>(Sheet1!D$826-D$846)</f>
        <v>1.0617085813153846</v>
      </c>
      <c r="E842" s="3">
        <f>(Sheet1!E$826-E$846)</f>
        <v>-4.9101418306399012</v>
      </c>
      <c r="F842" s="3">
        <f>(Sheet1!F$826-F$846)</f>
        <v>-1.3395885132038785</v>
      </c>
      <c r="G842" s="3">
        <f>(Sheet1!G$826-G$846)</f>
        <v>-9.2407939670726549</v>
      </c>
      <c r="H842" s="3"/>
      <c r="I842" s="3"/>
      <c r="J842" s="3"/>
      <c r="K842" s="3"/>
      <c r="L842" s="3"/>
      <c r="M842" s="3"/>
    </row>
    <row r="843" spans="1:13">
      <c r="A843">
        <v>11</v>
      </c>
      <c r="B843" s="3">
        <f>(Sheet1!B$827-B$846)</f>
        <v>0.3848430693923075</v>
      </c>
      <c r="C843" s="3">
        <f>(Sheet1!C$827-C$846)</f>
        <v>1.0057314132769228</v>
      </c>
      <c r="D843" s="3">
        <f>(Sheet1!D$827-D$846)</f>
        <v>0.2117085813153845</v>
      </c>
      <c r="E843" s="3">
        <f>(Sheet1!E$827-E$846)</f>
        <v>8.6883702288079547</v>
      </c>
      <c r="F843" s="3">
        <f>(Sheet1!F$827-F$846)</f>
        <v>-0.83802822994645254</v>
      </c>
      <c r="G843" s="3">
        <f>(Sheet1!G$827-G$846)</f>
        <v>2.6163057051263507</v>
      </c>
      <c r="H843" s="3"/>
      <c r="I843" s="3"/>
      <c r="J843" s="3"/>
      <c r="K843" s="3"/>
      <c r="L843" s="3"/>
      <c r="M843" s="3"/>
    </row>
    <row r="844" spans="1:13">
      <c r="A844">
        <v>12</v>
      </c>
      <c r="B844" s="3">
        <f>(Sheet1!B$828-B$846)</f>
        <v>0.12484306939230772</v>
      </c>
      <c r="C844" s="3">
        <f>(Sheet1!C$828-C$846)</f>
        <v>8.5731413276922908E-2</v>
      </c>
      <c r="D844" s="3">
        <f>(Sheet1!D$828-D$846)</f>
        <v>7.1708581315384823E-2</v>
      </c>
      <c r="E844" s="3">
        <f>(Sheet1!E$828-E$846)</f>
        <v>8.6793970720771512</v>
      </c>
      <c r="F844" s="3">
        <f>(Sheet1!F$828-F$846)</f>
        <v>2.5879729992219112</v>
      </c>
      <c r="G844" s="3">
        <f>(Sheet1!G$828-G$846)</f>
        <v>4.6911170741953612</v>
      </c>
      <c r="H844" s="3"/>
      <c r="I844" s="3"/>
      <c r="J844" s="3"/>
      <c r="K844" s="3"/>
      <c r="L844" s="3"/>
      <c r="M844" s="3"/>
    </row>
    <row r="845" spans="1:13">
      <c r="A845" s="6">
        <v>13</v>
      </c>
      <c r="B845" s="43">
        <f>(Sheet1!B$829-B$846)</f>
        <v>-0.31811683270769242</v>
      </c>
      <c r="C845" s="43">
        <f>(Sheet1!C$829-C$846)</f>
        <v>-0.68877695932307681</v>
      </c>
      <c r="D845" s="43">
        <f>(Sheet1!D$829-D$846)</f>
        <v>-0.31290297578461534</v>
      </c>
      <c r="E845" s="43">
        <f>(Sheet1!E$829-E$846)</f>
        <v>14.936821168590484</v>
      </c>
      <c r="F845" s="43">
        <f>(Sheet1!F$829-F$846)</f>
        <v>6.1132173127994633</v>
      </c>
      <c r="G845" s="43">
        <f>(Sheet1!G$829-G$846)</f>
        <v>1.6137832683323126</v>
      </c>
      <c r="H845" s="3"/>
      <c r="I845" s="3"/>
      <c r="J845" s="3"/>
      <c r="K845" s="3"/>
      <c r="L845" s="3"/>
      <c r="M845" s="3"/>
    </row>
    <row r="846" spans="1:13">
      <c r="A846" t="s">
        <v>8</v>
      </c>
      <c r="B846" s="3">
        <f>AVERAGE(Sheet1!B$817:B$829)</f>
        <v>2.3251569306076925</v>
      </c>
      <c r="C846" s="3">
        <f>AVERAGE(Sheet1!C$817:C$829)</f>
        <v>3.294268586723077</v>
      </c>
      <c r="D846" s="3">
        <f>AVERAGE(Sheet1!D$817:D$829)</f>
        <v>2.1282914186846154</v>
      </c>
      <c r="E846" s="3">
        <f>AVERAGE(Sheet1!E$817:E$829)</f>
        <v>118.36311513627879</v>
      </c>
      <c r="F846" s="3">
        <f>AVERAGE(Sheet1!F$817:F$829)</f>
        <v>37.152058773274433</v>
      </c>
      <c r="G846" s="3">
        <f>AVERAGE(Sheet1!G$817:G$829)</f>
        <v>64.854831174127497</v>
      </c>
      <c r="H846" s="3"/>
      <c r="I846" s="3"/>
      <c r="J846" s="3"/>
      <c r="K846" s="3"/>
      <c r="L846" s="3"/>
      <c r="M846" s="3"/>
    </row>
    <row r="847" spans="1:13">
      <c r="A847" t="s">
        <v>100</v>
      </c>
      <c r="B847">
        <f>STDEVP(Sheet1!B$817:B$829)</f>
        <v>0.40023052772405948</v>
      </c>
      <c r="C847">
        <f>STDEVP(Sheet1!C$817:C$829)</f>
        <v>0.63879181882287883</v>
      </c>
      <c r="D847">
        <f>STDEVP(Sheet1!D$817:D$829)</f>
        <v>0.40834395019672393</v>
      </c>
      <c r="E847">
        <f>STDEVP(Sheet1!E$817:E$829)</f>
        <v>13.963192719921844</v>
      </c>
      <c r="F847">
        <f>STDEVP(Sheet1!F$817:F$829)</f>
        <v>2.808455275269786</v>
      </c>
      <c r="G847">
        <f>STDEVP(Sheet1!G$817:G$829)</f>
        <v>5.6719650246649396</v>
      </c>
      <c r="H847" s="3"/>
      <c r="I847" s="3"/>
      <c r="J847" s="3"/>
      <c r="K847" s="3"/>
      <c r="L847" s="3"/>
      <c r="M847" s="3"/>
    </row>
    <row r="848" spans="1:13">
      <c r="A848" t="s">
        <v>101</v>
      </c>
      <c r="B848">
        <f t="shared" ref="B848:G848" si="20">100*B$847/B$846</f>
        <v>17.213054416049975</v>
      </c>
      <c r="C848">
        <f t="shared" si="20"/>
        <v>19.391005985286316</v>
      </c>
      <c r="D848">
        <f t="shared" si="20"/>
        <v>19.186467915615605</v>
      </c>
      <c r="E848">
        <f t="shared" si="20"/>
        <v>11.79691215785015</v>
      </c>
      <c r="F848">
        <f t="shared" si="20"/>
        <v>7.5593530156936168</v>
      </c>
      <c r="G848">
        <f t="shared" si="20"/>
        <v>8.7456322404670033</v>
      </c>
      <c r="H848" s="3"/>
      <c r="I848" s="3"/>
      <c r="J848" s="3"/>
      <c r="K848" s="3"/>
      <c r="L848" s="3"/>
      <c r="M848" s="3"/>
    </row>
    <row r="849" spans="1:13">
      <c r="A849" t="s">
        <v>102</v>
      </c>
      <c r="B849">
        <f t="shared" ref="B849:G849" si="21">CORREL(B$833:B$844,B$834:B$845)</f>
        <v>0.27654166954063447</v>
      </c>
      <c r="C849">
        <f t="shared" si="21"/>
        <v>0.40252620410719953</v>
      </c>
      <c r="D849">
        <f t="shared" si="21"/>
        <v>0.21235316742278723</v>
      </c>
      <c r="E849">
        <f t="shared" si="21"/>
        <v>-0.26206988677550619</v>
      </c>
      <c r="F849">
        <f t="shared" si="21"/>
        <v>7.6494372468564636E-2</v>
      </c>
      <c r="G849">
        <f t="shared" si="21"/>
        <v>-0.37404161006948167</v>
      </c>
      <c r="H849" s="3"/>
      <c r="I849" s="3"/>
      <c r="J849" s="3"/>
      <c r="K849" s="3"/>
      <c r="L849" s="3"/>
      <c r="M849" s="3"/>
    </row>
    <row r="850" spans="1:13">
      <c r="H850" s="3"/>
      <c r="I850" s="3"/>
      <c r="J850" s="3"/>
      <c r="K850" s="3"/>
      <c r="L850" s="3"/>
      <c r="M850" s="3"/>
    </row>
    <row r="851" spans="1:13">
      <c r="A851" t="s">
        <v>103</v>
      </c>
      <c r="H851" s="3"/>
      <c r="I851" s="3"/>
      <c r="J851" s="3"/>
      <c r="K851" s="3"/>
      <c r="L851" s="3"/>
      <c r="M851" s="3"/>
    </row>
    <row r="852" spans="1:13">
      <c r="A852" s="6" t="s">
        <v>99</v>
      </c>
      <c r="B852" s="43" t="str">
        <f>$B816</f>
        <v>Price 1</v>
      </c>
      <c r="C852" s="43" t="str">
        <f>$C816</f>
        <v>Price 2</v>
      </c>
      <c r="D852" s="43" t="str">
        <f>$D816</f>
        <v>Price 3</v>
      </c>
      <c r="E852" s="43" t="str">
        <f>$E816</f>
        <v>Prod 1</v>
      </c>
      <c r="F852" s="43" t="str">
        <f>$F816</f>
        <v>Prod 2</v>
      </c>
      <c r="G852" s="43" t="str">
        <f>$G816</f>
        <v>Prod 3</v>
      </c>
      <c r="H852" s="3"/>
      <c r="I852" s="3"/>
      <c r="J852" s="3"/>
      <c r="K852" s="3"/>
      <c r="L852" s="3"/>
      <c r="M852" s="3"/>
    </row>
    <row r="853" spans="1:13">
      <c r="A853">
        <v>1</v>
      </c>
      <c r="B853">
        <f>Sheet1!B$833/B$846</f>
        <v>-0.35488225321291894</v>
      </c>
      <c r="C853">
        <f>Sheet1!C$833/C$846</f>
        <v>-0.26539080336274046</v>
      </c>
      <c r="D853">
        <f>Sheet1!D$833/D$846</f>
        <v>-0.35629116014256879</v>
      </c>
      <c r="E853">
        <f>Sheet1!E$833/E$846</f>
        <v>8.5478693061923367E-3</v>
      </c>
      <c r="F853">
        <f>Sheet1!F$833/F$846</f>
        <v>-7.3322519487137749E-2</v>
      </c>
      <c r="G853">
        <f>Sheet1!G$833/G$846</f>
        <v>4.4553699748266458E-2</v>
      </c>
      <c r="H853" s="3"/>
      <c r="I853" s="3"/>
      <c r="J853" s="3"/>
      <c r="K853" s="3"/>
      <c r="L853" s="3"/>
      <c r="M853" s="3"/>
    </row>
    <row r="854" spans="1:13">
      <c r="A854">
        <v>2</v>
      </c>
      <c r="B854">
        <f>Sheet1!B$834/B$846</f>
        <v>-0.16564771415537516</v>
      </c>
      <c r="C854">
        <f>Sheet1!C$834/C$846</f>
        <v>-0.21985717547200126</v>
      </c>
      <c r="D854">
        <f>Sheet1!D$834/D$846</f>
        <v>-0.20123720601632633</v>
      </c>
      <c r="E854">
        <f>Sheet1!E$834/E$846</f>
        <v>1.250892623576247E-2</v>
      </c>
      <c r="F854">
        <f>Sheet1!F$834/F$846</f>
        <v>1.405507167771875E-2</v>
      </c>
      <c r="G854">
        <f>Sheet1!G$834/G$846</f>
        <v>7.0020113156146965E-2</v>
      </c>
      <c r="H854" s="3"/>
      <c r="I854" s="3"/>
      <c r="J854" s="3"/>
      <c r="K854" s="3"/>
      <c r="L854" s="3"/>
      <c r="M854" s="3"/>
    </row>
    <row r="855" spans="1:13">
      <c r="A855">
        <v>3</v>
      </c>
      <c r="B855">
        <f>Sheet1!B$835/B$846</f>
        <v>9.2399384559457315E-2</v>
      </c>
      <c r="C855">
        <f>Sheet1!C$835/C$846</f>
        <v>0.12923397169033293</v>
      </c>
      <c r="D855">
        <f>Sheet1!D$835/D$846</f>
        <v>6.6583260201728986E-2</v>
      </c>
      <c r="E855">
        <f>Sheet1!E$835/E$846</f>
        <v>-0.28514428452813617</v>
      </c>
      <c r="F855">
        <f>Sheet1!F$835/F$846</f>
        <v>-8.2948996790825333E-2</v>
      </c>
      <c r="G855">
        <f>Sheet1!G$835/G$846</f>
        <v>-1.6594636773504621E-2</v>
      </c>
      <c r="H855" s="3"/>
      <c r="I855" s="3"/>
      <c r="J855" s="3"/>
      <c r="K855" s="3"/>
      <c r="L855" s="3"/>
      <c r="M855" s="3"/>
    </row>
    <row r="856" spans="1:13">
      <c r="A856">
        <v>4</v>
      </c>
      <c r="B856">
        <f>Sheet1!B$836/B$846</f>
        <v>1.4985254945007513E-2</v>
      </c>
      <c r="C856">
        <f>Sheet1!C$836/C$846</f>
        <v>0.12923397169033293</v>
      </c>
      <c r="D856">
        <f>Sheet1!D$836/D$846</f>
        <v>-1.3293019196638353E-2</v>
      </c>
      <c r="E856">
        <f>Sheet1!E$836/E$846</f>
        <v>-1.8574102340559392E-2</v>
      </c>
      <c r="F856">
        <f>Sheet1!F$836/F$846</f>
        <v>-0.11853284187042706</v>
      </c>
      <c r="G856">
        <f>Sheet1!G$836/G$846</f>
        <v>-0.14534874845479329</v>
      </c>
      <c r="H856" s="3"/>
      <c r="I856" s="3"/>
      <c r="J856" s="3"/>
      <c r="K856" s="3"/>
      <c r="L856" s="3"/>
      <c r="M856" s="3"/>
    </row>
    <row r="857" spans="1:13">
      <c r="A857">
        <v>5</v>
      </c>
      <c r="B857">
        <f>Sheet1!B$837/B$846</f>
        <v>-1.9421024883636843E-2</v>
      </c>
      <c r="C857">
        <f>Sheet1!C$837/C$846</f>
        <v>-0.20771487470113745</v>
      </c>
      <c r="D857">
        <f>Sheet1!D$837/D$846</f>
        <v>-3.8958098556539484E-3</v>
      </c>
      <c r="E857">
        <f>Sheet1!E$837/E$846</f>
        <v>1.1837391695763031E-3</v>
      </c>
      <c r="F857">
        <f>Sheet1!F$837/F$846</f>
        <v>6.3146861638658777E-2</v>
      </c>
      <c r="G857">
        <f>Sheet1!G$837/G$846</f>
        <v>-2.7419007357772442E-2</v>
      </c>
      <c r="H857" s="3"/>
      <c r="I857" s="3"/>
      <c r="J857" s="3"/>
      <c r="K857" s="3"/>
      <c r="L857" s="3"/>
      <c r="M857" s="3"/>
    </row>
    <row r="858" spans="1:13">
      <c r="A858">
        <v>6</v>
      </c>
      <c r="B858">
        <f>Sheet1!B$838/B$846</f>
        <v>1.9286039923588152E-2</v>
      </c>
      <c r="C858">
        <f>Sheet1!C$838/C$846</f>
        <v>-8.9327442185215419E-2</v>
      </c>
      <c r="D858">
        <f>Sheet1!D$838/D$846</f>
        <v>5.7749883421203581E-2</v>
      </c>
      <c r="E858">
        <f>Sheet1!E$838/E$846</f>
        <v>-8.2644484131246088E-2</v>
      </c>
      <c r="F858">
        <f>Sheet1!F$838/F$846</f>
        <v>-7.5868722201512015E-2</v>
      </c>
      <c r="G858">
        <f>Sheet1!G$838/G$846</f>
        <v>-8.6323543714639947E-2</v>
      </c>
      <c r="H858" s="3"/>
      <c r="I858" s="3"/>
      <c r="J858" s="3"/>
      <c r="K858" s="3"/>
      <c r="L858" s="3"/>
      <c r="M858" s="3"/>
    </row>
    <row r="859" spans="1:13">
      <c r="A859">
        <v>7</v>
      </c>
      <c r="B859">
        <f>Sheet1!B$839/B$846</f>
        <v>-0.10973750943382818</v>
      </c>
      <c r="C859">
        <f>Sheet1!C$839/C$846</f>
        <v>-1.6473637560032596E-2</v>
      </c>
      <c r="D859">
        <f>Sheet1!D$839/D$846</f>
        <v>-0.11985737312340146</v>
      </c>
      <c r="E859">
        <f>Sheet1!E$839/E$846</f>
        <v>0.11082066943151866</v>
      </c>
      <c r="F859">
        <f>Sheet1!F$839/F$846</f>
        <v>5.7939537004546474E-2</v>
      </c>
      <c r="G859">
        <f>Sheet1!G$839/G$846</f>
        <v>0.11966884032113768</v>
      </c>
      <c r="H859" s="5"/>
      <c r="I859" s="5"/>
      <c r="J859" s="5"/>
    </row>
    <row r="860" spans="1:13">
      <c r="A860">
        <v>8</v>
      </c>
      <c r="B860">
        <f>Sheet1!B$840/B$846</f>
        <v>7.5196244645135135E-2</v>
      </c>
      <c r="C860">
        <f>Sheet1!C$840/C$846</f>
        <v>-1.0402487174600827E-2</v>
      </c>
      <c r="D860">
        <f>Sheet1!D$840/D$846</f>
        <v>8.5377678883697794E-2</v>
      </c>
      <c r="E860">
        <f>Sheet1!E$840/E$846</f>
        <v>-0.14918452544021021</v>
      </c>
      <c r="F860">
        <f>Sheet1!F$840/F$846</f>
        <v>2.8568034743226205E-2</v>
      </c>
      <c r="G860">
        <f>Sheet1!G$840/G$846</f>
        <v>-7.6219635828125173E-2</v>
      </c>
    </row>
    <row r="861" spans="1:13">
      <c r="A861">
        <v>9</v>
      </c>
      <c r="B861">
        <f>Sheet1!B$841/B$846</f>
        <v>-2.8022594840797933E-2</v>
      </c>
      <c r="C861">
        <f>Sheet1!C$841/C$846</f>
        <v>4.7273441487002313E-2</v>
      </c>
      <c r="D861">
        <f>Sheet1!D$841/D$846</f>
        <v>-1.3692611926018649E-4</v>
      </c>
      <c r="E861">
        <f>Sheet1!E$841/E$846</f>
        <v>0.17104207554422088</v>
      </c>
      <c r="F861">
        <f>Sheet1!F$841/F$846</f>
        <v>1.137240256819021E-2</v>
      </c>
      <c r="G861">
        <f>Sheet1!G$841/G$846</f>
        <v>0.12259066158077837</v>
      </c>
    </row>
    <row r="862" spans="1:13">
      <c r="A862">
        <v>10</v>
      </c>
      <c r="B862">
        <f>Sheet1!B$842/B$846</f>
        <v>0.39345433306009525</v>
      </c>
      <c r="C862">
        <f>Sheet1!C$842/C$846</f>
        <v>0.38118671268575655</v>
      </c>
      <c r="D862">
        <f>Sheet1!D$842/D$846</f>
        <v>0.49885488988701115</v>
      </c>
      <c r="E862">
        <f>Sheet1!E$842/E$846</f>
        <v>-4.1483715809494795E-2</v>
      </c>
      <c r="F862">
        <f>Sheet1!F$842/F$846</f>
        <v>-3.6056911983771943E-2</v>
      </c>
      <c r="G862">
        <f>Sheet1!G$842/G$846</f>
        <v>-0.14248428065847898</v>
      </c>
    </row>
    <row r="863" spans="1:13">
      <c r="A863">
        <v>11</v>
      </c>
      <c r="B863">
        <f>Sheet1!B$843/B$846</f>
        <v>0.16551272919532647</v>
      </c>
      <c r="C863">
        <f>Sheet1!C$843/C$846</f>
        <v>0.30529733286785782</v>
      </c>
      <c r="D863">
        <f>Sheet1!D$843/D$846</f>
        <v>9.9473492895174292E-2</v>
      </c>
      <c r="E863">
        <f>Sheet1!E$843/E$846</f>
        <v>7.3404372796411238E-2</v>
      </c>
      <c r="F863">
        <f>Sheet1!F$843/F$846</f>
        <v>-2.2556710384763212E-2</v>
      </c>
      <c r="G863">
        <f>Sheet1!G$843/G$846</f>
        <v>4.0340953137351969E-2</v>
      </c>
    </row>
    <row r="864" spans="1:13">
      <c r="A864">
        <v>12</v>
      </c>
      <c r="B864">
        <f>Sheet1!B$844/B$846</f>
        <v>5.3692319752232508E-2</v>
      </c>
      <c r="C864">
        <f>Sheet1!C$844/C$846</f>
        <v>2.602441513799059E-2</v>
      </c>
      <c r="D864">
        <f>Sheet1!D$844/D$846</f>
        <v>3.3693027508283672E-2</v>
      </c>
      <c r="E864">
        <f>Sheet1!E$844/E$846</f>
        <v>7.3328562382664761E-2</v>
      </c>
      <c r="F864">
        <f>Sheet1!F$844/F$846</f>
        <v>6.9658939091784222E-2</v>
      </c>
      <c r="G864">
        <f>Sheet1!G$844/G$846</f>
        <v>7.2332577068935242E-2</v>
      </c>
    </row>
    <row r="865" spans="1:7">
      <c r="A865" s="6">
        <v>13</v>
      </c>
      <c r="B865" s="6">
        <f>Sheet1!B$845/B$846</f>
        <v>-0.13681520955428622</v>
      </c>
      <c r="C865" s="6">
        <f>Sheet1!C$845/C$846</f>
        <v>-0.20908342510354538</v>
      </c>
      <c r="D865" s="6">
        <f>Sheet1!D$845/D$846</f>
        <v>-0.14702073834325008</v>
      </c>
      <c r="E865" s="6">
        <f>Sheet1!E$845/E$846</f>
        <v>0.1261948973833005</v>
      </c>
      <c r="F865" s="6">
        <f>Sheet1!F$845/F$846</f>
        <v>0.16454585599431287</v>
      </c>
      <c r="G865" s="6">
        <f>Sheet1!G$845/G$846</f>
        <v>2.4883007774694481E-2</v>
      </c>
    </row>
    <row r="867" spans="1:7">
      <c r="A867" t="s">
        <v>104</v>
      </c>
    </row>
    <row r="868" spans="1:7">
      <c r="A868" s="6" t="s">
        <v>105</v>
      </c>
      <c r="B868" s="43" t="str">
        <f>$B816</f>
        <v>Price 1</v>
      </c>
      <c r="C868" s="43" t="str">
        <f>$C816</f>
        <v>Price 2</v>
      </c>
      <c r="D868" s="43" t="str">
        <f>$D816</f>
        <v>Price 3</v>
      </c>
      <c r="E868" s="43" t="str">
        <f>$E816</f>
        <v>Prod 1</v>
      </c>
      <c r="F868" s="43" t="str">
        <f>$F816</f>
        <v>Prod 2</v>
      </c>
      <c r="G868" s="43" t="str">
        <f>$G816</f>
        <v>Prod 3</v>
      </c>
    </row>
    <row r="869" spans="1:7">
      <c r="A869">
        <v>0</v>
      </c>
      <c r="B869">
        <f t="shared" ref="B869:G869" si="22">IF(B$870&lt;0,B$870* 1.0001,B$870*0.9999)</f>
        <v>-0.35491774143824023</v>
      </c>
      <c r="C869">
        <f t="shared" si="22"/>
        <v>-0.26541734244307674</v>
      </c>
      <c r="D869">
        <f t="shared" si="22"/>
        <v>-0.35632678925858302</v>
      </c>
      <c r="E869">
        <f t="shared" si="22"/>
        <v>-0.28517279895658898</v>
      </c>
      <c r="F869">
        <f t="shared" si="22"/>
        <v>-0.1185446951546141</v>
      </c>
      <c r="G869">
        <f t="shared" si="22"/>
        <v>-0.14536328332963877</v>
      </c>
    </row>
    <row r="870" spans="1:7">
      <c r="A870">
        <v>3.8461539894342422E-2</v>
      </c>
      <c r="B870">
        <f>IF(B$846&gt;0,(SMALL(Sheet1!B$817:B$829,$A$833)-B$846)/B$846,(LARGE(Sheet1!B$817:B$829,$A$833)-B$846)/B$846)</f>
        <v>-0.35488225321291894</v>
      </c>
      <c r="C870">
        <f>IF(C$846&gt;0,(SMALL(Sheet1!C$817:C$829,$A$833)-C$846)/C$846,(LARGE(Sheet1!C$817:C$829,$A$833)-C$846)/C$846)</f>
        <v>-0.26539080336274046</v>
      </c>
      <c r="D870">
        <f>IF(D$846&gt;0,(SMALL(Sheet1!D$817:D$829,$A$833)-D$846)/D$846,(LARGE(Sheet1!D$817:D$829,$A$833)-D$846)/D$846)</f>
        <v>-0.35629116014256879</v>
      </c>
      <c r="E870">
        <f>IF(E$846&gt;0,(SMALL(Sheet1!E$817:E$829,$A$833)-E$846)/E$846,(LARGE(Sheet1!E$817:E$829,$A$833)-E$846)/E$846)</f>
        <v>-0.28514428452813617</v>
      </c>
      <c r="F870">
        <f>IF(F$846&gt;0,(SMALL(Sheet1!F$817:F$829,$A$833)-F$846)/F$846,(LARGE(Sheet1!F$817:F$829,$A$833)-F$846)/F$846)</f>
        <v>-0.11853284187042706</v>
      </c>
      <c r="G870">
        <f>IF(G$846&gt;0,(SMALL(Sheet1!G$817:G$829,$A$833)-G$846)/G$846,(LARGE(Sheet1!G$817:G$829,$A$833)-G$846)/G$846)</f>
        <v>-0.14534874845479329</v>
      </c>
    </row>
    <row r="871" spans="1:7">
      <c r="A871">
        <v>0.11538461595773697</v>
      </c>
      <c r="B871">
        <f>IF(B$846&gt;0,(SMALL(Sheet1!B$817:B$829,$A$834)-B$846)/B$846,(LARGE(Sheet1!B$817:B$829,$A$834)-B$846)/B$846)</f>
        <v>-0.16564771415537516</v>
      </c>
      <c r="C871">
        <f>IF(C$846&gt;0,(SMALL(Sheet1!C$817:C$829,$A$834)-C$846)/C$846,(LARGE(Sheet1!C$817:C$829,$A$834)-C$846)/C$846)</f>
        <v>-0.21985717547200126</v>
      </c>
      <c r="D871">
        <f>IF(D$846&gt;0,(SMALL(Sheet1!D$817:D$829,$A$834)-D$846)/D$846,(LARGE(Sheet1!D$817:D$829,$A$834)-D$846)/D$846)</f>
        <v>-0.20123720601632633</v>
      </c>
      <c r="E871">
        <f>IF(E$846&gt;0,(SMALL(Sheet1!E$817:E$829,$A$834)-E$846)/E$846,(LARGE(Sheet1!E$817:E$829,$A$834)-E$846)/E$846)</f>
        <v>-0.14918452544021021</v>
      </c>
      <c r="F871">
        <f>IF(F$846&gt;0,(SMALL(Sheet1!F$817:F$829,$A$834)-F$846)/F$846,(LARGE(Sheet1!F$817:F$829,$A$834)-F$846)/F$846)</f>
        <v>-8.2948996790825333E-2</v>
      </c>
      <c r="G871">
        <f>IF(G$846&gt;0,(SMALL(Sheet1!G$817:G$829,$A$834)-G$846)/G$846,(LARGE(Sheet1!G$817:G$829,$A$834)-G$846)/G$846)</f>
        <v>-0.14248428065847898</v>
      </c>
    </row>
    <row r="872" spans="1:7">
      <c r="A872">
        <v>0.19230769574642181</v>
      </c>
      <c r="B872">
        <f>IF(B$846&gt;0,(SMALL(Sheet1!B$817:B$829,$A$835)-B$846)/B$846,(LARGE(Sheet1!B$817:B$829,$A$835)-B$846)/B$846)</f>
        <v>-0.13681520955428622</v>
      </c>
      <c r="C872">
        <f>IF(C$846&gt;0,(SMALL(Sheet1!C$817:C$829,$A$835)-C$846)/C$846,(LARGE(Sheet1!C$817:C$829,$A$835)-C$846)/C$846)</f>
        <v>-0.20908342510354538</v>
      </c>
      <c r="D872">
        <f>IF(D$846&gt;0,(SMALL(Sheet1!D$817:D$829,$A$835)-D$846)/D$846,(LARGE(Sheet1!D$817:D$829,$A$835)-D$846)/D$846)</f>
        <v>-0.14702073834325008</v>
      </c>
      <c r="E872">
        <f>IF(E$846&gt;0,(SMALL(Sheet1!E$817:E$829,$A$835)-E$846)/E$846,(LARGE(Sheet1!E$817:E$829,$A$835)-E$846)/E$846)</f>
        <v>-8.2644484131246088E-2</v>
      </c>
      <c r="F872">
        <f>IF(F$846&gt;0,(SMALL(Sheet1!F$817:F$829,$A$835)-F$846)/F$846,(LARGE(Sheet1!F$817:F$829,$A$835)-F$846)/F$846)</f>
        <v>-7.5868722201512015E-2</v>
      </c>
      <c r="G872">
        <f>IF(G$846&gt;0,(SMALL(Sheet1!G$817:G$829,$A$835)-G$846)/G$846,(LARGE(Sheet1!G$817:G$829,$A$835)-G$846)/G$846)</f>
        <v>-8.6323543714639947E-2</v>
      </c>
    </row>
    <row r="873" spans="1:7">
      <c r="A873">
        <v>0.26923078298568726</v>
      </c>
      <c r="B873">
        <f>IF(B$846&gt;0,(SMALL(Sheet1!B$817:B$829,$A$836)-B$846)/B$846,(LARGE(Sheet1!B$817:B$829,$A$836)-B$846)/B$846)</f>
        <v>-0.10973750943382818</v>
      </c>
      <c r="C873">
        <f>IF(C$846&gt;0,(SMALL(Sheet1!C$817:C$829,$A$836)-C$846)/C$846,(LARGE(Sheet1!C$817:C$829,$A$836)-C$846)/C$846)</f>
        <v>-0.20771487470113745</v>
      </c>
      <c r="D873">
        <f>IF(D$846&gt;0,(SMALL(Sheet1!D$817:D$829,$A$836)-D$846)/D$846,(LARGE(Sheet1!D$817:D$829,$A$836)-D$846)/D$846)</f>
        <v>-0.11985737312340146</v>
      </c>
      <c r="E873">
        <f>IF(E$846&gt;0,(SMALL(Sheet1!E$817:E$829,$A$836)-E$846)/E$846,(LARGE(Sheet1!E$817:E$829,$A$836)-E$846)/E$846)</f>
        <v>-4.1483715809494795E-2</v>
      </c>
      <c r="F873">
        <f>IF(F$846&gt;0,(SMALL(Sheet1!F$817:F$829,$A$836)-F$846)/F$846,(LARGE(Sheet1!F$817:F$829,$A$836)-F$846)/F$846)</f>
        <v>-7.3322519487137749E-2</v>
      </c>
      <c r="G873">
        <f>IF(G$846&gt;0,(SMALL(Sheet1!G$817:G$829,$A$836)-G$846)/G$846,(LARGE(Sheet1!G$817:G$829,$A$836)-G$846)/G$846)</f>
        <v>-7.6219635828125173E-2</v>
      </c>
    </row>
    <row r="874" spans="1:7">
      <c r="A874">
        <v>0.3461538553237915</v>
      </c>
      <c r="B874">
        <f>IF(B$846&gt;0,(SMALL(Sheet1!B$817:B$829,$A$837)-B$846)/B$846,(LARGE(Sheet1!B$817:B$829,$A$837)-B$846)/B$846)</f>
        <v>-2.8022594840797933E-2</v>
      </c>
      <c r="C874">
        <f>IF(C$846&gt;0,(SMALL(Sheet1!C$817:C$829,$A$837)-C$846)/C$846,(LARGE(Sheet1!C$817:C$829,$A$837)-C$846)/C$846)</f>
        <v>-8.9327442185215419E-2</v>
      </c>
      <c r="D874">
        <f>IF(D$846&gt;0,(SMALL(Sheet1!D$817:D$829,$A$837)-D$846)/D$846,(LARGE(Sheet1!D$817:D$829,$A$837)-D$846)/D$846)</f>
        <v>-1.3293019196638353E-2</v>
      </c>
      <c r="E874">
        <f>IF(E$846&gt;0,(SMALL(Sheet1!E$817:E$829,$A$837)-E$846)/E$846,(LARGE(Sheet1!E$817:E$829,$A$837)-E$846)/E$846)</f>
        <v>-1.8574102340559392E-2</v>
      </c>
      <c r="F874">
        <f>IF(F$846&gt;0,(SMALL(Sheet1!F$817:F$829,$A$837)-F$846)/F$846,(LARGE(Sheet1!F$817:F$829,$A$837)-F$846)/F$846)</f>
        <v>-3.6056911983771943E-2</v>
      </c>
      <c r="G874">
        <f>IF(G$846&gt;0,(SMALL(Sheet1!G$817:G$829,$A$837)-G$846)/G$846,(LARGE(Sheet1!G$817:G$829,$A$837)-G$846)/G$846)</f>
        <v>-2.7419007357772442E-2</v>
      </c>
    </row>
    <row r="875" spans="1:7">
      <c r="A875">
        <v>0.42307692766189575</v>
      </c>
      <c r="B875">
        <f>IF(B$846&gt;0,(SMALL(Sheet1!B$817:B$829,$A$838)-B$846)/B$846,(LARGE(Sheet1!B$817:B$829,$A$838)-B$846)/B$846)</f>
        <v>-1.9421024883636843E-2</v>
      </c>
      <c r="C875">
        <f>IF(C$846&gt;0,(SMALL(Sheet1!C$817:C$829,$A$838)-C$846)/C$846,(LARGE(Sheet1!C$817:C$829,$A$838)-C$846)/C$846)</f>
        <v>-1.6473637560032596E-2</v>
      </c>
      <c r="D875">
        <f>IF(D$846&gt;0,(SMALL(Sheet1!D$817:D$829,$A$838)-D$846)/D$846,(LARGE(Sheet1!D$817:D$829,$A$838)-D$846)/D$846)</f>
        <v>-3.8958098556539484E-3</v>
      </c>
      <c r="E875">
        <f>IF(E$846&gt;0,(SMALL(Sheet1!E$817:E$829,$A$838)-E$846)/E$846,(LARGE(Sheet1!E$817:E$829,$A$838)-E$846)/E$846)</f>
        <v>1.1837391695763031E-3</v>
      </c>
      <c r="F875">
        <f>IF(F$846&gt;0,(SMALL(Sheet1!F$817:F$829,$A$838)-F$846)/F$846,(LARGE(Sheet1!F$817:F$829,$A$838)-F$846)/F$846)</f>
        <v>-2.2556710384763212E-2</v>
      </c>
      <c r="G875">
        <f>IF(G$846&gt;0,(SMALL(Sheet1!G$817:G$829,$A$838)-G$846)/G$846,(LARGE(Sheet1!G$817:G$829,$A$838)-G$846)/G$846)</f>
        <v>-1.6594636773504621E-2</v>
      </c>
    </row>
    <row r="876" spans="1:7">
      <c r="A876">
        <v>0.5</v>
      </c>
      <c r="B876">
        <f>IF(B$846&gt;0,(SMALL(Sheet1!B$817:B$829,$A$839)-B$846)/B$846,(LARGE(Sheet1!B$817:B$829,$A$839)-B$846)/B$846)</f>
        <v>1.4985254945007513E-2</v>
      </c>
      <c r="C876">
        <f>IF(C$846&gt;0,(SMALL(Sheet1!C$817:C$829,$A$839)-C$846)/C$846,(LARGE(Sheet1!C$817:C$829,$A$839)-C$846)/C$846)</f>
        <v>-1.0402487174600827E-2</v>
      </c>
      <c r="D876">
        <f>IF(D$846&gt;0,(SMALL(Sheet1!D$817:D$829,$A$839)-D$846)/D$846,(LARGE(Sheet1!D$817:D$829,$A$839)-D$846)/D$846)</f>
        <v>-1.3692611926018649E-4</v>
      </c>
      <c r="E876">
        <f>IF(E$846&gt;0,(SMALL(Sheet1!E$817:E$829,$A$839)-E$846)/E$846,(LARGE(Sheet1!E$817:E$829,$A$839)-E$846)/E$846)</f>
        <v>8.5478693061923367E-3</v>
      </c>
      <c r="F876">
        <f>IF(F$846&gt;0,(SMALL(Sheet1!F$817:F$829,$A$839)-F$846)/F$846,(LARGE(Sheet1!F$817:F$829,$A$839)-F$846)/F$846)</f>
        <v>1.137240256819021E-2</v>
      </c>
      <c r="G876">
        <f>IF(G$846&gt;0,(SMALL(Sheet1!G$817:G$829,$A$839)-G$846)/G$846,(LARGE(Sheet1!G$817:G$829,$A$839)-G$846)/G$846)</f>
        <v>2.4883007774694481E-2</v>
      </c>
    </row>
    <row r="877" spans="1:7">
      <c r="A877">
        <v>0.57692307233810425</v>
      </c>
      <c r="B877">
        <f>IF(B$846&gt;0,(SMALL(Sheet1!B$817:B$829,$A$840)-B$846)/B$846,(LARGE(Sheet1!B$817:B$829,$A$840)-B$846)/B$846)</f>
        <v>1.9286039923588152E-2</v>
      </c>
      <c r="C877">
        <f>IF(C$846&gt;0,(SMALL(Sheet1!C$817:C$829,$A$840)-C$846)/C$846,(LARGE(Sheet1!C$817:C$829,$A$840)-C$846)/C$846)</f>
        <v>2.602441513799059E-2</v>
      </c>
      <c r="D877">
        <f>IF(D$846&gt;0,(SMALL(Sheet1!D$817:D$829,$A$840)-D$846)/D$846,(LARGE(Sheet1!D$817:D$829,$A$840)-D$846)/D$846)</f>
        <v>3.3693027508283672E-2</v>
      </c>
      <c r="E877">
        <f>IF(E$846&gt;0,(SMALL(Sheet1!E$817:E$829,$A$840)-E$846)/E$846,(LARGE(Sheet1!E$817:E$829,$A$840)-E$846)/E$846)</f>
        <v>1.250892623576247E-2</v>
      </c>
      <c r="F877">
        <f>IF(F$846&gt;0,(SMALL(Sheet1!F$817:F$829,$A$840)-F$846)/F$846,(LARGE(Sheet1!F$817:F$829,$A$840)-F$846)/F$846)</f>
        <v>1.405507167771875E-2</v>
      </c>
      <c r="G877">
        <f>IF(G$846&gt;0,(SMALL(Sheet1!G$817:G$829,$A$840)-G$846)/G$846,(LARGE(Sheet1!G$817:G$829,$A$840)-G$846)/G$846)</f>
        <v>4.0340953137351969E-2</v>
      </c>
    </row>
    <row r="878" spans="1:7">
      <c r="A878">
        <v>0.6538461446762085</v>
      </c>
      <c r="B878">
        <f>IF(B$846&gt;0,(SMALL(Sheet1!B$817:B$829,$A$841)-B$846)/B$846,(LARGE(Sheet1!B$817:B$829,$A$841)-B$846)/B$846)</f>
        <v>5.3692319752232508E-2</v>
      </c>
      <c r="C878">
        <f>IF(C$846&gt;0,(SMALL(Sheet1!C$817:C$829,$A$841)-C$846)/C$846,(LARGE(Sheet1!C$817:C$829,$A$841)-C$846)/C$846)</f>
        <v>4.7273441487002313E-2</v>
      </c>
      <c r="D878">
        <f>IF(D$846&gt;0,(SMALL(Sheet1!D$817:D$829,$A$841)-D$846)/D$846,(LARGE(Sheet1!D$817:D$829,$A$841)-D$846)/D$846)</f>
        <v>5.7749883421203581E-2</v>
      </c>
      <c r="E878">
        <f>IF(E$846&gt;0,(SMALL(Sheet1!E$817:E$829,$A$841)-E$846)/E$846,(LARGE(Sheet1!E$817:E$829,$A$841)-E$846)/E$846)</f>
        <v>7.3328562382664761E-2</v>
      </c>
      <c r="F878">
        <f>IF(F$846&gt;0,(SMALL(Sheet1!F$817:F$829,$A$841)-F$846)/F$846,(LARGE(Sheet1!F$817:F$829,$A$841)-F$846)/F$846)</f>
        <v>2.8568034743226205E-2</v>
      </c>
      <c r="G878">
        <f>IF(G$846&gt;0,(SMALL(Sheet1!G$817:G$829,$A$841)-G$846)/G$846,(LARGE(Sheet1!G$817:G$829,$A$841)-G$846)/G$846)</f>
        <v>4.4553699748266458E-2</v>
      </c>
    </row>
    <row r="879" spans="1:7">
      <c r="A879">
        <v>0.73076921701431274</v>
      </c>
      <c r="B879">
        <f>IF(B$846&gt;0,(SMALL(Sheet1!B$817:B$829,$A$842)-B$846)/B$846,(LARGE(Sheet1!B$817:B$829,$A$842)-B$846)/B$846)</f>
        <v>7.5196244645135135E-2</v>
      </c>
      <c r="C879">
        <f>IF(C$846&gt;0,(SMALL(Sheet1!C$817:C$829,$A$842)-C$846)/C$846,(LARGE(Sheet1!C$817:C$829,$A$842)-C$846)/C$846)</f>
        <v>0.12923397169033293</v>
      </c>
      <c r="D879">
        <f>IF(D$846&gt;0,(SMALL(Sheet1!D$817:D$829,$A$842)-D$846)/D$846,(LARGE(Sheet1!D$817:D$829,$A$842)-D$846)/D$846)</f>
        <v>6.6583260201728986E-2</v>
      </c>
      <c r="E879">
        <f>IF(E$846&gt;0,(SMALL(Sheet1!E$817:E$829,$A$842)-E$846)/E$846,(LARGE(Sheet1!E$817:E$829,$A$842)-E$846)/E$846)</f>
        <v>7.3404372796411238E-2</v>
      </c>
      <c r="F879">
        <f>IF(F$846&gt;0,(SMALL(Sheet1!F$817:F$829,$A$842)-F$846)/F$846,(LARGE(Sheet1!F$817:F$829,$A$842)-F$846)/F$846)</f>
        <v>5.7939537004546474E-2</v>
      </c>
      <c r="G879">
        <f>IF(G$846&gt;0,(SMALL(Sheet1!G$817:G$829,$A$842)-G$846)/G$846,(LARGE(Sheet1!G$817:G$829,$A$842)-G$846)/G$846)</f>
        <v>7.0020113156146965E-2</v>
      </c>
    </row>
    <row r="880" spans="1:7">
      <c r="A880">
        <v>0.80769228935241699</v>
      </c>
      <c r="B880">
        <f>IF(B$846&gt;0,(SMALL(Sheet1!B$817:B$829,$A$843)-B$846)/B$846,(LARGE(Sheet1!B$817:B$829,$A$843)-B$846)/B$846)</f>
        <v>9.2399384559457315E-2</v>
      </c>
      <c r="C880">
        <f>IF(C$846&gt;0,(SMALL(Sheet1!C$817:C$829,$A$843)-C$846)/C$846,(LARGE(Sheet1!C$817:C$829,$A$843)-C$846)/C$846)</f>
        <v>0.12923397169033293</v>
      </c>
      <c r="D880">
        <f>IF(D$846&gt;0,(SMALL(Sheet1!D$817:D$829,$A$843)-D$846)/D$846,(LARGE(Sheet1!D$817:D$829,$A$843)-D$846)/D$846)</f>
        <v>8.5377678883697794E-2</v>
      </c>
      <c r="E880">
        <f>IF(E$846&gt;0,(SMALL(Sheet1!E$817:E$829,$A$843)-E$846)/E$846,(LARGE(Sheet1!E$817:E$829,$A$843)-E$846)/E$846)</f>
        <v>0.11082066943151866</v>
      </c>
      <c r="F880">
        <f>IF(F$846&gt;0,(SMALL(Sheet1!F$817:F$829,$A$843)-F$846)/F$846,(LARGE(Sheet1!F$817:F$829,$A$843)-F$846)/F$846)</f>
        <v>6.3146861638658777E-2</v>
      </c>
      <c r="G880">
        <f>IF(G$846&gt;0,(SMALL(Sheet1!G$817:G$829,$A$843)-G$846)/G$846,(LARGE(Sheet1!G$817:G$829,$A$843)-G$846)/G$846)</f>
        <v>7.2332577068935242E-2</v>
      </c>
    </row>
    <row r="881" spans="1:7">
      <c r="A881">
        <v>0.88461536169052124</v>
      </c>
      <c r="B881">
        <f>IF(B$846&gt;0,(SMALL(Sheet1!B$817:B$829,$A$844)-B$846)/B$846,(LARGE(Sheet1!B$817:B$829,$A$844)-B$846)/B$846)</f>
        <v>0.16551272919532647</v>
      </c>
      <c r="C881">
        <f>IF(C$846&gt;0,(SMALL(Sheet1!C$817:C$829,$A$844)-C$846)/C$846,(LARGE(Sheet1!C$817:C$829,$A$844)-C$846)/C$846)</f>
        <v>0.30529733286785782</v>
      </c>
      <c r="D881">
        <f>IF(D$846&gt;0,(SMALL(Sheet1!D$817:D$829,$A$844)-D$846)/D$846,(LARGE(Sheet1!D$817:D$829,$A$844)-D$846)/D$846)</f>
        <v>9.9473492895174292E-2</v>
      </c>
      <c r="E881">
        <f>IF(E$846&gt;0,(SMALL(Sheet1!E$817:E$829,$A$844)-E$846)/E$846,(LARGE(Sheet1!E$817:E$829,$A$844)-E$846)/E$846)</f>
        <v>0.1261948973833005</v>
      </c>
      <c r="F881">
        <f>IF(F$846&gt;0,(SMALL(Sheet1!F$817:F$829,$A$844)-F$846)/F$846,(LARGE(Sheet1!F$817:F$829,$A$844)-F$846)/F$846)</f>
        <v>6.9658939091784222E-2</v>
      </c>
      <c r="G881">
        <f>IF(G$846&gt;0,(SMALL(Sheet1!G$817:G$829,$A$844)-G$846)/G$846,(LARGE(Sheet1!G$817:G$829,$A$844)-G$846)/G$846)</f>
        <v>0.11966884032113768</v>
      </c>
    </row>
    <row r="882" spans="1:7">
      <c r="A882">
        <v>0.96153843402862549</v>
      </c>
      <c r="B882">
        <f>IF(B$846&gt;0,(SMALL(Sheet1!B$817:B$829,$A$845)-B$846)/B$846,(LARGE(Sheet1!B$817:B$829,$A$845)-B$846)/B$846)</f>
        <v>0.39345433306009525</v>
      </c>
      <c r="C882">
        <f>IF(C$846&gt;0,(SMALL(Sheet1!C$817:C$829,$A$845)-C$846)/C$846,(LARGE(Sheet1!C$817:C$829,$A$845)-C$846)/C$846)</f>
        <v>0.38118671268575655</v>
      </c>
      <c r="D882">
        <f>IF(D$846&gt;0,(SMALL(Sheet1!D$817:D$829,$A$845)-D$846)/D$846,(LARGE(Sheet1!D$817:D$829,$A$845)-D$846)/D$846)</f>
        <v>0.49885488988701115</v>
      </c>
      <c r="E882">
        <f>IF(E$846&gt;0,(SMALL(Sheet1!E$817:E$829,$A$845)-E$846)/E$846,(LARGE(Sheet1!E$817:E$829,$A$845)-E$846)/E$846)</f>
        <v>0.17104207554422088</v>
      </c>
      <c r="F882">
        <f>IF(F$846&gt;0,(SMALL(Sheet1!F$817:F$829,$A$845)-F$846)/F$846,(LARGE(Sheet1!F$817:F$829,$A$845)-F$846)/F$846)</f>
        <v>0.16454585599431287</v>
      </c>
      <c r="G882">
        <f>IF(G$846&gt;0,(SMALL(Sheet1!G$817:G$829,$A$845)-G$846)/G$846,(LARGE(Sheet1!G$817:G$829,$A$845)-G$846)/G$846)</f>
        <v>0.12259066158077837</v>
      </c>
    </row>
    <row r="883" spans="1:7">
      <c r="A883" s="6">
        <v>1</v>
      </c>
      <c r="B883" s="6">
        <f t="shared" ref="B883:G883" si="23">IF(B$882&lt;0,B$882* 0.9999,B$882*1.0001)</f>
        <v>0.39349367849340128</v>
      </c>
      <c r="C883" s="6">
        <f t="shared" si="23"/>
        <v>0.38122483135702512</v>
      </c>
      <c r="D883" s="6">
        <f t="shared" si="23"/>
        <v>0.49890477537599986</v>
      </c>
      <c r="E883" s="6">
        <f t="shared" si="23"/>
        <v>0.17105917975177529</v>
      </c>
      <c r="F883" s="6">
        <f t="shared" si="23"/>
        <v>0.1645623105799123</v>
      </c>
      <c r="G883" s="6">
        <f t="shared" si="23"/>
        <v>0.12260292064693645</v>
      </c>
    </row>
    <row r="1038" spans="3:6">
      <c r="C1038" s="1"/>
      <c r="F1038" s="3"/>
    </row>
  </sheetData>
  <phoneticPr fontId="0" type="noConversion"/>
  <printOptions headings="1"/>
  <pageMargins left="0.75" right="0.75" top="0.4" bottom="0.63" header="0.5" footer="0.5"/>
  <pageSetup scale="53" fitToHeight="7" orientation="portrait" horizontalDpi="4294967292" r:id="rId1"/>
  <headerFooter alignWithMargins="0">
    <oddFooter>demoSimetar-Sim.xls&amp;RPage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105"/>
  <sheetViews>
    <sheetView workbookViewId="0"/>
  </sheetViews>
  <sheetFormatPr defaultRowHeight="12"/>
  <sheetData>
    <row r="1" spans="1:7">
      <c r="A1" t="s">
        <v>17</v>
      </c>
      <c r="B1" t="s">
        <v>18</v>
      </c>
      <c r="C1" t="s">
        <v>19</v>
      </c>
      <c r="D1" t="s">
        <v>39</v>
      </c>
      <c r="E1" t="s">
        <v>40</v>
      </c>
      <c r="F1" t="s">
        <v>13</v>
      </c>
    </row>
    <row r="2" spans="1:7">
      <c r="A2">
        <v>0</v>
      </c>
      <c r="B2">
        <v>0</v>
      </c>
      <c r="C2">
        <v>0</v>
      </c>
      <c r="D2">
        <v>1.0000032639677589E-2</v>
      </c>
      <c r="E2">
        <v>0</v>
      </c>
      <c r="F2">
        <v>-136945</v>
      </c>
      <c r="G2">
        <v>9.9999997764825821E-3</v>
      </c>
    </row>
    <row r="3" spans="1:7">
      <c r="A3">
        <v>0</v>
      </c>
      <c r="B3">
        <v>0</v>
      </c>
      <c r="C3">
        <v>0</v>
      </c>
      <c r="D3">
        <v>1.0515917393305905E-2</v>
      </c>
      <c r="E3">
        <v>0</v>
      </c>
      <c r="F3">
        <v>-124711.0707070707</v>
      </c>
      <c r="G3">
        <v>1.9999999552965164E-2</v>
      </c>
    </row>
    <row r="4" spans="1:7">
      <c r="A4">
        <v>0</v>
      </c>
      <c r="B4">
        <v>0</v>
      </c>
      <c r="C4">
        <v>0</v>
      </c>
      <c r="D4">
        <v>1.103180214693422E-2</v>
      </c>
      <c r="E4">
        <v>0</v>
      </c>
      <c r="F4">
        <v>-112477.14141414141</v>
      </c>
      <c r="G4">
        <v>2.9999999329447746E-2</v>
      </c>
    </row>
    <row r="5" spans="1:7">
      <c r="A5">
        <v>0</v>
      </c>
      <c r="B5">
        <v>0</v>
      </c>
      <c r="C5">
        <v>0</v>
      </c>
      <c r="D5">
        <v>1.1547686900562536E-2</v>
      </c>
      <c r="E5">
        <v>0</v>
      </c>
      <c r="F5">
        <v>-100243.21212121213</v>
      </c>
      <c r="G5">
        <v>3.9999999105930328E-2</v>
      </c>
    </row>
    <row r="6" spans="1:7">
      <c r="A6">
        <v>0</v>
      </c>
      <c r="B6">
        <v>0</v>
      </c>
      <c r="C6">
        <v>0</v>
      </c>
      <c r="D6">
        <v>1.2063571654190851E-2</v>
      </c>
      <c r="E6">
        <v>0</v>
      </c>
      <c r="F6">
        <v>-88009.282828282827</v>
      </c>
      <c r="G6">
        <v>5.000000074505806E-2</v>
      </c>
    </row>
    <row r="7" spans="1:7">
      <c r="A7">
        <v>0</v>
      </c>
      <c r="B7">
        <v>0</v>
      </c>
      <c r="C7">
        <v>0</v>
      </c>
      <c r="D7">
        <v>1.2579456407819167E-2</v>
      </c>
      <c r="E7">
        <v>0</v>
      </c>
      <c r="F7">
        <v>-75775.353535353526</v>
      </c>
      <c r="G7">
        <v>5.9999998658895493E-2</v>
      </c>
    </row>
    <row r="8" spans="1:7">
      <c r="A8">
        <v>1.0624944218510452E-2</v>
      </c>
      <c r="B8">
        <v>0</v>
      </c>
      <c r="C8">
        <v>0</v>
      </c>
      <c r="D8">
        <v>1.3095341161447482E-2</v>
      </c>
      <c r="E8">
        <v>0</v>
      </c>
      <c r="F8">
        <v>-63541.42424242424</v>
      </c>
      <c r="G8">
        <v>7.0000000298023224E-2</v>
      </c>
    </row>
    <row r="9" spans="1:7">
      <c r="A9">
        <v>1.1307630755667698E-2</v>
      </c>
      <c r="B9">
        <v>1.0347410823372977E-2</v>
      </c>
      <c r="C9">
        <v>0</v>
      </c>
      <c r="D9">
        <v>1.3611225915075797E-2</v>
      </c>
      <c r="E9">
        <v>0</v>
      </c>
      <c r="F9">
        <v>-51307.494949494954</v>
      </c>
      <c r="G9">
        <v>7.9999998211860657E-2</v>
      </c>
    </row>
    <row r="10" spans="1:7">
      <c r="A10">
        <v>1.1990317292824947E-2</v>
      </c>
      <c r="B10">
        <v>1.1018757709256631E-2</v>
      </c>
      <c r="C10">
        <v>0</v>
      </c>
      <c r="D10">
        <v>1.4127110668704115E-2</v>
      </c>
      <c r="E10">
        <v>0</v>
      </c>
      <c r="F10">
        <v>-39073.565656565654</v>
      </c>
      <c r="G10">
        <v>9.0000003576278687E-2</v>
      </c>
    </row>
    <row r="11" spans="1:7">
      <c r="A11">
        <v>1.2673003829982194E-2</v>
      </c>
      <c r="B11">
        <v>1.1690104595140286E-2</v>
      </c>
      <c r="C11">
        <v>1.0661203145672175E-2</v>
      </c>
      <c r="D11">
        <v>1.464299542233243E-2</v>
      </c>
      <c r="E11">
        <v>0</v>
      </c>
      <c r="F11">
        <v>-26839.636363636353</v>
      </c>
      <c r="G11">
        <v>0.10000000149011612</v>
      </c>
    </row>
    <row r="12" spans="1:7">
      <c r="A12">
        <v>1.3355690367139442E-2</v>
      </c>
      <c r="B12">
        <v>1.236145148102394E-2</v>
      </c>
      <c r="C12">
        <v>1.1328494061839773E-2</v>
      </c>
      <c r="D12">
        <v>1.5158880175960746E-2</v>
      </c>
      <c r="E12">
        <v>0</v>
      </c>
      <c r="F12">
        <v>-14605.707070707067</v>
      </c>
      <c r="G12">
        <v>0.10999999940395355</v>
      </c>
    </row>
    <row r="13" spans="1:7">
      <c r="A13">
        <v>1.4038376904296688E-2</v>
      </c>
      <c r="B13">
        <v>1.3032798366907595E-2</v>
      </c>
      <c r="C13">
        <v>1.199578497800737E-2</v>
      </c>
      <c r="D13">
        <v>1.5674764929589059E-2</v>
      </c>
      <c r="E13">
        <v>0</v>
      </c>
      <c r="F13">
        <v>-2371.777777777781</v>
      </c>
      <c r="G13">
        <v>0.11999999731779099</v>
      </c>
    </row>
    <row r="14" spans="1:7">
      <c r="A14">
        <v>1.4721063441453937E-2</v>
      </c>
      <c r="B14">
        <v>1.3704145252791249E-2</v>
      </c>
      <c r="C14">
        <v>1.266307589417497E-2</v>
      </c>
      <c r="D14">
        <v>1.6190649683217376E-2</v>
      </c>
      <c r="E14">
        <v>0</v>
      </c>
      <c r="F14">
        <v>9862.1515151515196</v>
      </c>
      <c r="G14">
        <v>0.12999999523162842</v>
      </c>
    </row>
    <row r="15" spans="1:7">
      <c r="A15">
        <v>1.5403749978611186E-2</v>
      </c>
      <c r="B15">
        <v>1.4375492138674905E-2</v>
      </c>
      <c r="C15">
        <v>1.3330366810342569E-2</v>
      </c>
      <c r="D15">
        <v>1.670653443684569E-2</v>
      </c>
      <c r="E15">
        <v>1.0187002396942185E-2</v>
      </c>
      <c r="F15">
        <v>22096.08080808082</v>
      </c>
      <c r="G15">
        <v>0.14000000059604645</v>
      </c>
    </row>
    <row r="16" spans="1:7">
      <c r="A16">
        <v>1.6086436515768431E-2</v>
      </c>
      <c r="B16">
        <v>1.5046839024558556E-2</v>
      </c>
      <c r="C16">
        <v>1.3997657726510165E-2</v>
      </c>
      <c r="D16">
        <v>1.7222419190474007E-2</v>
      </c>
      <c r="E16">
        <v>1.0849223229838521E-2</v>
      </c>
      <c r="F16">
        <v>34330.010101010092</v>
      </c>
      <c r="G16">
        <v>0.15000000596046448</v>
      </c>
    </row>
    <row r="17" spans="1:7">
      <c r="A17">
        <v>1.6769123052925682E-2</v>
      </c>
      <c r="B17">
        <v>1.571818591044221E-2</v>
      </c>
      <c r="C17">
        <v>1.4664948642677766E-2</v>
      </c>
      <c r="D17">
        <v>1.7738303944102321E-2</v>
      </c>
      <c r="E17">
        <v>1.1511444062734862E-2</v>
      </c>
      <c r="F17">
        <v>46563.939393939392</v>
      </c>
      <c r="G17">
        <v>0.15999999642372131</v>
      </c>
    </row>
    <row r="18" spans="1:7">
      <c r="A18">
        <v>1.7451809590082926E-2</v>
      </c>
      <c r="B18">
        <v>1.6389532796325865E-2</v>
      </c>
      <c r="C18">
        <v>1.5332239558845363E-2</v>
      </c>
      <c r="D18">
        <v>1.8254188697730638E-2</v>
      </c>
      <c r="E18">
        <v>1.21736648956312E-2</v>
      </c>
      <c r="F18">
        <v>58797.868686868693</v>
      </c>
      <c r="G18">
        <v>0.17000000178813934</v>
      </c>
    </row>
    <row r="19" spans="1:7">
      <c r="A19">
        <v>1.8134496127240177E-2</v>
      </c>
      <c r="B19">
        <v>1.7060879682209523E-2</v>
      </c>
      <c r="C19">
        <v>1.5999530475012964E-2</v>
      </c>
      <c r="D19">
        <v>1.8770073451358955E-2</v>
      </c>
      <c r="E19">
        <v>1.2835885728527539E-2</v>
      </c>
      <c r="F19">
        <v>71031.797979797993</v>
      </c>
      <c r="G19">
        <v>0.18000000715255737</v>
      </c>
    </row>
    <row r="20" spans="1:7">
      <c r="A20">
        <v>1.8817182664397421E-2</v>
      </c>
      <c r="B20">
        <v>1.7732226568093173E-2</v>
      </c>
      <c r="C20">
        <v>1.6666821391180558E-2</v>
      </c>
      <c r="D20">
        <v>1.9285958204987269E-2</v>
      </c>
      <c r="E20">
        <v>1.3498106561423879E-2</v>
      </c>
      <c r="F20">
        <v>83265.727272727294</v>
      </c>
      <c r="G20">
        <v>0.18999999761581421</v>
      </c>
    </row>
    <row r="21" spans="1:7">
      <c r="A21">
        <v>1.9499869201554672E-2</v>
      </c>
      <c r="B21">
        <v>1.8403573453976828E-2</v>
      </c>
      <c r="C21">
        <v>1.733411230734816E-2</v>
      </c>
      <c r="D21">
        <v>1.9801842958615583E-2</v>
      </c>
      <c r="E21">
        <v>1.4160327394320216E-2</v>
      </c>
      <c r="F21">
        <v>95499.656565656565</v>
      </c>
      <c r="G21">
        <v>0.20000000298023224</v>
      </c>
    </row>
    <row r="22" spans="1:7">
      <c r="A22">
        <v>2.1525935683378843E-2</v>
      </c>
      <c r="B22">
        <v>1.9074920339860482E-2</v>
      </c>
      <c r="C22">
        <v>1.8001403223515757E-2</v>
      </c>
      <c r="D22">
        <v>2.4827878321846089E-2</v>
      </c>
      <c r="E22">
        <v>1.4822548227216556E-2</v>
      </c>
      <c r="F22">
        <v>107733.58585858587</v>
      </c>
      <c r="G22">
        <v>0.20999999344348907</v>
      </c>
    </row>
    <row r="23" spans="1:7">
      <c r="A23">
        <v>2.7232321629897055E-2</v>
      </c>
      <c r="B23">
        <v>1.974626722574414E-2</v>
      </c>
      <c r="C23">
        <v>1.8668694139683355E-2</v>
      </c>
      <c r="D23">
        <v>3.4782890616705954E-2</v>
      </c>
      <c r="E23">
        <v>1.5484769060112893E-2</v>
      </c>
      <c r="F23">
        <v>119967.51515151517</v>
      </c>
      <c r="G23">
        <v>0.2199999988079071</v>
      </c>
    </row>
    <row r="24" spans="1:7">
      <c r="A24">
        <v>3.6116612502679543E-2</v>
      </c>
      <c r="B24">
        <v>2.2221311053962141E-2</v>
      </c>
      <c r="C24">
        <v>1.9335985055850956E-2</v>
      </c>
      <c r="D24">
        <v>5.2533141874764301E-2</v>
      </c>
      <c r="E24">
        <v>1.614698989300923E-2</v>
      </c>
      <c r="F24">
        <v>132201.44444444444</v>
      </c>
      <c r="G24">
        <v>0.23000000417232513</v>
      </c>
    </row>
    <row r="25" spans="1:7">
      <c r="A25">
        <v>6.3617444055251618E-2</v>
      </c>
      <c r="B25">
        <v>2.5792236750488452E-2</v>
      </c>
      <c r="C25">
        <v>2.001946201136981E-2</v>
      </c>
      <c r="D25">
        <v>5.857881604807353E-2</v>
      </c>
      <c r="E25">
        <v>1.680921072590557E-2</v>
      </c>
      <c r="F25">
        <v>144435.37373737374</v>
      </c>
      <c r="G25">
        <v>0.23999999463558197</v>
      </c>
    </row>
    <row r="26" spans="1:7">
      <c r="A26">
        <v>8.1133911786761534E-2</v>
      </c>
      <c r="B26">
        <v>2.9363162447014764E-2</v>
      </c>
      <c r="C26">
        <v>2.3983277838371675E-2</v>
      </c>
      <c r="D26">
        <v>8.3491585381007427E-2</v>
      </c>
      <c r="E26">
        <v>1.747143155880191E-2</v>
      </c>
      <c r="F26">
        <v>156669.30303030304</v>
      </c>
      <c r="G26">
        <v>0.25</v>
      </c>
    </row>
    <row r="27" spans="1:7">
      <c r="A27">
        <v>9.3979579685711814E-2</v>
      </c>
      <c r="B27">
        <v>5.6242295414929075E-2</v>
      </c>
      <c r="C27">
        <v>2.7947093665373537E-2</v>
      </c>
      <c r="D27">
        <v>9.3946569624931517E-2</v>
      </c>
      <c r="E27">
        <v>1.813365239169825E-2</v>
      </c>
      <c r="F27">
        <v>168903.23232323234</v>
      </c>
      <c r="G27">
        <v>0.25999999046325684</v>
      </c>
    </row>
    <row r="28" spans="1:7">
      <c r="A28">
        <v>0.10910112600117351</v>
      </c>
      <c r="B28">
        <v>7.3246863174267304E-2</v>
      </c>
      <c r="C28">
        <v>3.3813696031342051E-2</v>
      </c>
      <c r="D28">
        <v>9.9511670064532057E-2</v>
      </c>
      <c r="E28">
        <v>1.8795873224594587E-2</v>
      </c>
      <c r="F28">
        <v>181137.16161616164</v>
      </c>
      <c r="G28">
        <v>0.27000001072883606</v>
      </c>
    </row>
    <row r="29" spans="1:7">
      <c r="A29">
        <v>0.11877009659895997</v>
      </c>
      <c r="B29">
        <v>9.2689641766834655E-2</v>
      </c>
      <c r="C29">
        <v>5.1716554506626919E-2</v>
      </c>
      <c r="D29">
        <v>0.11013933537358467</v>
      </c>
      <c r="E29">
        <v>1.9458094057490927E-2</v>
      </c>
      <c r="F29">
        <v>193371.09090909094</v>
      </c>
      <c r="G29">
        <v>0.2800000011920929</v>
      </c>
    </row>
    <row r="30" spans="1:7">
      <c r="A30">
        <v>0.14411049578834539</v>
      </c>
      <c r="B30">
        <v>9.8986501348524727E-2</v>
      </c>
      <c r="C30">
        <v>7.2320940910050174E-2</v>
      </c>
      <c r="D30">
        <v>0.12618976929482278</v>
      </c>
      <c r="E30">
        <v>2.1196754740800162E-2</v>
      </c>
      <c r="F30">
        <v>205605.02020202018</v>
      </c>
      <c r="G30">
        <v>0.28999999165534973</v>
      </c>
    </row>
    <row r="31" spans="1:7">
      <c r="A31">
        <v>0.1812184405253193</v>
      </c>
      <c r="B31">
        <v>0.12244927344661913</v>
      </c>
      <c r="C31">
        <v>8.630121750052204E-2</v>
      </c>
      <c r="D31">
        <v>0.15771757217537916</v>
      </c>
      <c r="E31">
        <v>2.7783747174530748E-2</v>
      </c>
      <c r="F31">
        <v>217838.94949494948</v>
      </c>
      <c r="G31">
        <v>0.30000001192092896</v>
      </c>
    </row>
    <row r="32" spans="1:7">
      <c r="A32">
        <v>0.20920619729699536</v>
      </c>
      <c r="B32">
        <v>0.14157928753277768</v>
      </c>
      <c r="C32">
        <v>9.6865695070923116E-2</v>
      </c>
      <c r="D32">
        <v>0.16603150856975035</v>
      </c>
      <c r="E32">
        <v>3.199092294602747E-2</v>
      </c>
      <c r="F32">
        <v>230072.87878787878</v>
      </c>
      <c r="G32">
        <v>0.31000000238418579</v>
      </c>
    </row>
    <row r="33" spans="1:7">
      <c r="A33">
        <v>0.24263560976496892</v>
      </c>
      <c r="B33">
        <v>0.15813022694292628</v>
      </c>
      <c r="C33">
        <v>0.11852624997047038</v>
      </c>
      <c r="D33">
        <v>0.1835902207494923</v>
      </c>
      <c r="E33">
        <v>3.4991375492273456E-2</v>
      </c>
      <c r="F33">
        <v>242306.80808080808</v>
      </c>
      <c r="G33">
        <v>0.31999999284744263</v>
      </c>
    </row>
    <row r="34" spans="1:7">
      <c r="A34">
        <v>0.26612833561701704</v>
      </c>
      <c r="B34">
        <v>0.19293079223542545</v>
      </c>
      <c r="C34">
        <v>0.13830129498825772</v>
      </c>
      <c r="D34">
        <v>0.23465179977355238</v>
      </c>
      <c r="E34">
        <v>3.799182803851945E-2</v>
      </c>
      <c r="F34">
        <v>254540.73737373739</v>
      </c>
      <c r="G34">
        <v>0.33000001311302185</v>
      </c>
    </row>
    <row r="35" spans="1:7">
      <c r="A35">
        <v>0.28939973644529871</v>
      </c>
      <c r="B35">
        <v>0.23756091282563213</v>
      </c>
      <c r="C35">
        <v>0.15939690485748131</v>
      </c>
      <c r="D35">
        <v>0.25046915589929908</v>
      </c>
      <c r="E35">
        <v>4.3576776667988329E-2</v>
      </c>
      <c r="F35">
        <v>266774.66666666669</v>
      </c>
      <c r="G35">
        <v>0.34000000357627869</v>
      </c>
    </row>
    <row r="36" spans="1:7">
      <c r="A36">
        <v>0.30894569411676781</v>
      </c>
      <c r="B36">
        <v>0.25278071182813383</v>
      </c>
      <c r="C36">
        <v>0.16880539789119214</v>
      </c>
      <c r="D36">
        <v>0.27408768002541734</v>
      </c>
      <c r="E36">
        <v>6.2475700444469782E-2</v>
      </c>
      <c r="F36">
        <v>279008.59595959599</v>
      </c>
      <c r="G36">
        <v>0.34999999403953552</v>
      </c>
    </row>
    <row r="37" spans="1:7">
      <c r="A37">
        <v>0.32893688821630468</v>
      </c>
      <c r="B37">
        <v>0.28057262433544078</v>
      </c>
      <c r="C37">
        <v>0.22437456710306156</v>
      </c>
      <c r="D37">
        <v>0.29006955587784161</v>
      </c>
      <c r="E37">
        <v>7.1499538369678053E-2</v>
      </c>
      <c r="F37">
        <v>291242.52525252529</v>
      </c>
      <c r="G37">
        <v>0.36000001430511475</v>
      </c>
    </row>
    <row r="38" spans="1:7">
      <c r="A38">
        <v>0.38276406540133112</v>
      </c>
      <c r="B38">
        <v>0.30284456424872247</v>
      </c>
      <c r="C38">
        <v>0.24203364621475901</v>
      </c>
      <c r="D38">
        <v>0.30935720301076969</v>
      </c>
      <c r="E38">
        <v>8.6947323713050334E-2</v>
      </c>
      <c r="F38">
        <v>303476.45454545459</v>
      </c>
      <c r="G38">
        <v>0.37000000476837158</v>
      </c>
    </row>
    <row r="39" spans="1:7">
      <c r="A39">
        <v>0.40155903130760667</v>
      </c>
      <c r="B39">
        <v>0.30871424465866998</v>
      </c>
      <c r="C39">
        <v>0.25407098670021827</v>
      </c>
      <c r="D39">
        <v>0.32735064029019784</v>
      </c>
      <c r="E39">
        <v>0.11196853923412731</v>
      </c>
      <c r="F39">
        <v>315710.38383838383</v>
      </c>
      <c r="G39">
        <v>0.37999999523162842</v>
      </c>
    </row>
    <row r="40" spans="1:7">
      <c r="A40">
        <v>0.45932611127232287</v>
      </c>
      <c r="B40">
        <v>0.35516269206559942</v>
      </c>
      <c r="C40">
        <v>0.29608482387897544</v>
      </c>
      <c r="D40">
        <v>0.35778327501746687</v>
      </c>
      <c r="E40">
        <v>0.14621606270799459</v>
      </c>
      <c r="F40">
        <v>327944.31313131313</v>
      </c>
      <c r="G40">
        <v>0.38999998569488525</v>
      </c>
    </row>
    <row r="41" spans="1:7">
      <c r="A41">
        <v>0.52571513319172247</v>
      </c>
      <c r="B41">
        <v>0.40262777351405671</v>
      </c>
      <c r="C41">
        <v>0.30448100590924798</v>
      </c>
      <c r="D41">
        <v>0.41507315863439703</v>
      </c>
      <c r="E41">
        <v>0.16331739908196377</v>
      </c>
      <c r="F41">
        <v>340178.24242424243</v>
      </c>
      <c r="G41">
        <v>0.40000000596046448</v>
      </c>
    </row>
    <row r="42" spans="1:7">
      <c r="A42">
        <v>0.60705416899770792</v>
      </c>
      <c r="B42">
        <v>0.43322110177262885</v>
      </c>
      <c r="C42">
        <v>0.30986850390678133</v>
      </c>
      <c r="D42">
        <v>0.4504118003787162</v>
      </c>
      <c r="E42">
        <v>0.17180803917438983</v>
      </c>
      <c r="F42">
        <v>352412.17171717173</v>
      </c>
      <c r="G42">
        <v>0.40999999642372131</v>
      </c>
    </row>
    <row r="43" spans="1:7">
      <c r="A43">
        <v>0.66318156984638954</v>
      </c>
      <c r="B43">
        <v>0.47769069791438051</v>
      </c>
      <c r="C43">
        <v>0.35537831301580536</v>
      </c>
      <c r="D43">
        <v>0.50808689327826695</v>
      </c>
      <c r="E43">
        <v>0.1847292476104897</v>
      </c>
      <c r="F43">
        <v>364646.10101010103</v>
      </c>
      <c r="G43">
        <v>0.41999998688697815</v>
      </c>
    </row>
    <row r="44" spans="1:7">
      <c r="A44">
        <v>0.68467415661795639</v>
      </c>
      <c r="B44">
        <v>0.54862745458320905</v>
      </c>
      <c r="C44">
        <v>0.39586140740498743</v>
      </c>
      <c r="D44">
        <v>0.52911758056292524</v>
      </c>
      <c r="E44">
        <v>0.20201581691282819</v>
      </c>
      <c r="F44">
        <v>376880.03030303033</v>
      </c>
      <c r="G44">
        <v>0.43000000715255737</v>
      </c>
    </row>
    <row r="45" spans="1:7">
      <c r="A45">
        <v>0.69538296381180742</v>
      </c>
      <c r="B45">
        <v>0.62017074778922232</v>
      </c>
      <c r="C45">
        <v>0.4196076496479586</v>
      </c>
      <c r="D45">
        <v>0.61144406598767209</v>
      </c>
      <c r="E45">
        <v>0.22213087509570725</v>
      </c>
      <c r="F45">
        <v>389113.95959595963</v>
      </c>
      <c r="G45">
        <v>0.43999999761581421</v>
      </c>
    </row>
    <row r="46" spans="1:7">
      <c r="A46">
        <v>0.73245068135819114</v>
      </c>
      <c r="B46">
        <v>0.64742228000014745</v>
      </c>
      <c r="C46">
        <v>0.46950421496362565</v>
      </c>
      <c r="D46">
        <v>0.63600376074031939</v>
      </c>
      <c r="E46">
        <v>0.24592914406691799</v>
      </c>
      <c r="F46">
        <v>401347.88888888888</v>
      </c>
      <c r="G46">
        <v>0.44999998807907104</v>
      </c>
    </row>
    <row r="47" spans="1:7">
      <c r="A47">
        <v>0.77013789647519448</v>
      </c>
      <c r="B47">
        <v>0.68438870789989492</v>
      </c>
      <c r="C47">
        <v>0.51872917232312898</v>
      </c>
      <c r="D47">
        <v>0.66639596814055846</v>
      </c>
      <c r="E47">
        <v>0.26623789281035948</v>
      </c>
      <c r="F47">
        <v>413581.81818181823</v>
      </c>
      <c r="G47">
        <v>0.46000000834465027</v>
      </c>
    </row>
    <row r="48" spans="1:7">
      <c r="A48">
        <v>0.77715514917274309</v>
      </c>
      <c r="B48">
        <v>0.69908923506017218</v>
      </c>
      <c r="C48">
        <v>0.60187607483111816</v>
      </c>
      <c r="D48">
        <v>0.69191005399206962</v>
      </c>
      <c r="E48">
        <v>0.27448773334057375</v>
      </c>
      <c r="F48">
        <v>425815.74747474748</v>
      </c>
      <c r="G48">
        <v>0.4699999988079071</v>
      </c>
    </row>
    <row r="49" spans="1:7">
      <c r="A49">
        <v>0.81394907669646266</v>
      </c>
      <c r="B49">
        <v>0.74225858553432056</v>
      </c>
      <c r="C49">
        <v>0.63887942357994087</v>
      </c>
      <c r="D49">
        <v>0.70226813140381672</v>
      </c>
      <c r="E49">
        <v>0.28783555452104193</v>
      </c>
      <c r="F49">
        <v>438049.67676767684</v>
      </c>
      <c r="G49">
        <v>0.47999998927116394</v>
      </c>
    </row>
    <row r="50" spans="1:7">
      <c r="A50">
        <v>0.84445094131015797</v>
      </c>
      <c r="B50">
        <v>0.77021875041992005</v>
      </c>
      <c r="C50">
        <v>0.66970273408390357</v>
      </c>
      <c r="D50">
        <v>0.72823394536807617</v>
      </c>
      <c r="E50">
        <v>0.31624842609840903</v>
      </c>
      <c r="F50">
        <v>450283.60606060608</v>
      </c>
      <c r="G50">
        <v>0.49000000953674316</v>
      </c>
    </row>
    <row r="51" spans="1:7">
      <c r="A51">
        <v>0.86712686866358424</v>
      </c>
      <c r="B51">
        <v>0.77762947110332092</v>
      </c>
      <c r="C51">
        <v>0.69571787936129337</v>
      </c>
      <c r="D51">
        <v>0.76375972726582486</v>
      </c>
      <c r="E51">
        <v>0.34639136409886989</v>
      </c>
      <c r="F51">
        <v>462517.53535353532</v>
      </c>
      <c r="G51">
        <v>0.5</v>
      </c>
    </row>
    <row r="52" spans="1:7">
      <c r="A52">
        <v>0.87682955712577326</v>
      </c>
      <c r="B52">
        <v>0.8088404431711167</v>
      </c>
      <c r="C52">
        <v>0.72205778761915773</v>
      </c>
      <c r="D52">
        <v>0.77955568530780373</v>
      </c>
      <c r="E52">
        <v>0.36169014116628195</v>
      </c>
      <c r="F52">
        <v>474751.46464646468</v>
      </c>
      <c r="G52">
        <v>0.50999999046325684</v>
      </c>
    </row>
    <row r="53" spans="1:7">
      <c r="A53">
        <v>0.88735447291759428</v>
      </c>
      <c r="B53">
        <v>0.84367438431751096</v>
      </c>
      <c r="C53">
        <v>0.74882645199216369</v>
      </c>
      <c r="D53">
        <v>0.8040038168807857</v>
      </c>
      <c r="E53">
        <v>0.38514816019842302</v>
      </c>
      <c r="F53">
        <v>486985.39393939392</v>
      </c>
      <c r="G53">
        <v>0.51999998092651367</v>
      </c>
    </row>
    <row r="54" spans="1:7">
      <c r="A54">
        <v>0.92054239463428489</v>
      </c>
      <c r="B54">
        <v>0.85625395066699639</v>
      </c>
      <c r="C54">
        <v>0.77640313561700247</v>
      </c>
      <c r="D54">
        <v>0.85007077288277921</v>
      </c>
      <c r="E54">
        <v>0.42692991238844746</v>
      </c>
      <c r="F54">
        <v>499219.32323232328</v>
      </c>
      <c r="G54">
        <v>0.52999997138977051</v>
      </c>
    </row>
    <row r="55" spans="1:7">
      <c r="A55">
        <v>0.92642370416063791</v>
      </c>
      <c r="B55">
        <v>0.8690167990444807</v>
      </c>
      <c r="C55">
        <v>0.79850620301578157</v>
      </c>
      <c r="D55">
        <v>0.8558073577830263</v>
      </c>
      <c r="E55">
        <v>0.43956791694638764</v>
      </c>
      <c r="F55">
        <v>511453.25252525252</v>
      </c>
      <c r="G55">
        <v>0.54000002145767212</v>
      </c>
    </row>
    <row r="56" spans="1:7">
      <c r="A56">
        <v>0.94541368795103153</v>
      </c>
      <c r="B56">
        <v>0.88511009721345113</v>
      </c>
      <c r="C56">
        <v>0.81156606284468158</v>
      </c>
      <c r="D56">
        <v>0.8693562822172145</v>
      </c>
      <c r="E56">
        <v>0.47086159851088288</v>
      </c>
      <c r="F56">
        <v>523687.18181818188</v>
      </c>
      <c r="G56">
        <v>0.55000001192092896</v>
      </c>
    </row>
    <row r="57" spans="1:7">
      <c r="A57">
        <v>0.95563842647539188</v>
      </c>
      <c r="B57">
        <v>0.91164276883564843</v>
      </c>
      <c r="C57">
        <v>0.8349582426647042</v>
      </c>
      <c r="D57">
        <v>0.9006724995052402</v>
      </c>
      <c r="E57">
        <v>0.53144494514132623</v>
      </c>
      <c r="F57">
        <v>535921.11111111112</v>
      </c>
      <c r="G57">
        <v>0.56000000238418579</v>
      </c>
    </row>
    <row r="58" spans="1:7">
      <c r="A58">
        <v>0.96204422642574383</v>
      </c>
      <c r="B58">
        <v>0.92443848577797583</v>
      </c>
      <c r="C58">
        <v>0.84914823669214934</v>
      </c>
      <c r="D58">
        <v>0.90770920582601922</v>
      </c>
      <c r="E58">
        <v>0.59072446054373118</v>
      </c>
      <c r="F58">
        <v>548155.04040404037</v>
      </c>
      <c r="G58">
        <v>0.56999999284744263</v>
      </c>
    </row>
    <row r="59" spans="1:7">
      <c r="A59">
        <v>0.96931849994197505</v>
      </c>
      <c r="B59">
        <v>0.93132980166512092</v>
      </c>
      <c r="C59">
        <v>0.86189401862090764</v>
      </c>
      <c r="D59">
        <v>0.92031881641411772</v>
      </c>
      <c r="E59">
        <v>0.62178460424830528</v>
      </c>
      <c r="F59">
        <v>560388.96969696973</v>
      </c>
      <c r="G59">
        <v>0.57999998331069946</v>
      </c>
    </row>
    <row r="60" spans="1:7">
      <c r="A60">
        <v>0.98197780889518027</v>
      </c>
      <c r="B60">
        <v>0.95165879326340019</v>
      </c>
      <c r="C60">
        <v>0.87625949650149226</v>
      </c>
      <c r="D60">
        <v>0.92538536830045515</v>
      </c>
      <c r="E60">
        <v>0.63162089453492298</v>
      </c>
      <c r="F60">
        <v>572622.89898989897</v>
      </c>
      <c r="G60">
        <v>0.5899999737739563</v>
      </c>
    </row>
    <row r="61" spans="1:7">
      <c r="A61">
        <v>0.98962174422894589</v>
      </c>
      <c r="B61">
        <v>0.95722930883411583</v>
      </c>
      <c r="C61">
        <v>0.88810398889640885</v>
      </c>
      <c r="D61">
        <v>0.93662079559062805</v>
      </c>
      <c r="E61">
        <v>0.65431745645149786</v>
      </c>
      <c r="F61">
        <v>584856.82828282833</v>
      </c>
      <c r="G61">
        <v>0.60000002384185791</v>
      </c>
    </row>
    <row r="62" spans="1:7">
      <c r="A62">
        <v>0.99123272751020397</v>
      </c>
      <c r="B62">
        <v>0.96404574328925241</v>
      </c>
      <c r="C62">
        <v>0.91228985810945973</v>
      </c>
      <c r="D62">
        <v>0.95538320849031499</v>
      </c>
      <c r="E62">
        <v>0.67553148817849895</v>
      </c>
      <c r="F62">
        <v>597090.75757575757</v>
      </c>
      <c r="G62">
        <v>0.61000001430511475</v>
      </c>
    </row>
    <row r="63" spans="1:7">
      <c r="A63">
        <v>0.99252962324593463</v>
      </c>
      <c r="B63">
        <v>0.98072690533542617</v>
      </c>
      <c r="C63">
        <v>0.92393231086642713</v>
      </c>
      <c r="D63">
        <v>0.96545264371720219</v>
      </c>
      <c r="E63">
        <v>0.70783211135117097</v>
      </c>
      <c r="F63">
        <v>609324.68686868693</v>
      </c>
      <c r="G63">
        <v>0.62000000476837158</v>
      </c>
    </row>
    <row r="64" spans="1:7">
      <c r="A64">
        <v>0.99382651898166541</v>
      </c>
      <c r="B64">
        <v>0.98451727898508934</v>
      </c>
      <c r="C64">
        <v>0.94567370437333342</v>
      </c>
      <c r="D64">
        <v>0.98042609796453395</v>
      </c>
      <c r="E64">
        <v>0.75063421031997402</v>
      </c>
      <c r="F64">
        <v>621558.61616161617</v>
      </c>
      <c r="G64">
        <v>0.62999999523162842</v>
      </c>
    </row>
    <row r="65" spans="1:7">
      <c r="A65">
        <v>0.99512341471739607</v>
      </c>
      <c r="B65">
        <v>0.9883076526347524</v>
      </c>
      <c r="C65">
        <v>0.95338485359242786</v>
      </c>
      <c r="D65">
        <v>0.98618147053369198</v>
      </c>
      <c r="E65">
        <v>0.77837102735344721</v>
      </c>
      <c r="F65">
        <v>633792.54545454553</v>
      </c>
      <c r="G65">
        <v>0.63999998569488525</v>
      </c>
    </row>
    <row r="66" spans="1:7">
      <c r="A66">
        <v>0.99642031045312685</v>
      </c>
      <c r="B66">
        <v>0.99077841785010157</v>
      </c>
      <c r="C66">
        <v>0.95815151831533596</v>
      </c>
      <c r="D66">
        <v>0.99040521859256603</v>
      </c>
      <c r="E66">
        <v>0.80461991199257921</v>
      </c>
      <c r="F66">
        <v>646026.47474747477</v>
      </c>
      <c r="G66">
        <v>0.64999997615814209</v>
      </c>
    </row>
    <row r="67" spans="1:7">
      <c r="A67">
        <v>0.99771720618885751</v>
      </c>
      <c r="B67">
        <v>0.99218472614716624</v>
      </c>
      <c r="C67">
        <v>0.96557483672210553</v>
      </c>
      <c r="D67">
        <v>0.99160931228727867</v>
      </c>
      <c r="E67">
        <v>0.81255313080727809</v>
      </c>
      <c r="F67">
        <v>658260.40404040401</v>
      </c>
      <c r="G67">
        <v>0.6600000262260437</v>
      </c>
    </row>
    <row r="68" spans="1:7">
      <c r="A68">
        <v>0.99901410192458828</v>
      </c>
      <c r="B68">
        <v>0.99359103444423102</v>
      </c>
      <c r="C68">
        <v>0.97760290154693452</v>
      </c>
      <c r="D68">
        <v>0.9928134059819913</v>
      </c>
      <c r="E68">
        <v>0.81785955209168337</v>
      </c>
      <c r="F68">
        <v>670494.33333333337</v>
      </c>
      <c r="G68">
        <v>0.67000001668930054</v>
      </c>
    </row>
    <row r="69" spans="1:7">
      <c r="A69">
        <v>1</v>
      </c>
      <c r="B69">
        <v>0.9949973427412957</v>
      </c>
      <c r="C69">
        <v>0.98227668510303678</v>
      </c>
      <c r="D69">
        <v>0.99401749967670405</v>
      </c>
      <c r="E69">
        <v>0.82184762058504002</v>
      </c>
      <c r="F69">
        <v>682728.26262626261</v>
      </c>
      <c r="G69">
        <v>0.68000000715255737</v>
      </c>
    </row>
    <row r="70" spans="1:7">
      <c r="A70">
        <v>1</v>
      </c>
      <c r="B70">
        <v>0.99640365103836048</v>
      </c>
      <c r="C70">
        <v>0.98499370569616873</v>
      </c>
      <c r="D70">
        <v>0.99522159337141669</v>
      </c>
      <c r="E70">
        <v>0.82494438351953525</v>
      </c>
      <c r="F70">
        <v>694962.19191919197</v>
      </c>
      <c r="G70">
        <v>0.68999999761581421</v>
      </c>
    </row>
    <row r="71" spans="1:7">
      <c r="A71">
        <v>1</v>
      </c>
      <c r="B71">
        <v>0.99780995933542516</v>
      </c>
      <c r="C71">
        <v>0.98771072628930068</v>
      </c>
      <c r="D71">
        <v>0.99642568706612933</v>
      </c>
      <c r="E71">
        <v>0.82804114645403049</v>
      </c>
      <c r="F71">
        <v>707196.12121212122</v>
      </c>
      <c r="G71">
        <v>0.69999998807907104</v>
      </c>
    </row>
    <row r="72" spans="1:7">
      <c r="A72">
        <v>1</v>
      </c>
      <c r="B72">
        <v>0.99921626763248994</v>
      </c>
      <c r="C72">
        <v>0.99021979964384721</v>
      </c>
      <c r="D72">
        <v>0.99762978076084208</v>
      </c>
      <c r="E72">
        <v>0.83405650088990935</v>
      </c>
      <c r="F72">
        <v>719430.05050505057</v>
      </c>
      <c r="G72">
        <v>0.70999997854232788</v>
      </c>
    </row>
    <row r="73" spans="1:7">
      <c r="A73">
        <v>1</v>
      </c>
      <c r="B73">
        <v>1</v>
      </c>
      <c r="C73">
        <v>0.99161592334729853</v>
      </c>
      <c r="D73">
        <v>0.99883387445555472</v>
      </c>
      <c r="E73">
        <v>0.86842014944902712</v>
      </c>
      <c r="F73">
        <v>731663.97979797982</v>
      </c>
      <c r="G73">
        <v>0.72000002861022949</v>
      </c>
    </row>
    <row r="74" spans="1:7">
      <c r="A74">
        <v>1</v>
      </c>
      <c r="B74">
        <v>1</v>
      </c>
      <c r="C74">
        <v>0.99301204705074986</v>
      </c>
      <c r="D74">
        <v>1</v>
      </c>
      <c r="E74">
        <v>0.88390953125547522</v>
      </c>
      <c r="F74">
        <v>743897.90909090918</v>
      </c>
      <c r="G74">
        <v>0.73000001907348633</v>
      </c>
    </row>
    <row r="75" spans="1:7">
      <c r="A75">
        <v>1</v>
      </c>
      <c r="B75">
        <v>1</v>
      </c>
      <c r="C75">
        <v>0.99440817075420107</v>
      </c>
      <c r="D75">
        <v>1</v>
      </c>
      <c r="E75">
        <v>0.89172233080288898</v>
      </c>
      <c r="F75">
        <v>756131.83838383842</v>
      </c>
      <c r="G75">
        <v>0.74000000953674316</v>
      </c>
    </row>
    <row r="76" spans="1:7">
      <c r="A76">
        <v>1</v>
      </c>
      <c r="B76">
        <v>1</v>
      </c>
      <c r="C76">
        <v>0.99580429445765239</v>
      </c>
      <c r="D76">
        <v>1</v>
      </c>
      <c r="E76">
        <v>0.89540247279510443</v>
      </c>
      <c r="F76">
        <v>768365.76767676766</v>
      </c>
      <c r="G76">
        <v>0.75</v>
      </c>
    </row>
    <row r="77" spans="1:7">
      <c r="A77">
        <v>1</v>
      </c>
      <c r="B77">
        <v>1</v>
      </c>
      <c r="C77">
        <v>0.99720041816110372</v>
      </c>
      <c r="D77">
        <v>1</v>
      </c>
      <c r="E77">
        <v>0.89908261478731988</v>
      </c>
      <c r="F77">
        <v>780599.69696969702</v>
      </c>
      <c r="G77">
        <v>0.75999999046325684</v>
      </c>
    </row>
    <row r="78" spans="1:7">
      <c r="A78">
        <v>1</v>
      </c>
      <c r="B78">
        <v>1</v>
      </c>
      <c r="C78">
        <v>0.99859654186455493</v>
      </c>
      <c r="D78">
        <v>1</v>
      </c>
      <c r="E78">
        <v>0.90720189040436727</v>
      </c>
      <c r="F78">
        <v>792833.62626262626</v>
      </c>
      <c r="G78">
        <v>0.76999998092651367</v>
      </c>
    </row>
    <row r="79" spans="1:7">
      <c r="A79">
        <v>1</v>
      </c>
      <c r="B79">
        <v>1</v>
      </c>
      <c r="C79">
        <v>0.99999266556800626</v>
      </c>
      <c r="D79">
        <v>1</v>
      </c>
      <c r="E79">
        <v>0.93121110831730625</v>
      </c>
      <c r="F79">
        <v>805067.55555555562</v>
      </c>
      <c r="G79">
        <v>0.77999997138977051</v>
      </c>
    </row>
    <row r="80" spans="1:7">
      <c r="A80">
        <v>1</v>
      </c>
      <c r="B80">
        <v>1</v>
      </c>
      <c r="C80">
        <v>1</v>
      </c>
      <c r="D80">
        <v>1</v>
      </c>
      <c r="E80">
        <v>0.93956889516332276</v>
      </c>
      <c r="F80">
        <v>817301.48484848486</v>
      </c>
      <c r="G80">
        <v>0.79000002145767212</v>
      </c>
    </row>
    <row r="81" spans="1:7">
      <c r="A81">
        <v>1</v>
      </c>
      <c r="B81">
        <v>1</v>
      </c>
      <c r="C81">
        <v>1</v>
      </c>
      <c r="D81">
        <v>1</v>
      </c>
      <c r="E81">
        <v>0.94690491854257886</v>
      </c>
      <c r="F81">
        <v>829535.41414141422</v>
      </c>
      <c r="G81">
        <v>0.80000001192092896</v>
      </c>
    </row>
    <row r="82" spans="1:7">
      <c r="A82">
        <v>1</v>
      </c>
      <c r="B82">
        <v>1</v>
      </c>
      <c r="C82">
        <v>1</v>
      </c>
      <c r="D82">
        <v>1</v>
      </c>
      <c r="E82">
        <v>0.95770723291823101</v>
      </c>
      <c r="F82">
        <v>841769.34343434346</v>
      </c>
      <c r="G82">
        <v>0.81000000238418579</v>
      </c>
    </row>
    <row r="83" spans="1:7">
      <c r="A83">
        <v>1</v>
      </c>
      <c r="B83">
        <v>1</v>
      </c>
      <c r="C83">
        <v>1</v>
      </c>
      <c r="D83">
        <v>1</v>
      </c>
      <c r="E83">
        <v>0.96864521284871263</v>
      </c>
      <c r="F83">
        <v>854003.27272727271</v>
      </c>
      <c r="G83">
        <v>0.81999999284744263</v>
      </c>
    </row>
    <row r="84" spans="1:7">
      <c r="A84">
        <v>1</v>
      </c>
      <c r="B84">
        <v>1</v>
      </c>
      <c r="C84">
        <v>1</v>
      </c>
      <c r="D84">
        <v>1</v>
      </c>
      <c r="E84">
        <v>0.97282908477125463</v>
      </c>
      <c r="F84">
        <v>866237.20202020206</v>
      </c>
      <c r="G84">
        <v>0.82999998331069946</v>
      </c>
    </row>
    <row r="85" spans="1:7">
      <c r="A85">
        <v>1</v>
      </c>
      <c r="B85">
        <v>1</v>
      </c>
      <c r="C85">
        <v>1</v>
      </c>
      <c r="D85">
        <v>1</v>
      </c>
      <c r="E85">
        <v>0.97608054569907032</v>
      </c>
      <c r="F85">
        <v>878471.13131313131</v>
      </c>
      <c r="G85">
        <v>0.8399999737739563</v>
      </c>
    </row>
    <row r="86" spans="1:7">
      <c r="A86">
        <v>1</v>
      </c>
      <c r="B86">
        <v>1</v>
      </c>
      <c r="C86">
        <v>1</v>
      </c>
      <c r="D86">
        <v>1</v>
      </c>
      <c r="E86">
        <v>0.97933200662688613</v>
      </c>
      <c r="F86">
        <v>890705.06060606067</v>
      </c>
      <c r="G86">
        <v>0.85000002384185791</v>
      </c>
    </row>
    <row r="87" spans="1:7">
      <c r="A87">
        <v>1</v>
      </c>
      <c r="B87">
        <v>1</v>
      </c>
      <c r="C87">
        <v>1</v>
      </c>
      <c r="D87">
        <v>1</v>
      </c>
      <c r="E87">
        <v>0.98116428754655971</v>
      </c>
      <c r="F87">
        <v>902938.98989898991</v>
      </c>
      <c r="G87">
        <v>0.86000001430511475</v>
      </c>
    </row>
    <row r="88" spans="1:7">
      <c r="A88">
        <v>1</v>
      </c>
      <c r="B88">
        <v>1</v>
      </c>
      <c r="C88">
        <v>1</v>
      </c>
      <c r="D88">
        <v>1</v>
      </c>
      <c r="E88">
        <v>0.98262960550324074</v>
      </c>
      <c r="F88">
        <v>915172.91919191927</v>
      </c>
      <c r="G88">
        <v>0.87000000476837158</v>
      </c>
    </row>
    <row r="89" spans="1:7">
      <c r="A89">
        <v>1</v>
      </c>
      <c r="B89">
        <v>1</v>
      </c>
      <c r="C89">
        <v>1</v>
      </c>
      <c r="D89">
        <v>1</v>
      </c>
      <c r="E89">
        <v>0.98409492345992189</v>
      </c>
      <c r="F89">
        <v>927406.84848484863</v>
      </c>
      <c r="G89">
        <v>0.87999999523162842</v>
      </c>
    </row>
    <row r="90" spans="1:7">
      <c r="A90">
        <v>1</v>
      </c>
      <c r="B90">
        <v>1</v>
      </c>
      <c r="C90">
        <v>1</v>
      </c>
      <c r="D90">
        <v>1</v>
      </c>
      <c r="E90">
        <v>0.98556024141660303</v>
      </c>
      <c r="F90">
        <v>939640.77777777775</v>
      </c>
      <c r="G90">
        <v>0.88999998569488525</v>
      </c>
    </row>
    <row r="91" spans="1:7">
      <c r="A91">
        <v>1</v>
      </c>
      <c r="B91">
        <v>1</v>
      </c>
      <c r="C91">
        <v>1</v>
      </c>
      <c r="D91">
        <v>1</v>
      </c>
      <c r="E91">
        <v>0.98702555937328407</v>
      </c>
      <c r="F91">
        <v>951874.70707070711</v>
      </c>
      <c r="G91">
        <v>0.89999997615814209</v>
      </c>
    </row>
    <row r="92" spans="1:7">
      <c r="A92">
        <v>1</v>
      </c>
      <c r="B92">
        <v>1</v>
      </c>
      <c r="C92">
        <v>1</v>
      </c>
      <c r="D92">
        <v>1</v>
      </c>
      <c r="E92">
        <v>0.98849087732996521</v>
      </c>
      <c r="F92">
        <v>964108.63636363647</v>
      </c>
      <c r="G92">
        <v>0.9100000262260437</v>
      </c>
    </row>
    <row r="93" spans="1:7">
      <c r="A93">
        <v>1</v>
      </c>
      <c r="B93">
        <v>1</v>
      </c>
      <c r="C93">
        <v>1</v>
      </c>
      <c r="D93">
        <v>1</v>
      </c>
      <c r="E93">
        <v>0.98995619528664636</v>
      </c>
      <c r="F93">
        <v>976342.5656565656</v>
      </c>
      <c r="G93">
        <v>0.92000001668930054</v>
      </c>
    </row>
    <row r="94" spans="1:7">
      <c r="A94">
        <v>1</v>
      </c>
      <c r="B94">
        <v>1</v>
      </c>
      <c r="C94">
        <v>1</v>
      </c>
      <c r="D94">
        <v>1</v>
      </c>
      <c r="E94">
        <v>0.99121718512988832</v>
      </c>
      <c r="F94">
        <v>988576.49494949495</v>
      </c>
      <c r="G94">
        <v>0.93000000715255737</v>
      </c>
    </row>
    <row r="95" spans="1:7">
      <c r="A95">
        <v>1</v>
      </c>
      <c r="B95">
        <v>1</v>
      </c>
      <c r="C95">
        <v>1</v>
      </c>
      <c r="D95">
        <v>1</v>
      </c>
      <c r="E95">
        <v>0.99247187707673901</v>
      </c>
      <c r="F95">
        <v>1000810.4242424243</v>
      </c>
      <c r="G95">
        <v>0.93999999761581421</v>
      </c>
    </row>
    <row r="96" spans="1:7">
      <c r="A96">
        <v>1</v>
      </c>
      <c r="B96">
        <v>1</v>
      </c>
      <c r="C96">
        <v>1</v>
      </c>
      <c r="D96">
        <v>1</v>
      </c>
      <c r="E96">
        <v>0.99372656902358958</v>
      </c>
      <c r="F96">
        <v>1013044.3535353537</v>
      </c>
      <c r="G96">
        <v>0.94999998807907104</v>
      </c>
    </row>
    <row r="97" spans="1:7">
      <c r="A97">
        <v>1</v>
      </c>
      <c r="B97">
        <v>1</v>
      </c>
      <c r="C97">
        <v>1</v>
      </c>
      <c r="D97">
        <v>1</v>
      </c>
      <c r="E97">
        <v>0.99498126097044026</v>
      </c>
      <c r="F97">
        <v>1025278.2828282828</v>
      </c>
      <c r="G97">
        <v>0.95999997854232788</v>
      </c>
    </row>
    <row r="98" spans="1:7">
      <c r="A98">
        <v>1</v>
      </c>
      <c r="B98">
        <v>1</v>
      </c>
      <c r="C98">
        <v>1</v>
      </c>
      <c r="D98">
        <v>1</v>
      </c>
      <c r="E98">
        <v>0.99623595291729083</v>
      </c>
      <c r="F98">
        <v>1037512.2121212122</v>
      </c>
      <c r="G98">
        <v>0.97000002861022949</v>
      </c>
    </row>
    <row r="99" spans="1:7">
      <c r="A99">
        <v>1</v>
      </c>
      <c r="B99">
        <v>1</v>
      </c>
      <c r="C99">
        <v>1</v>
      </c>
      <c r="D99">
        <v>1</v>
      </c>
      <c r="E99">
        <v>0.99749064486414152</v>
      </c>
      <c r="F99">
        <v>1049746.1414141415</v>
      </c>
      <c r="G99">
        <v>0.98000001907348633</v>
      </c>
    </row>
    <row r="100" spans="1:7">
      <c r="A100">
        <v>1</v>
      </c>
      <c r="B100">
        <v>1</v>
      </c>
      <c r="C100">
        <v>1</v>
      </c>
      <c r="D100">
        <v>1</v>
      </c>
      <c r="E100">
        <v>0.99874533681099209</v>
      </c>
      <c r="F100">
        <v>1061980.0707070706</v>
      </c>
      <c r="G100">
        <v>0.99000000953674316</v>
      </c>
    </row>
    <row r="101" spans="1:7">
      <c r="A101">
        <v>1</v>
      </c>
      <c r="B101">
        <v>1</v>
      </c>
      <c r="C101">
        <v>1</v>
      </c>
      <c r="D101">
        <v>1</v>
      </c>
      <c r="E101">
        <v>1</v>
      </c>
      <c r="F101">
        <v>1074214</v>
      </c>
      <c r="G101">
        <v>1</v>
      </c>
    </row>
    <row r="102" spans="1:7">
      <c r="A102">
        <v>33375920.903130233</v>
      </c>
      <c r="B102">
        <v>36755388.103614189</v>
      </c>
      <c r="C102">
        <v>40728935.453334399</v>
      </c>
      <c r="D102">
        <v>36513148.710094862</v>
      </c>
      <c r="E102">
        <v>53243657.65173126</v>
      </c>
    </row>
    <row r="103" spans="1:7">
      <c r="A103">
        <v>-22.818931085219301</v>
      </c>
      <c r="B103">
        <v>-19.598590044441199</v>
      </c>
      <c r="C103">
        <v>-16.609138466380639</v>
      </c>
      <c r="D103">
        <v>-21.14493566762939</v>
      </c>
      <c r="E103">
        <v>-10.173376514827954</v>
      </c>
    </row>
    <row r="104" spans="1:7">
      <c r="A104">
        <v>295515.93675794953</v>
      </c>
      <c r="B104">
        <v>325942.51176945528</v>
      </c>
      <c r="C104">
        <v>359043.4264155433</v>
      </c>
      <c r="D104">
        <v>310753.95150143415</v>
      </c>
      <c r="E104">
        <v>457079.20473443106</v>
      </c>
    </row>
    <row r="105" spans="1:7">
      <c r="A105">
        <v>57076.18863014807</v>
      </c>
      <c r="B105">
        <v>107482.33066486462</v>
      </c>
      <c r="C105">
        <v>159915.31243008596</v>
      </c>
      <c r="D105">
        <v>-136945.77497163299</v>
      </c>
      <c r="E105">
        <v>304162.68600814627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6"/>
  <dimension ref="A1:G101"/>
  <sheetViews>
    <sheetView workbookViewId="0"/>
  </sheetViews>
  <sheetFormatPr defaultRowHeight="12"/>
  <sheetData>
    <row r="1" spans="1:7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s">
        <v>13</v>
      </c>
    </row>
    <row r="2" spans="1:7">
      <c r="A2">
        <v>0</v>
      </c>
      <c r="B2">
        <v>0</v>
      </c>
      <c r="C2">
        <v>0</v>
      </c>
      <c r="D2">
        <v>1.0000032639677589E-2</v>
      </c>
      <c r="E2">
        <v>0</v>
      </c>
      <c r="F2">
        <v>-136945</v>
      </c>
      <c r="G2">
        <v>9.9999997764825821E-3</v>
      </c>
    </row>
    <row r="3" spans="1:7">
      <c r="A3">
        <v>0</v>
      </c>
      <c r="B3">
        <v>0</v>
      </c>
      <c r="C3">
        <v>0</v>
      </c>
      <c r="D3">
        <v>1.0515917393305905E-2</v>
      </c>
      <c r="E3">
        <v>0</v>
      </c>
      <c r="F3">
        <v>-124711.0707070707</v>
      </c>
      <c r="G3">
        <v>1.9999999552965164E-2</v>
      </c>
    </row>
    <row r="4" spans="1:7">
      <c r="A4">
        <v>0</v>
      </c>
      <c r="B4">
        <v>0</v>
      </c>
      <c r="C4">
        <v>0</v>
      </c>
      <c r="D4">
        <v>1.103180214693422E-2</v>
      </c>
      <c r="E4">
        <v>0</v>
      </c>
      <c r="F4">
        <v>-112477.14141414141</v>
      </c>
      <c r="G4">
        <v>2.9999999329447746E-2</v>
      </c>
    </row>
    <row r="5" spans="1:7">
      <c r="A5">
        <v>0</v>
      </c>
      <c r="B5">
        <v>0</v>
      </c>
      <c r="C5">
        <v>0</v>
      </c>
      <c r="D5">
        <v>1.1547686900562536E-2</v>
      </c>
      <c r="E5">
        <v>0</v>
      </c>
      <c r="F5">
        <v>-100243.21212121213</v>
      </c>
      <c r="G5">
        <v>3.9999999105930328E-2</v>
      </c>
    </row>
    <row r="6" spans="1:7">
      <c r="A6">
        <v>0</v>
      </c>
      <c r="B6">
        <v>0</v>
      </c>
      <c r="C6">
        <v>0</v>
      </c>
      <c r="D6">
        <v>1.2063571654190851E-2</v>
      </c>
      <c r="E6">
        <v>0</v>
      </c>
      <c r="F6">
        <v>-88009.282828282827</v>
      </c>
      <c r="G6">
        <v>5.000000074505806E-2</v>
      </c>
    </row>
    <row r="7" spans="1:7">
      <c r="A7">
        <v>0</v>
      </c>
      <c r="B7">
        <v>0</v>
      </c>
      <c r="C7">
        <v>0</v>
      </c>
      <c r="D7">
        <v>1.2579456407819167E-2</v>
      </c>
      <c r="E7">
        <v>0</v>
      </c>
      <c r="F7">
        <v>-75775.353535353526</v>
      </c>
      <c r="G7">
        <v>5.9999998658895493E-2</v>
      </c>
    </row>
    <row r="8" spans="1:7">
      <c r="A8">
        <v>1.0624944218510452E-2</v>
      </c>
      <c r="B8">
        <v>0</v>
      </c>
      <c r="C8">
        <v>0</v>
      </c>
      <c r="D8">
        <v>1.3095341161447482E-2</v>
      </c>
      <c r="E8">
        <v>0</v>
      </c>
      <c r="F8">
        <v>-63541.42424242424</v>
      </c>
      <c r="G8">
        <v>7.0000000298023224E-2</v>
      </c>
    </row>
    <row r="9" spans="1:7">
      <c r="A9">
        <v>1.1307630755667698E-2</v>
      </c>
      <c r="B9">
        <v>1.0347410823372977E-2</v>
      </c>
      <c r="C9">
        <v>0</v>
      </c>
      <c r="D9">
        <v>1.3611225915075797E-2</v>
      </c>
      <c r="E9">
        <v>0</v>
      </c>
      <c r="F9">
        <v>-51307.494949494954</v>
      </c>
      <c r="G9">
        <v>7.9999998211860657E-2</v>
      </c>
    </row>
    <row r="10" spans="1:7">
      <c r="A10">
        <v>1.1990317292824947E-2</v>
      </c>
      <c r="B10">
        <v>1.1018757709256631E-2</v>
      </c>
      <c r="C10">
        <v>0</v>
      </c>
      <c r="D10">
        <v>1.4127110668704115E-2</v>
      </c>
      <c r="E10">
        <v>0</v>
      </c>
      <c r="F10">
        <v>-39073.565656565654</v>
      </c>
      <c r="G10">
        <v>9.0000003576278687E-2</v>
      </c>
    </row>
    <row r="11" spans="1:7">
      <c r="A11">
        <v>1.2673003829982194E-2</v>
      </c>
      <c r="B11">
        <v>1.1690104595140286E-2</v>
      </c>
      <c r="C11">
        <v>1.0661203145672175E-2</v>
      </c>
      <c r="D11">
        <v>1.464299542233243E-2</v>
      </c>
      <c r="E11">
        <v>0</v>
      </c>
      <c r="F11">
        <v>-26839.636363636353</v>
      </c>
      <c r="G11">
        <v>0.10000000149011612</v>
      </c>
    </row>
    <row r="12" spans="1:7">
      <c r="A12">
        <v>1.3355690367139442E-2</v>
      </c>
      <c r="B12">
        <v>1.236145148102394E-2</v>
      </c>
      <c r="C12">
        <v>1.1328494061839773E-2</v>
      </c>
      <c r="D12">
        <v>1.5158880175960746E-2</v>
      </c>
      <c r="E12">
        <v>0</v>
      </c>
      <c r="F12">
        <v>-14605.707070707067</v>
      </c>
      <c r="G12">
        <v>0.10999999940395355</v>
      </c>
    </row>
    <row r="13" spans="1:7">
      <c r="A13">
        <v>1.4038376904296688E-2</v>
      </c>
      <c r="B13">
        <v>1.3032798366907595E-2</v>
      </c>
      <c r="C13">
        <v>1.199578497800737E-2</v>
      </c>
      <c r="D13">
        <v>1.5674764929589059E-2</v>
      </c>
      <c r="E13">
        <v>0</v>
      </c>
      <c r="F13">
        <v>-2371.777777777781</v>
      </c>
      <c r="G13">
        <v>0.11999999731779099</v>
      </c>
    </row>
    <row r="14" spans="1:7">
      <c r="A14">
        <v>1.4721063441453937E-2</v>
      </c>
      <c r="B14">
        <v>1.3704145252791249E-2</v>
      </c>
      <c r="C14">
        <v>1.266307589417497E-2</v>
      </c>
      <c r="D14">
        <v>1.6190649683217376E-2</v>
      </c>
      <c r="E14">
        <v>0</v>
      </c>
      <c r="F14">
        <v>9862.1515151515196</v>
      </c>
      <c r="G14">
        <v>0.12999999523162842</v>
      </c>
    </row>
    <row r="15" spans="1:7">
      <c r="A15">
        <v>1.5403749978611186E-2</v>
      </c>
      <c r="B15">
        <v>1.4375492138674905E-2</v>
      </c>
      <c r="C15">
        <v>1.3330366810342569E-2</v>
      </c>
      <c r="D15">
        <v>1.670653443684569E-2</v>
      </c>
      <c r="E15">
        <v>1.0187002396942185E-2</v>
      </c>
      <c r="F15">
        <v>22096.08080808082</v>
      </c>
      <c r="G15">
        <v>0.14000000059604645</v>
      </c>
    </row>
    <row r="16" spans="1:7">
      <c r="A16">
        <v>1.6086436515768431E-2</v>
      </c>
      <c r="B16">
        <v>1.5046839024558556E-2</v>
      </c>
      <c r="C16">
        <v>1.3997657726510165E-2</v>
      </c>
      <c r="D16">
        <v>1.7222419190474007E-2</v>
      </c>
      <c r="E16">
        <v>1.0849223229838521E-2</v>
      </c>
      <c r="F16">
        <v>34330.010101010092</v>
      </c>
      <c r="G16">
        <v>0.15000000596046448</v>
      </c>
    </row>
    <row r="17" spans="1:7">
      <c r="A17">
        <v>1.6769123052925682E-2</v>
      </c>
      <c r="B17">
        <v>1.571818591044221E-2</v>
      </c>
      <c r="C17">
        <v>1.4664948642677766E-2</v>
      </c>
      <c r="D17">
        <v>1.7738303944102321E-2</v>
      </c>
      <c r="E17">
        <v>1.1511444062734862E-2</v>
      </c>
      <c r="F17">
        <v>46563.939393939392</v>
      </c>
      <c r="G17">
        <v>0.15999999642372131</v>
      </c>
    </row>
    <row r="18" spans="1:7">
      <c r="A18">
        <v>1.7451809590082926E-2</v>
      </c>
      <c r="B18">
        <v>1.6389532796325865E-2</v>
      </c>
      <c r="C18">
        <v>1.5332239558845363E-2</v>
      </c>
      <c r="D18">
        <v>1.8254188697730638E-2</v>
      </c>
      <c r="E18">
        <v>1.21736648956312E-2</v>
      </c>
      <c r="F18">
        <v>58797.868686868693</v>
      </c>
      <c r="G18">
        <v>0.17000000178813934</v>
      </c>
    </row>
    <row r="19" spans="1:7">
      <c r="A19">
        <v>1.8134496127240177E-2</v>
      </c>
      <c r="B19">
        <v>1.7060879682209523E-2</v>
      </c>
      <c r="C19">
        <v>1.5999530475012964E-2</v>
      </c>
      <c r="D19">
        <v>1.8770073451358955E-2</v>
      </c>
      <c r="E19">
        <v>1.2835885728527539E-2</v>
      </c>
      <c r="F19">
        <v>71031.797979797993</v>
      </c>
      <c r="G19">
        <v>0.18000000715255737</v>
      </c>
    </row>
    <row r="20" spans="1:7">
      <c r="A20">
        <v>1.8817182664397421E-2</v>
      </c>
      <c r="B20">
        <v>1.7732226568093173E-2</v>
      </c>
      <c r="C20">
        <v>1.6666821391180558E-2</v>
      </c>
      <c r="D20">
        <v>1.9285958204987269E-2</v>
      </c>
      <c r="E20">
        <v>1.3498106561423879E-2</v>
      </c>
      <c r="F20">
        <v>83265.727272727294</v>
      </c>
      <c r="G20">
        <v>0.18999999761581421</v>
      </c>
    </row>
    <row r="21" spans="1:7">
      <c r="A21">
        <v>1.9499869201554672E-2</v>
      </c>
      <c r="B21">
        <v>1.8403573453976828E-2</v>
      </c>
      <c r="C21">
        <v>1.733411230734816E-2</v>
      </c>
      <c r="D21">
        <v>1.9801842958615583E-2</v>
      </c>
      <c r="E21">
        <v>1.4160327394320216E-2</v>
      </c>
      <c r="F21">
        <v>95499.656565656565</v>
      </c>
      <c r="G21">
        <v>0.20000000298023224</v>
      </c>
    </row>
    <row r="22" spans="1:7">
      <c r="A22">
        <v>2.1525935683378843E-2</v>
      </c>
      <c r="B22">
        <v>1.9074920339860482E-2</v>
      </c>
      <c r="C22">
        <v>1.8001403223515757E-2</v>
      </c>
      <c r="D22">
        <v>2.4827878321846089E-2</v>
      </c>
      <c r="E22">
        <v>1.4822548227216556E-2</v>
      </c>
      <c r="F22">
        <v>107733.58585858587</v>
      </c>
      <c r="G22">
        <v>0.20999999344348907</v>
      </c>
    </row>
    <row r="23" spans="1:7">
      <c r="A23">
        <v>2.7232321629897055E-2</v>
      </c>
      <c r="B23">
        <v>1.974626722574414E-2</v>
      </c>
      <c r="C23">
        <v>1.8668694139683355E-2</v>
      </c>
      <c r="D23">
        <v>3.4782890616705954E-2</v>
      </c>
      <c r="E23">
        <v>1.5484769060112893E-2</v>
      </c>
      <c r="F23">
        <v>119967.51515151517</v>
      </c>
      <c r="G23">
        <v>0.2199999988079071</v>
      </c>
    </row>
    <row r="24" spans="1:7">
      <c r="A24">
        <v>3.6116612502679543E-2</v>
      </c>
      <c r="B24">
        <v>2.2221311053962141E-2</v>
      </c>
      <c r="C24">
        <v>1.9335985055850956E-2</v>
      </c>
      <c r="D24">
        <v>5.2533141874764301E-2</v>
      </c>
      <c r="E24">
        <v>1.614698989300923E-2</v>
      </c>
      <c r="F24">
        <v>132201.44444444444</v>
      </c>
      <c r="G24">
        <v>0.23000000417232513</v>
      </c>
    </row>
    <row r="25" spans="1:7">
      <c r="A25">
        <v>6.3617444055251618E-2</v>
      </c>
      <c r="B25">
        <v>2.5792236750488452E-2</v>
      </c>
      <c r="C25">
        <v>2.001946201136981E-2</v>
      </c>
      <c r="D25">
        <v>5.857881604807353E-2</v>
      </c>
      <c r="E25">
        <v>1.680921072590557E-2</v>
      </c>
      <c r="F25">
        <v>144435.37373737374</v>
      </c>
      <c r="G25">
        <v>0.23999999463558197</v>
      </c>
    </row>
    <row r="26" spans="1:7">
      <c r="A26">
        <v>8.1133911786761534E-2</v>
      </c>
      <c r="B26">
        <v>2.9363162447014764E-2</v>
      </c>
      <c r="C26">
        <v>2.3983277838371675E-2</v>
      </c>
      <c r="D26">
        <v>8.3491585381007427E-2</v>
      </c>
      <c r="E26">
        <v>1.747143155880191E-2</v>
      </c>
      <c r="F26">
        <v>156669.30303030304</v>
      </c>
      <c r="G26">
        <v>0.25</v>
      </c>
    </row>
    <row r="27" spans="1:7">
      <c r="A27">
        <v>9.3979579685711814E-2</v>
      </c>
      <c r="B27">
        <v>5.6242295414929075E-2</v>
      </c>
      <c r="C27">
        <v>2.7947093665373537E-2</v>
      </c>
      <c r="D27">
        <v>9.3946569624931517E-2</v>
      </c>
      <c r="E27">
        <v>1.813365239169825E-2</v>
      </c>
      <c r="F27">
        <v>168903.23232323234</v>
      </c>
      <c r="G27">
        <v>0.25999999046325684</v>
      </c>
    </row>
    <row r="28" spans="1:7">
      <c r="A28">
        <v>0.10910112600117351</v>
      </c>
      <c r="B28">
        <v>7.3246863174267304E-2</v>
      </c>
      <c r="C28">
        <v>3.3813696031342051E-2</v>
      </c>
      <c r="D28">
        <v>9.9511670064532057E-2</v>
      </c>
      <c r="E28">
        <v>1.8795873224594587E-2</v>
      </c>
      <c r="F28">
        <v>181137.16161616164</v>
      </c>
      <c r="G28">
        <v>0.27000001072883606</v>
      </c>
    </row>
    <row r="29" spans="1:7">
      <c r="A29">
        <v>0.11877009659895997</v>
      </c>
      <c r="B29">
        <v>9.2689641766834655E-2</v>
      </c>
      <c r="C29">
        <v>5.1716554506626919E-2</v>
      </c>
      <c r="D29">
        <v>0.11013933537358467</v>
      </c>
      <c r="E29">
        <v>1.9458094057490927E-2</v>
      </c>
      <c r="F29">
        <v>193371.09090909094</v>
      </c>
      <c r="G29">
        <v>0.2800000011920929</v>
      </c>
    </row>
    <row r="30" spans="1:7">
      <c r="A30">
        <v>0.14411049578834539</v>
      </c>
      <c r="B30">
        <v>9.8986501348524727E-2</v>
      </c>
      <c r="C30">
        <v>7.2320940910050174E-2</v>
      </c>
      <c r="D30">
        <v>0.12618976929482278</v>
      </c>
      <c r="E30">
        <v>2.1196754740800162E-2</v>
      </c>
      <c r="F30">
        <v>205605.02020202018</v>
      </c>
      <c r="G30">
        <v>0.28999999165534973</v>
      </c>
    </row>
    <row r="31" spans="1:7">
      <c r="A31">
        <v>0.1812184405253193</v>
      </c>
      <c r="B31">
        <v>0.12244927344661913</v>
      </c>
      <c r="C31">
        <v>8.630121750052204E-2</v>
      </c>
      <c r="D31">
        <v>0.15771757217537916</v>
      </c>
      <c r="E31">
        <v>2.7783747174530748E-2</v>
      </c>
      <c r="F31">
        <v>217838.94949494948</v>
      </c>
      <c r="G31">
        <v>0.30000001192092896</v>
      </c>
    </row>
    <row r="32" spans="1:7">
      <c r="A32">
        <v>0.20920619729699536</v>
      </c>
      <c r="B32">
        <v>0.14157928753277768</v>
      </c>
      <c r="C32">
        <v>9.6865695070923116E-2</v>
      </c>
      <c r="D32">
        <v>0.16603150856975035</v>
      </c>
      <c r="E32">
        <v>3.199092294602747E-2</v>
      </c>
      <c r="F32">
        <v>230072.87878787878</v>
      </c>
      <c r="G32">
        <v>0.31000000238418579</v>
      </c>
    </row>
    <row r="33" spans="1:7">
      <c r="A33">
        <v>0.24263560976496892</v>
      </c>
      <c r="B33">
        <v>0.15813022694292628</v>
      </c>
      <c r="C33">
        <v>0.11852624997047038</v>
      </c>
      <c r="D33">
        <v>0.1835902207494923</v>
      </c>
      <c r="E33">
        <v>3.4991375492273456E-2</v>
      </c>
      <c r="F33">
        <v>242306.80808080808</v>
      </c>
      <c r="G33">
        <v>0.31999999284744263</v>
      </c>
    </row>
    <row r="34" spans="1:7">
      <c r="A34">
        <v>0.26612833561701704</v>
      </c>
      <c r="B34">
        <v>0.19293079223542545</v>
      </c>
      <c r="C34">
        <v>0.13830129498825772</v>
      </c>
      <c r="D34">
        <v>0.23465179977355238</v>
      </c>
      <c r="E34">
        <v>3.799182803851945E-2</v>
      </c>
      <c r="F34">
        <v>254540.73737373739</v>
      </c>
      <c r="G34">
        <v>0.33000001311302185</v>
      </c>
    </row>
    <row r="35" spans="1:7">
      <c r="A35">
        <v>0.28939973644529871</v>
      </c>
      <c r="B35">
        <v>0.23756091282563213</v>
      </c>
      <c r="C35">
        <v>0.15939690485748131</v>
      </c>
      <c r="D35">
        <v>0.25046915589929908</v>
      </c>
      <c r="E35">
        <v>4.3576776667988329E-2</v>
      </c>
      <c r="F35">
        <v>266774.66666666669</v>
      </c>
      <c r="G35">
        <v>0.34000000357627869</v>
      </c>
    </row>
    <row r="36" spans="1:7">
      <c r="A36">
        <v>0.30894569411676781</v>
      </c>
      <c r="B36">
        <v>0.25278071182813383</v>
      </c>
      <c r="C36">
        <v>0.16880539789119214</v>
      </c>
      <c r="D36">
        <v>0.27408768002541734</v>
      </c>
      <c r="E36">
        <v>6.2475700444469782E-2</v>
      </c>
      <c r="F36">
        <v>279008.59595959599</v>
      </c>
      <c r="G36">
        <v>0.34999999403953552</v>
      </c>
    </row>
    <row r="37" spans="1:7">
      <c r="A37">
        <v>0.32893688821630468</v>
      </c>
      <c r="B37">
        <v>0.28057262433544078</v>
      </c>
      <c r="C37">
        <v>0.22437456710306156</v>
      </c>
      <c r="D37">
        <v>0.29006955587784161</v>
      </c>
      <c r="E37">
        <v>7.1499538369678053E-2</v>
      </c>
      <c r="F37">
        <v>291242.52525252529</v>
      </c>
      <c r="G37">
        <v>0.36000001430511475</v>
      </c>
    </row>
    <row r="38" spans="1:7">
      <c r="A38">
        <v>0.38276406540133112</v>
      </c>
      <c r="B38">
        <v>0.30284456424872247</v>
      </c>
      <c r="C38">
        <v>0.24203364621475901</v>
      </c>
      <c r="D38">
        <v>0.30935720301076969</v>
      </c>
      <c r="E38">
        <v>8.6947323713050334E-2</v>
      </c>
      <c r="F38">
        <v>303476.45454545459</v>
      </c>
      <c r="G38">
        <v>0.37000000476837158</v>
      </c>
    </row>
    <row r="39" spans="1:7">
      <c r="A39">
        <v>0.40155903130760667</v>
      </c>
      <c r="B39">
        <v>0.30871424465866998</v>
      </c>
      <c r="C39">
        <v>0.25407098670021827</v>
      </c>
      <c r="D39">
        <v>0.32735064029019784</v>
      </c>
      <c r="E39">
        <v>0.11196853923412731</v>
      </c>
      <c r="F39">
        <v>315710.38383838383</v>
      </c>
      <c r="G39">
        <v>0.37999999523162842</v>
      </c>
    </row>
    <row r="40" spans="1:7">
      <c r="A40">
        <v>0.45932611127232287</v>
      </c>
      <c r="B40">
        <v>0.35516269206559942</v>
      </c>
      <c r="C40">
        <v>0.29608482387897544</v>
      </c>
      <c r="D40">
        <v>0.35778327501746687</v>
      </c>
      <c r="E40">
        <v>0.14621606270799459</v>
      </c>
      <c r="F40">
        <v>327944.31313131313</v>
      </c>
      <c r="G40">
        <v>0.38999998569488525</v>
      </c>
    </row>
    <row r="41" spans="1:7">
      <c r="A41">
        <v>0.52571513319172247</v>
      </c>
      <c r="B41">
        <v>0.40262777351405671</v>
      </c>
      <c r="C41">
        <v>0.30448100590924798</v>
      </c>
      <c r="D41">
        <v>0.41507315863439703</v>
      </c>
      <c r="E41">
        <v>0.16331739908196377</v>
      </c>
      <c r="F41">
        <v>340178.24242424243</v>
      </c>
      <c r="G41">
        <v>0.40000000596046448</v>
      </c>
    </row>
    <row r="42" spans="1:7">
      <c r="A42">
        <v>0.60705416899770792</v>
      </c>
      <c r="B42">
        <v>0.43322110177262885</v>
      </c>
      <c r="C42">
        <v>0.30986850390678133</v>
      </c>
      <c r="D42">
        <v>0.4504118003787162</v>
      </c>
      <c r="E42">
        <v>0.17180803917438983</v>
      </c>
      <c r="F42">
        <v>352412.17171717173</v>
      </c>
      <c r="G42">
        <v>0.40999999642372131</v>
      </c>
    </row>
    <row r="43" spans="1:7">
      <c r="A43">
        <v>0.66318156984638954</v>
      </c>
      <c r="B43">
        <v>0.47769069791438051</v>
      </c>
      <c r="C43">
        <v>0.35537831301580536</v>
      </c>
      <c r="D43">
        <v>0.50808689327826695</v>
      </c>
      <c r="E43">
        <v>0.1847292476104897</v>
      </c>
      <c r="F43">
        <v>364646.10101010103</v>
      </c>
      <c r="G43">
        <v>0.41999998688697815</v>
      </c>
    </row>
    <row r="44" spans="1:7">
      <c r="A44">
        <v>0.68467415661795639</v>
      </c>
      <c r="B44">
        <v>0.54862745458320905</v>
      </c>
      <c r="C44">
        <v>0.39586140740498743</v>
      </c>
      <c r="D44">
        <v>0.52911758056292524</v>
      </c>
      <c r="E44">
        <v>0.20201581691282819</v>
      </c>
      <c r="F44">
        <v>376880.03030303033</v>
      </c>
      <c r="G44">
        <v>0.43000000715255737</v>
      </c>
    </row>
    <row r="45" spans="1:7">
      <c r="A45">
        <v>0.69538296381180742</v>
      </c>
      <c r="B45">
        <v>0.62017074778922232</v>
      </c>
      <c r="C45">
        <v>0.4196076496479586</v>
      </c>
      <c r="D45">
        <v>0.61144406598767209</v>
      </c>
      <c r="E45">
        <v>0.22213087509570725</v>
      </c>
      <c r="F45">
        <v>389113.95959595963</v>
      </c>
      <c r="G45">
        <v>0.43999999761581421</v>
      </c>
    </row>
    <row r="46" spans="1:7">
      <c r="A46">
        <v>0.73245068135819114</v>
      </c>
      <c r="B46">
        <v>0.64742228000014745</v>
      </c>
      <c r="C46">
        <v>0.46950421496362565</v>
      </c>
      <c r="D46">
        <v>0.63600376074031939</v>
      </c>
      <c r="E46">
        <v>0.24592914406691799</v>
      </c>
      <c r="F46">
        <v>401347.88888888888</v>
      </c>
      <c r="G46">
        <v>0.44999998807907104</v>
      </c>
    </row>
    <row r="47" spans="1:7">
      <c r="A47">
        <v>0.77013789647519448</v>
      </c>
      <c r="B47">
        <v>0.68438870789989492</v>
      </c>
      <c r="C47">
        <v>0.51872917232312898</v>
      </c>
      <c r="D47">
        <v>0.66639596814055846</v>
      </c>
      <c r="E47">
        <v>0.26623789281035948</v>
      </c>
      <c r="F47">
        <v>413581.81818181823</v>
      </c>
      <c r="G47">
        <v>0.46000000834465027</v>
      </c>
    </row>
    <row r="48" spans="1:7">
      <c r="A48">
        <v>0.77715514917274309</v>
      </c>
      <c r="B48">
        <v>0.69908923506017218</v>
      </c>
      <c r="C48">
        <v>0.60187607483111816</v>
      </c>
      <c r="D48">
        <v>0.69191005399206962</v>
      </c>
      <c r="E48">
        <v>0.27448773334057375</v>
      </c>
      <c r="F48">
        <v>425815.74747474748</v>
      </c>
      <c r="G48">
        <v>0.4699999988079071</v>
      </c>
    </row>
    <row r="49" spans="1:7">
      <c r="A49">
        <v>0.81394907669646266</v>
      </c>
      <c r="B49">
        <v>0.74225858553432056</v>
      </c>
      <c r="C49">
        <v>0.63887942357994087</v>
      </c>
      <c r="D49">
        <v>0.70226813140381672</v>
      </c>
      <c r="E49">
        <v>0.28783555452104193</v>
      </c>
      <c r="F49">
        <v>438049.67676767684</v>
      </c>
      <c r="G49">
        <v>0.47999998927116394</v>
      </c>
    </row>
    <row r="50" spans="1:7">
      <c r="A50">
        <v>0.84445094131015797</v>
      </c>
      <c r="B50">
        <v>0.77021875041992005</v>
      </c>
      <c r="C50">
        <v>0.66970273408390357</v>
      </c>
      <c r="D50">
        <v>0.72823394536807617</v>
      </c>
      <c r="E50">
        <v>0.31624842609840903</v>
      </c>
      <c r="F50">
        <v>450283.60606060608</v>
      </c>
      <c r="G50">
        <v>0.49000000953674316</v>
      </c>
    </row>
    <row r="51" spans="1:7">
      <c r="A51">
        <v>0.86712686866358424</v>
      </c>
      <c r="B51">
        <v>0.77762947110332092</v>
      </c>
      <c r="C51">
        <v>0.69571787936129337</v>
      </c>
      <c r="D51">
        <v>0.76375972726582486</v>
      </c>
      <c r="E51">
        <v>0.34639136409886989</v>
      </c>
      <c r="F51">
        <v>462517.53535353532</v>
      </c>
      <c r="G51">
        <v>0.5</v>
      </c>
    </row>
    <row r="52" spans="1:7">
      <c r="A52">
        <v>0.87682955712577326</v>
      </c>
      <c r="B52">
        <v>0.8088404431711167</v>
      </c>
      <c r="C52">
        <v>0.72205778761915773</v>
      </c>
      <c r="D52">
        <v>0.77955568530780373</v>
      </c>
      <c r="E52">
        <v>0.36169014116628195</v>
      </c>
      <c r="F52">
        <v>474751.46464646468</v>
      </c>
      <c r="G52">
        <v>0.50999999046325684</v>
      </c>
    </row>
    <row r="53" spans="1:7">
      <c r="A53">
        <v>0.88735447291759428</v>
      </c>
      <c r="B53">
        <v>0.84367438431751096</v>
      </c>
      <c r="C53">
        <v>0.74882645199216369</v>
      </c>
      <c r="D53">
        <v>0.8040038168807857</v>
      </c>
      <c r="E53">
        <v>0.38514816019842302</v>
      </c>
      <c r="F53">
        <v>486985.39393939392</v>
      </c>
      <c r="G53">
        <v>0.51999998092651367</v>
      </c>
    </row>
    <row r="54" spans="1:7">
      <c r="A54">
        <v>0.92054239463428489</v>
      </c>
      <c r="B54">
        <v>0.85625395066699639</v>
      </c>
      <c r="C54">
        <v>0.77640313561700247</v>
      </c>
      <c r="D54">
        <v>0.85007077288277921</v>
      </c>
      <c r="E54">
        <v>0.42692991238844746</v>
      </c>
      <c r="F54">
        <v>499219.32323232328</v>
      </c>
      <c r="G54">
        <v>0.52999997138977051</v>
      </c>
    </row>
    <row r="55" spans="1:7">
      <c r="A55">
        <v>0.92642370416063791</v>
      </c>
      <c r="B55">
        <v>0.8690167990444807</v>
      </c>
      <c r="C55">
        <v>0.79850620301578157</v>
      </c>
      <c r="D55">
        <v>0.8558073577830263</v>
      </c>
      <c r="E55">
        <v>0.43956791694638764</v>
      </c>
      <c r="F55">
        <v>511453.25252525252</v>
      </c>
      <c r="G55">
        <v>0.54000002145767212</v>
      </c>
    </row>
    <row r="56" spans="1:7">
      <c r="A56">
        <v>0.94541368795103153</v>
      </c>
      <c r="B56">
        <v>0.88511009721345113</v>
      </c>
      <c r="C56">
        <v>0.81156606284468158</v>
      </c>
      <c r="D56">
        <v>0.8693562822172145</v>
      </c>
      <c r="E56">
        <v>0.47086159851088288</v>
      </c>
      <c r="F56">
        <v>523687.18181818188</v>
      </c>
      <c r="G56">
        <v>0.55000001192092896</v>
      </c>
    </row>
    <row r="57" spans="1:7">
      <c r="A57">
        <v>0.95563842647539188</v>
      </c>
      <c r="B57">
        <v>0.91164276883564843</v>
      </c>
      <c r="C57">
        <v>0.8349582426647042</v>
      </c>
      <c r="D57">
        <v>0.9006724995052402</v>
      </c>
      <c r="E57">
        <v>0.53144494514132623</v>
      </c>
      <c r="F57">
        <v>535921.11111111112</v>
      </c>
      <c r="G57">
        <v>0.56000000238418579</v>
      </c>
    </row>
    <row r="58" spans="1:7">
      <c r="A58">
        <v>0.96204422642574383</v>
      </c>
      <c r="B58">
        <v>0.92443848577797583</v>
      </c>
      <c r="C58">
        <v>0.84914823669214934</v>
      </c>
      <c r="D58">
        <v>0.90770920582601922</v>
      </c>
      <c r="E58">
        <v>0.59072446054373118</v>
      </c>
      <c r="F58">
        <v>548155.04040404037</v>
      </c>
      <c r="G58">
        <v>0.56999999284744263</v>
      </c>
    </row>
    <row r="59" spans="1:7">
      <c r="A59">
        <v>0.96931849994197505</v>
      </c>
      <c r="B59">
        <v>0.93132980166512092</v>
      </c>
      <c r="C59">
        <v>0.86189401862090764</v>
      </c>
      <c r="D59">
        <v>0.92031881641411772</v>
      </c>
      <c r="E59">
        <v>0.62178460424830528</v>
      </c>
      <c r="F59">
        <v>560388.96969696973</v>
      </c>
      <c r="G59">
        <v>0.57999998331069946</v>
      </c>
    </row>
    <row r="60" spans="1:7">
      <c r="A60">
        <v>0.98197780889518027</v>
      </c>
      <c r="B60">
        <v>0.95165879326340019</v>
      </c>
      <c r="C60">
        <v>0.87625949650149226</v>
      </c>
      <c r="D60">
        <v>0.92538536830045515</v>
      </c>
      <c r="E60">
        <v>0.63162089453492298</v>
      </c>
      <c r="F60">
        <v>572622.89898989897</v>
      </c>
      <c r="G60">
        <v>0.5899999737739563</v>
      </c>
    </row>
    <row r="61" spans="1:7">
      <c r="A61">
        <v>0.98962174422894589</v>
      </c>
      <c r="B61">
        <v>0.95722930883411583</v>
      </c>
      <c r="C61">
        <v>0.88810398889640885</v>
      </c>
      <c r="D61">
        <v>0.93662079559062805</v>
      </c>
      <c r="E61">
        <v>0.65431745645149786</v>
      </c>
      <c r="F61">
        <v>584856.82828282833</v>
      </c>
      <c r="G61">
        <v>0.60000002384185791</v>
      </c>
    </row>
    <row r="62" spans="1:7">
      <c r="A62">
        <v>0.99123272751020397</v>
      </c>
      <c r="B62">
        <v>0.96404574328925241</v>
      </c>
      <c r="C62">
        <v>0.91228985810945973</v>
      </c>
      <c r="D62">
        <v>0.95538320849031499</v>
      </c>
      <c r="E62">
        <v>0.67553148817849895</v>
      </c>
      <c r="F62">
        <v>597090.75757575757</v>
      </c>
      <c r="G62">
        <v>0.61000001430511475</v>
      </c>
    </row>
    <row r="63" spans="1:7">
      <c r="A63">
        <v>0.99252962324593463</v>
      </c>
      <c r="B63">
        <v>0.98072690533542617</v>
      </c>
      <c r="C63">
        <v>0.92393231086642713</v>
      </c>
      <c r="D63">
        <v>0.96545264371720219</v>
      </c>
      <c r="E63">
        <v>0.70783211135117097</v>
      </c>
      <c r="F63">
        <v>609324.68686868693</v>
      </c>
      <c r="G63">
        <v>0.62000000476837158</v>
      </c>
    </row>
    <row r="64" spans="1:7">
      <c r="A64">
        <v>0.99382651898166541</v>
      </c>
      <c r="B64">
        <v>0.98451727898508934</v>
      </c>
      <c r="C64">
        <v>0.94567370437333342</v>
      </c>
      <c r="D64">
        <v>0.98042609796453395</v>
      </c>
      <c r="E64">
        <v>0.75063421031997402</v>
      </c>
      <c r="F64">
        <v>621558.61616161617</v>
      </c>
      <c r="G64">
        <v>0.62999999523162842</v>
      </c>
    </row>
    <row r="65" spans="1:7">
      <c r="A65">
        <v>0.99512341471739607</v>
      </c>
      <c r="B65">
        <v>0.9883076526347524</v>
      </c>
      <c r="C65">
        <v>0.95338485359242786</v>
      </c>
      <c r="D65">
        <v>0.98618147053369198</v>
      </c>
      <c r="E65">
        <v>0.77837102735344721</v>
      </c>
      <c r="F65">
        <v>633792.54545454553</v>
      </c>
      <c r="G65">
        <v>0.63999998569488525</v>
      </c>
    </row>
    <row r="66" spans="1:7">
      <c r="A66">
        <v>0.99642031045312685</v>
      </c>
      <c r="B66">
        <v>0.99077841785010157</v>
      </c>
      <c r="C66">
        <v>0.95815151831533596</v>
      </c>
      <c r="D66">
        <v>0.99040521859256603</v>
      </c>
      <c r="E66">
        <v>0.80461991199257921</v>
      </c>
      <c r="F66">
        <v>646026.47474747477</v>
      </c>
      <c r="G66">
        <v>0.64999997615814209</v>
      </c>
    </row>
    <row r="67" spans="1:7">
      <c r="A67">
        <v>0.99771720618885751</v>
      </c>
      <c r="B67">
        <v>0.99218472614716624</v>
      </c>
      <c r="C67">
        <v>0.96557483672210553</v>
      </c>
      <c r="D67">
        <v>0.99160931228727867</v>
      </c>
      <c r="E67">
        <v>0.81255313080727809</v>
      </c>
      <c r="F67">
        <v>658260.40404040401</v>
      </c>
      <c r="G67">
        <v>0.6600000262260437</v>
      </c>
    </row>
    <row r="68" spans="1:7">
      <c r="A68">
        <v>0.99901410192458828</v>
      </c>
      <c r="B68">
        <v>0.99359103444423102</v>
      </c>
      <c r="C68">
        <v>0.97760290154693452</v>
      </c>
      <c r="D68">
        <v>0.9928134059819913</v>
      </c>
      <c r="E68">
        <v>0.81785955209168337</v>
      </c>
      <c r="F68">
        <v>670494.33333333337</v>
      </c>
      <c r="G68">
        <v>0.67000001668930054</v>
      </c>
    </row>
    <row r="69" spans="1:7">
      <c r="A69">
        <v>1</v>
      </c>
      <c r="B69">
        <v>0.9949973427412957</v>
      </c>
      <c r="C69">
        <v>0.98227668510303678</v>
      </c>
      <c r="D69">
        <v>0.99401749967670405</v>
      </c>
      <c r="E69">
        <v>0.82184762058504002</v>
      </c>
      <c r="F69">
        <v>682728.26262626261</v>
      </c>
      <c r="G69">
        <v>0.68000000715255737</v>
      </c>
    </row>
    <row r="70" spans="1:7">
      <c r="A70">
        <v>1</v>
      </c>
      <c r="B70">
        <v>0.99640365103836048</v>
      </c>
      <c r="C70">
        <v>0.98499370569616873</v>
      </c>
      <c r="D70">
        <v>0.99522159337141669</v>
      </c>
      <c r="E70">
        <v>0.82494438351953525</v>
      </c>
      <c r="F70">
        <v>694962.19191919197</v>
      </c>
      <c r="G70">
        <v>0.68999999761581421</v>
      </c>
    </row>
    <row r="71" spans="1:7">
      <c r="A71">
        <v>1</v>
      </c>
      <c r="B71">
        <v>0.99780995933542516</v>
      </c>
      <c r="C71">
        <v>0.98771072628930068</v>
      </c>
      <c r="D71">
        <v>0.99642568706612933</v>
      </c>
      <c r="E71">
        <v>0.82804114645403049</v>
      </c>
      <c r="F71">
        <v>707196.12121212122</v>
      </c>
      <c r="G71">
        <v>0.69999998807907104</v>
      </c>
    </row>
    <row r="72" spans="1:7">
      <c r="A72">
        <v>1</v>
      </c>
      <c r="B72">
        <v>0.99921626763248994</v>
      </c>
      <c r="C72">
        <v>0.99021979964384721</v>
      </c>
      <c r="D72">
        <v>0.99762978076084208</v>
      </c>
      <c r="E72">
        <v>0.83405650088990935</v>
      </c>
      <c r="F72">
        <v>719430.05050505057</v>
      </c>
      <c r="G72">
        <v>0.70999997854232788</v>
      </c>
    </row>
    <row r="73" spans="1:7">
      <c r="A73">
        <v>1</v>
      </c>
      <c r="B73">
        <v>1</v>
      </c>
      <c r="C73">
        <v>0.99161592334729853</v>
      </c>
      <c r="D73">
        <v>0.99883387445555472</v>
      </c>
      <c r="E73">
        <v>0.86842014944902712</v>
      </c>
      <c r="F73">
        <v>731663.97979797982</v>
      </c>
      <c r="G73">
        <v>0.72000002861022949</v>
      </c>
    </row>
    <row r="74" spans="1:7">
      <c r="A74">
        <v>1</v>
      </c>
      <c r="B74">
        <v>1</v>
      </c>
      <c r="C74">
        <v>0.99301204705074986</v>
      </c>
      <c r="D74">
        <v>1</v>
      </c>
      <c r="E74">
        <v>0.88390953125547522</v>
      </c>
      <c r="F74">
        <v>743897.90909090918</v>
      </c>
      <c r="G74">
        <v>0.73000001907348633</v>
      </c>
    </row>
    <row r="75" spans="1:7">
      <c r="A75">
        <v>1</v>
      </c>
      <c r="B75">
        <v>1</v>
      </c>
      <c r="C75">
        <v>0.99440817075420107</v>
      </c>
      <c r="D75">
        <v>1</v>
      </c>
      <c r="E75">
        <v>0.89172233080288898</v>
      </c>
      <c r="F75">
        <v>756131.83838383842</v>
      </c>
      <c r="G75">
        <v>0.74000000953674316</v>
      </c>
    </row>
    <row r="76" spans="1:7">
      <c r="A76">
        <v>1</v>
      </c>
      <c r="B76">
        <v>1</v>
      </c>
      <c r="C76">
        <v>0.99580429445765239</v>
      </c>
      <c r="D76">
        <v>1</v>
      </c>
      <c r="E76">
        <v>0.89540247279510443</v>
      </c>
      <c r="F76">
        <v>768365.76767676766</v>
      </c>
      <c r="G76">
        <v>0.75</v>
      </c>
    </row>
    <row r="77" spans="1:7">
      <c r="A77">
        <v>1</v>
      </c>
      <c r="B77">
        <v>1</v>
      </c>
      <c r="C77">
        <v>0.99720041816110372</v>
      </c>
      <c r="D77">
        <v>1</v>
      </c>
      <c r="E77">
        <v>0.89908261478731988</v>
      </c>
      <c r="F77">
        <v>780599.69696969702</v>
      </c>
      <c r="G77">
        <v>0.75999999046325684</v>
      </c>
    </row>
    <row r="78" spans="1:7">
      <c r="A78">
        <v>1</v>
      </c>
      <c r="B78">
        <v>1</v>
      </c>
      <c r="C78">
        <v>0.99859654186455493</v>
      </c>
      <c r="D78">
        <v>1</v>
      </c>
      <c r="E78">
        <v>0.90720189040436727</v>
      </c>
      <c r="F78">
        <v>792833.62626262626</v>
      </c>
      <c r="G78">
        <v>0.76999998092651367</v>
      </c>
    </row>
    <row r="79" spans="1:7">
      <c r="A79">
        <v>1</v>
      </c>
      <c r="B79">
        <v>1</v>
      </c>
      <c r="C79">
        <v>0.99999266556800626</v>
      </c>
      <c r="D79">
        <v>1</v>
      </c>
      <c r="E79">
        <v>0.93121110831730625</v>
      </c>
      <c r="F79">
        <v>805067.55555555562</v>
      </c>
      <c r="G79">
        <v>0.77999997138977051</v>
      </c>
    </row>
    <row r="80" spans="1:7">
      <c r="A80">
        <v>1</v>
      </c>
      <c r="B80">
        <v>1</v>
      </c>
      <c r="C80">
        <v>1</v>
      </c>
      <c r="D80">
        <v>1</v>
      </c>
      <c r="E80">
        <v>0.93956889516332276</v>
      </c>
      <c r="F80">
        <v>817301.48484848486</v>
      </c>
      <c r="G80">
        <v>0.79000002145767212</v>
      </c>
    </row>
    <row r="81" spans="1:7">
      <c r="A81">
        <v>1</v>
      </c>
      <c r="B81">
        <v>1</v>
      </c>
      <c r="C81">
        <v>1</v>
      </c>
      <c r="D81">
        <v>1</v>
      </c>
      <c r="E81">
        <v>0.94690491854257886</v>
      </c>
      <c r="F81">
        <v>829535.41414141422</v>
      </c>
      <c r="G81">
        <v>0.80000001192092896</v>
      </c>
    </row>
    <row r="82" spans="1:7">
      <c r="A82">
        <v>1</v>
      </c>
      <c r="B82">
        <v>1</v>
      </c>
      <c r="C82">
        <v>1</v>
      </c>
      <c r="D82">
        <v>1</v>
      </c>
      <c r="E82">
        <v>0.95770723291823101</v>
      </c>
      <c r="F82">
        <v>841769.34343434346</v>
      </c>
      <c r="G82">
        <v>0.81000000238418579</v>
      </c>
    </row>
    <row r="83" spans="1:7">
      <c r="A83">
        <v>1</v>
      </c>
      <c r="B83">
        <v>1</v>
      </c>
      <c r="C83">
        <v>1</v>
      </c>
      <c r="D83">
        <v>1</v>
      </c>
      <c r="E83">
        <v>0.96864521284871263</v>
      </c>
      <c r="F83">
        <v>854003.27272727271</v>
      </c>
      <c r="G83">
        <v>0.81999999284744263</v>
      </c>
    </row>
    <row r="84" spans="1:7">
      <c r="A84">
        <v>1</v>
      </c>
      <c r="B84">
        <v>1</v>
      </c>
      <c r="C84">
        <v>1</v>
      </c>
      <c r="D84">
        <v>1</v>
      </c>
      <c r="E84">
        <v>0.97282908477125463</v>
      </c>
      <c r="F84">
        <v>866237.20202020206</v>
      </c>
      <c r="G84">
        <v>0.82999998331069946</v>
      </c>
    </row>
    <row r="85" spans="1:7">
      <c r="A85">
        <v>1</v>
      </c>
      <c r="B85">
        <v>1</v>
      </c>
      <c r="C85">
        <v>1</v>
      </c>
      <c r="D85">
        <v>1</v>
      </c>
      <c r="E85">
        <v>0.97608054569907032</v>
      </c>
      <c r="F85">
        <v>878471.13131313131</v>
      </c>
      <c r="G85">
        <v>0.8399999737739563</v>
      </c>
    </row>
    <row r="86" spans="1:7">
      <c r="A86">
        <v>1</v>
      </c>
      <c r="B86">
        <v>1</v>
      </c>
      <c r="C86">
        <v>1</v>
      </c>
      <c r="D86">
        <v>1</v>
      </c>
      <c r="E86">
        <v>0.97933200662688613</v>
      </c>
      <c r="F86">
        <v>890705.06060606067</v>
      </c>
      <c r="G86">
        <v>0.85000002384185791</v>
      </c>
    </row>
    <row r="87" spans="1:7">
      <c r="A87">
        <v>1</v>
      </c>
      <c r="B87">
        <v>1</v>
      </c>
      <c r="C87">
        <v>1</v>
      </c>
      <c r="D87">
        <v>1</v>
      </c>
      <c r="E87">
        <v>0.98116428754655971</v>
      </c>
      <c r="F87">
        <v>902938.98989898991</v>
      </c>
      <c r="G87">
        <v>0.86000001430511475</v>
      </c>
    </row>
    <row r="88" spans="1:7">
      <c r="A88">
        <v>1</v>
      </c>
      <c r="B88">
        <v>1</v>
      </c>
      <c r="C88">
        <v>1</v>
      </c>
      <c r="D88">
        <v>1</v>
      </c>
      <c r="E88">
        <v>0.98262960550324074</v>
      </c>
      <c r="F88">
        <v>915172.91919191927</v>
      </c>
      <c r="G88">
        <v>0.87000000476837158</v>
      </c>
    </row>
    <row r="89" spans="1:7">
      <c r="A89">
        <v>1</v>
      </c>
      <c r="B89">
        <v>1</v>
      </c>
      <c r="C89">
        <v>1</v>
      </c>
      <c r="D89">
        <v>1</v>
      </c>
      <c r="E89">
        <v>0.98409492345992189</v>
      </c>
      <c r="F89">
        <v>927406.84848484863</v>
      </c>
      <c r="G89">
        <v>0.87999999523162842</v>
      </c>
    </row>
    <row r="90" spans="1:7">
      <c r="A90">
        <v>1</v>
      </c>
      <c r="B90">
        <v>1</v>
      </c>
      <c r="C90">
        <v>1</v>
      </c>
      <c r="D90">
        <v>1</v>
      </c>
      <c r="E90">
        <v>0.98556024141660303</v>
      </c>
      <c r="F90">
        <v>939640.77777777775</v>
      </c>
      <c r="G90">
        <v>0.88999998569488525</v>
      </c>
    </row>
    <row r="91" spans="1:7">
      <c r="A91">
        <v>1</v>
      </c>
      <c r="B91">
        <v>1</v>
      </c>
      <c r="C91">
        <v>1</v>
      </c>
      <c r="D91">
        <v>1</v>
      </c>
      <c r="E91">
        <v>0.98702555937328407</v>
      </c>
      <c r="F91">
        <v>951874.70707070711</v>
      </c>
      <c r="G91">
        <v>0.89999997615814209</v>
      </c>
    </row>
    <row r="92" spans="1:7">
      <c r="A92">
        <v>1</v>
      </c>
      <c r="B92">
        <v>1</v>
      </c>
      <c r="C92">
        <v>1</v>
      </c>
      <c r="D92">
        <v>1</v>
      </c>
      <c r="E92">
        <v>0.98849087732996521</v>
      </c>
      <c r="F92">
        <v>964108.63636363647</v>
      </c>
      <c r="G92">
        <v>0.9100000262260437</v>
      </c>
    </row>
    <row r="93" spans="1:7">
      <c r="A93">
        <v>1</v>
      </c>
      <c r="B93">
        <v>1</v>
      </c>
      <c r="C93">
        <v>1</v>
      </c>
      <c r="D93">
        <v>1</v>
      </c>
      <c r="E93">
        <v>0.98995619528664636</v>
      </c>
      <c r="F93">
        <v>976342.5656565656</v>
      </c>
      <c r="G93">
        <v>0.92000001668930054</v>
      </c>
    </row>
    <row r="94" spans="1:7">
      <c r="A94">
        <v>1</v>
      </c>
      <c r="B94">
        <v>1</v>
      </c>
      <c r="C94">
        <v>1</v>
      </c>
      <c r="D94">
        <v>1</v>
      </c>
      <c r="E94">
        <v>0.99121718512988832</v>
      </c>
      <c r="F94">
        <v>988576.49494949495</v>
      </c>
      <c r="G94">
        <v>0.93000000715255737</v>
      </c>
    </row>
    <row r="95" spans="1:7">
      <c r="A95">
        <v>1</v>
      </c>
      <c r="B95">
        <v>1</v>
      </c>
      <c r="C95">
        <v>1</v>
      </c>
      <c r="D95">
        <v>1</v>
      </c>
      <c r="E95">
        <v>0.99247187707673901</v>
      </c>
      <c r="F95">
        <v>1000810.4242424243</v>
      </c>
      <c r="G95">
        <v>0.93999999761581421</v>
      </c>
    </row>
    <row r="96" spans="1:7">
      <c r="A96">
        <v>1</v>
      </c>
      <c r="B96">
        <v>1</v>
      </c>
      <c r="C96">
        <v>1</v>
      </c>
      <c r="D96">
        <v>1</v>
      </c>
      <c r="E96">
        <v>0.99372656902358958</v>
      </c>
      <c r="F96">
        <v>1013044.3535353537</v>
      </c>
      <c r="G96">
        <v>0.94999998807907104</v>
      </c>
    </row>
    <row r="97" spans="1:7">
      <c r="A97">
        <v>1</v>
      </c>
      <c r="B97">
        <v>1</v>
      </c>
      <c r="C97">
        <v>1</v>
      </c>
      <c r="D97">
        <v>1</v>
      </c>
      <c r="E97">
        <v>0.99498126097044026</v>
      </c>
      <c r="F97">
        <v>1025278.2828282828</v>
      </c>
      <c r="G97">
        <v>0.95999997854232788</v>
      </c>
    </row>
    <row r="98" spans="1:7">
      <c r="A98">
        <v>1</v>
      </c>
      <c r="B98">
        <v>1</v>
      </c>
      <c r="C98">
        <v>1</v>
      </c>
      <c r="D98">
        <v>1</v>
      </c>
      <c r="E98">
        <v>0.99623595291729083</v>
      </c>
      <c r="F98">
        <v>1037512.2121212122</v>
      </c>
      <c r="G98">
        <v>0.97000002861022949</v>
      </c>
    </row>
    <row r="99" spans="1:7">
      <c r="A99">
        <v>1</v>
      </c>
      <c r="B99">
        <v>1</v>
      </c>
      <c r="C99">
        <v>1</v>
      </c>
      <c r="D99">
        <v>1</v>
      </c>
      <c r="E99">
        <v>0.99749064486414152</v>
      </c>
      <c r="F99">
        <v>1049746.1414141415</v>
      </c>
      <c r="G99">
        <v>0.98000001907348633</v>
      </c>
    </row>
    <row r="100" spans="1:7">
      <c r="A100">
        <v>1</v>
      </c>
      <c r="B100">
        <v>1</v>
      </c>
      <c r="C100">
        <v>1</v>
      </c>
      <c r="D100">
        <v>1</v>
      </c>
      <c r="E100">
        <v>0.99874533681099209</v>
      </c>
      <c r="F100">
        <v>1061980.0707070706</v>
      </c>
      <c r="G100">
        <v>0.99000000953674316</v>
      </c>
    </row>
    <row r="101" spans="1:7">
      <c r="A101">
        <v>1</v>
      </c>
      <c r="B101">
        <v>1</v>
      </c>
      <c r="C101">
        <v>1</v>
      </c>
      <c r="D101">
        <v>1</v>
      </c>
      <c r="E101">
        <v>1</v>
      </c>
      <c r="F101">
        <v>1074214</v>
      </c>
      <c r="G101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E16"/>
  <sheetViews>
    <sheetView workbookViewId="0"/>
  </sheetViews>
  <sheetFormatPr defaultRowHeight="12"/>
  <sheetData>
    <row r="1" spans="1:5">
      <c r="A1" t="s">
        <v>16</v>
      </c>
      <c r="B1" t="s">
        <v>6</v>
      </c>
      <c r="C1" t="s">
        <v>7</v>
      </c>
      <c r="D1" t="s">
        <v>13</v>
      </c>
    </row>
    <row r="2" spans="1:5">
      <c r="A2">
        <v>0</v>
      </c>
      <c r="B2">
        <v>0</v>
      </c>
      <c r="C2">
        <v>0</v>
      </c>
      <c r="D2">
        <v>1</v>
      </c>
      <c r="E2">
        <v>7.6923076923076927E-2</v>
      </c>
    </row>
    <row r="3" spans="1:5">
      <c r="A3">
        <v>0</v>
      </c>
      <c r="B3">
        <v>0</v>
      </c>
      <c r="C3">
        <v>0</v>
      </c>
      <c r="D3">
        <v>1.3333333333333333</v>
      </c>
      <c r="E3">
        <v>0.15384615384615385</v>
      </c>
    </row>
    <row r="4" spans="1:5">
      <c r="A4">
        <v>0.10606060606060605</v>
      </c>
      <c r="B4">
        <v>0</v>
      </c>
      <c r="C4">
        <v>0.14607614607614605</v>
      </c>
      <c r="D4">
        <v>1.6666666666666665</v>
      </c>
      <c r="E4">
        <v>0.23076923076923078</v>
      </c>
    </row>
    <row r="5" spans="1:5">
      <c r="A5">
        <v>0.22269128921974962</v>
      </c>
      <c r="B5">
        <v>0</v>
      </c>
      <c r="C5">
        <v>0.35069868403201737</v>
      </c>
      <c r="D5">
        <v>2</v>
      </c>
      <c r="E5">
        <v>0.30769230769230771</v>
      </c>
    </row>
    <row r="6" spans="1:5">
      <c r="A6">
        <v>0.51282051282051266</v>
      </c>
      <c r="B6">
        <v>0</v>
      </c>
      <c r="C6">
        <v>0.90598290598290554</v>
      </c>
      <c r="D6">
        <v>2.333333333333333</v>
      </c>
      <c r="E6">
        <v>0.38461538461538464</v>
      </c>
    </row>
    <row r="7" spans="1:5">
      <c r="A7">
        <v>0.90346907993966818</v>
      </c>
      <c r="B7">
        <v>0.31886916502301116</v>
      </c>
      <c r="C7">
        <v>0.95263951734539976</v>
      </c>
      <c r="D7">
        <v>2.6666666666666665</v>
      </c>
      <c r="E7">
        <v>0.46153846153846156</v>
      </c>
    </row>
    <row r="8" spans="1:5">
      <c r="A8">
        <v>0.96516690856313503</v>
      </c>
      <c r="B8">
        <v>0.38461538461538464</v>
      </c>
      <c r="C8">
        <v>0.98280542986425345</v>
      </c>
      <c r="D8">
        <v>3</v>
      </c>
      <c r="E8">
        <v>0.53846153846153844</v>
      </c>
    </row>
    <row r="9" spans="1:5">
      <c r="A9">
        <v>1</v>
      </c>
      <c r="B9">
        <v>0.58547008547008539</v>
      </c>
      <c r="C9">
        <v>1</v>
      </c>
      <c r="D9">
        <v>3.333333333333333</v>
      </c>
      <c r="E9">
        <v>0.61538461538461542</v>
      </c>
    </row>
    <row r="10" spans="1:5">
      <c r="A10">
        <v>1</v>
      </c>
      <c r="B10">
        <v>0.81576448243114885</v>
      </c>
      <c r="C10">
        <v>1</v>
      </c>
      <c r="D10">
        <v>3.6666666666666665</v>
      </c>
      <c r="E10">
        <v>0.69230769230769229</v>
      </c>
    </row>
    <row r="11" spans="1:5">
      <c r="A11">
        <v>1</v>
      </c>
      <c r="B11">
        <v>0.88328912466843501</v>
      </c>
      <c r="C11">
        <v>1</v>
      </c>
      <c r="D11">
        <v>4</v>
      </c>
      <c r="E11">
        <v>0.76923076923076927</v>
      </c>
    </row>
    <row r="12" spans="1:5">
      <c r="A12">
        <v>1</v>
      </c>
      <c r="B12">
        <v>0.93333333333333335</v>
      </c>
      <c r="C12">
        <v>1</v>
      </c>
      <c r="D12">
        <v>4.333333333333333</v>
      </c>
      <c r="E12">
        <v>0.84615384615384615</v>
      </c>
    </row>
    <row r="13" spans="1:5">
      <c r="A13">
        <v>1</v>
      </c>
      <c r="B13">
        <v>1</v>
      </c>
      <c r="C13">
        <v>1</v>
      </c>
      <c r="D13">
        <v>4.6666666666666661</v>
      </c>
      <c r="E13">
        <v>0.92307692307692313</v>
      </c>
    </row>
    <row r="14" spans="1:5">
      <c r="A14">
        <v>1</v>
      </c>
      <c r="B14">
        <v>1</v>
      </c>
      <c r="C14">
        <v>1</v>
      </c>
      <c r="D14">
        <v>5</v>
      </c>
      <c r="E14">
        <v>1</v>
      </c>
    </row>
    <row r="15" spans="1:5">
      <c r="A15">
        <v>30.227040097900002</v>
      </c>
      <c r="B15">
        <v>42.825491627399991</v>
      </c>
      <c r="C15">
        <v>27.667788442900001</v>
      </c>
    </row>
    <row r="16" spans="1:5">
      <c r="A16">
        <v>-10.311218277735913</v>
      </c>
      <c r="B16">
        <v>-9.3702884197592091</v>
      </c>
      <c r="C16">
        <v>-10.516502790864161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E16"/>
  <sheetViews>
    <sheetView workbookViewId="0"/>
  </sheetViews>
  <sheetFormatPr defaultRowHeight="12"/>
  <sheetData>
    <row r="1" spans="1:5">
      <c r="A1" t="s">
        <v>3</v>
      </c>
      <c r="B1" t="s">
        <v>4</v>
      </c>
      <c r="C1" t="s">
        <v>5</v>
      </c>
      <c r="D1" t="s">
        <v>13</v>
      </c>
    </row>
    <row r="2" spans="1:5">
      <c r="A2">
        <v>84.61254935622317</v>
      </c>
      <c r="B2">
        <v>32.748319665541082</v>
      </c>
      <c r="C2">
        <v>55.428262631721154</v>
      </c>
      <c r="D2">
        <v>32</v>
      </c>
      <c r="E2">
        <v>7.6923076923076927E-2</v>
      </c>
    </row>
    <row r="3" spans="1:5">
      <c r="A3">
        <v>100.70516997504808</v>
      </c>
      <c r="B3">
        <v>34.070332769317538</v>
      </c>
      <c r="C3">
        <v>55.614037207054842</v>
      </c>
      <c r="D3">
        <v>40.916666666666664</v>
      </c>
      <c r="E3">
        <v>0.15384615384615385</v>
      </c>
    </row>
    <row r="4" spans="1:5">
      <c r="A4">
        <v>108.58105654567375</v>
      </c>
      <c r="B4">
        <v>34.333379546990628</v>
      </c>
      <c r="C4">
        <v>59.256332320162109</v>
      </c>
      <c r="D4">
        <v>49.833333333333329</v>
      </c>
      <c r="E4">
        <v>0.23076923076923078</v>
      </c>
    </row>
    <row r="5" spans="1:5">
      <c r="A5">
        <v>113.45297330563889</v>
      </c>
      <c r="B5">
        <v>34.427976219883732</v>
      </c>
      <c r="C5">
        <v>59.911619560340959</v>
      </c>
      <c r="D5">
        <v>58.75</v>
      </c>
      <c r="E5">
        <v>0.30769230769230771</v>
      </c>
    </row>
    <row r="6" spans="1:5">
      <c r="A6">
        <v>116.16462652239014</v>
      </c>
      <c r="B6">
        <v>35.812470260070555</v>
      </c>
      <c r="C6">
        <v>63.076576080977006</v>
      </c>
      <c r="D6">
        <v>67.666666666666657</v>
      </c>
      <c r="E6">
        <v>0.38461538461538464</v>
      </c>
    </row>
    <row r="7" spans="1:5">
      <c r="A7">
        <v>118.50322619189868</v>
      </c>
      <c r="B7">
        <v>36.314030543327981</v>
      </c>
      <c r="C7">
        <v>63.778588807785887</v>
      </c>
      <c r="D7">
        <v>76.583333333333329</v>
      </c>
      <c r="E7">
        <v>0.46153846153846156</v>
      </c>
    </row>
    <row r="8" spans="1:5">
      <c r="A8">
        <v>119.3748675751375</v>
      </c>
      <c r="B8">
        <v>37.574566941881173</v>
      </c>
      <c r="C8">
        <v>66.46861444245981</v>
      </c>
      <c r="D8">
        <v>85.5</v>
      </c>
      <c r="E8">
        <v>0.53846153846153844</v>
      </c>
    </row>
    <row r="9" spans="1:5">
      <c r="A9">
        <v>119.84371061255356</v>
      </c>
      <c r="B9">
        <v>37.674233622307625</v>
      </c>
      <c r="C9">
        <v>67.471136879253848</v>
      </c>
      <c r="D9">
        <v>94.416666666666657</v>
      </c>
      <c r="E9">
        <v>0.61538461538461542</v>
      </c>
    </row>
    <row r="10" spans="1:5">
      <c r="A10">
        <v>127.04251220835594</v>
      </c>
      <c r="B10">
        <v>38.213420079091719</v>
      </c>
      <c r="C10">
        <v>67.744353849484085</v>
      </c>
      <c r="D10">
        <v>103.33333333333333</v>
      </c>
      <c r="E10">
        <v>0.69230769230769229</v>
      </c>
    </row>
    <row r="11" spans="1:5">
      <c r="A11">
        <v>127.05148536508675</v>
      </c>
      <c r="B11">
        <v>39.304631857363653</v>
      </c>
      <c r="C11">
        <v>69.395973791662712</v>
      </c>
      <c r="D11">
        <v>112.25</v>
      </c>
      <c r="E11">
        <v>0.76923076923076927</v>
      </c>
    </row>
    <row r="12" spans="1:5">
      <c r="A12">
        <v>131.48019479168113</v>
      </c>
      <c r="B12">
        <v>39.498094688221713</v>
      </c>
      <c r="C12">
        <v>69.545948248322858</v>
      </c>
      <c r="D12">
        <v>121.16666666666666</v>
      </c>
      <c r="E12">
        <v>0.84615384615384615</v>
      </c>
    </row>
    <row r="13" spans="1:5">
      <c r="A13">
        <v>133.29993630486928</v>
      </c>
      <c r="B13">
        <v>39.740031772496344</v>
      </c>
      <c r="C13">
        <v>72.615933609958503</v>
      </c>
      <c r="D13">
        <v>130.08333333333331</v>
      </c>
      <c r="E13">
        <v>0.92307692307692313</v>
      </c>
    </row>
    <row r="14" spans="1:5">
      <c r="A14">
        <v>138.6081880170675</v>
      </c>
      <c r="B14">
        <v>43.265276086073897</v>
      </c>
      <c r="C14">
        <v>72.805427834473477</v>
      </c>
      <c r="D14">
        <v>139</v>
      </c>
      <c r="E14">
        <v>1</v>
      </c>
    </row>
    <row r="15" spans="1:5">
      <c r="A15">
        <v>1538.7204967716241</v>
      </c>
      <c r="B15">
        <v>482.97676405256766</v>
      </c>
      <c r="C15">
        <v>843.11280526365715</v>
      </c>
    </row>
    <row r="16" spans="1:5">
      <c r="A16">
        <v>-4.0206901439049085</v>
      </c>
      <c r="B16">
        <v>-8.9694263496444151</v>
      </c>
      <c r="C16">
        <v>-6.8074548007577977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E16"/>
  <sheetViews>
    <sheetView workbookViewId="0"/>
  </sheetViews>
  <sheetFormatPr defaultRowHeight="12"/>
  <sheetData>
    <row r="1" spans="1:5">
      <c r="A1" t="s">
        <v>3</v>
      </c>
      <c r="B1" t="s">
        <v>4</v>
      </c>
      <c r="C1" t="s">
        <v>5</v>
      </c>
      <c r="D1" t="s">
        <v>13</v>
      </c>
    </row>
    <row r="2" spans="1:5">
      <c r="A2">
        <v>0</v>
      </c>
      <c r="B2">
        <v>0</v>
      </c>
      <c r="C2">
        <v>0</v>
      </c>
      <c r="D2">
        <v>32</v>
      </c>
      <c r="E2">
        <v>7.6923076923076927E-2</v>
      </c>
    </row>
    <row r="3" spans="1:5">
      <c r="A3">
        <v>0</v>
      </c>
      <c r="B3">
        <v>0.94875184612439456</v>
      </c>
      <c r="C3">
        <v>0</v>
      </c>
      <c r="D3">
        <v>40.916666666666664</v>
      </c>
      <c r="E3">
        <v>0.15384615384615385</v>
      </c>
    </row>
    <row r="4" spans="1:5">
      <c r="A4">
        <v>0</v>
      </c>
      <c r="B4">
        <v>1</v>
      </c>
      <c r="C4">
        <v>0</v>
      </c>
      <c r="D4">
        <v>49.833333333333329</v>
      </c>
      <c r="E4">
        <v>0.23076923076923078</v>
      </c>
    </row>
    <row r="5" spans="1:5">
      <c r="A5">
        <v>0</v>
      </c>
      <c r="B5">
        <v>1</v>
      </c>
      <c r="C5">
        <v>0.22007579742487926</v>
      </c>
      <c r="D5">
        <v>58.75</v>
      </c>
      <c r="E5">
        <v>0.30769230769230771</v>
      </c>
    </row>
    <row r="6" spans="1:5">
      <c r="A6">
        <v>0</v>
      </c>
      <c r="B6">
        <v>35.812470260070555</v>
      </c>
      <c r="C6">
        <v>0.67043519611989588</v>
      </c>
      <c r="D6">
        <v>67.666666666666657</v>
      </c>
      <c r="E6">
        <v>0.38461538461538464</v>
      </c>
    </row>
    <row r="7" spans="1:5">
      <c r="A7">
        <v>0</v>
      </c>
      <c r="B7">
        <v>36.314030543327981</v>
      </c>
      <c r="C7">
        <v>1</v>
      </c>
      <c r="D7">
        <v>76.583333333333329</v>
      </c>
      <c r="E7">
        <v>0.46153846153846156</v>
      </c>
    </row>
    <row r="8" spans="1:5">
      <c r="A8">
        <v>8.1165110321715764E-2</v>
      </c>
      <c r="B8">
        <v>37.574566941881173</v>
      </c>
      <c r="C8">
        <v>1</v>
      </c>
      <c r="D8">
        <v>85.5</v>
      </c>
      <c r="E8">
        <v>0.53846153846153844</v>
      </c>
    </row>
    <row r="9" spans="1:5">
      <c r="A9">
        <v>0.12378697112014175</v>
      </c>
      <c r="B9">
        <v>37.674233622307625</v>
      </c>
      <c r="C9">
        <v>67.471136879253848</v>
      </c>
      <c r="D9">
        <v>94.416666666666657</v>
      </c>
      <c r="E9">
        <v>0.61538461538461542</v>
      </c>
    </row>
    <row r="10" spans="1:5">
      <c r="A10">
        <v>0.17951518937160177</v>
      </c>
      <c r="B10">
        <v>38.213420079091719</v>
      </c>
      <c r="C10">
        <v>67.744353849484085</v>
      </c>
      <c r="D10">
        <v>103.33333333333333</v>
      </c>
      <c r="E10">
        <v>0.69230769230769229</v>
      </c>
    </row>
    <row r="11" spans="1:5">
      <c r="A11">
        <v>0.28869846754986433</v>
      </c>
      <c r="B11">
        <v>39.304631857363653</v>
      </c>
      <c r="C11">
        <v>69.395973791662712</v>
      </c>
      <c r="D11">
        <v>112.25</v>
      </c>
      <c r="E11">
        <v>0.76923076923076927</v>
      </c>
    </row>
    <row r="12" spans="1:5">
      <c r="A12">
        <v>0.62952111421182733</v>
      </c>
      <c r="B12">
        <v>39.498094688221713</v>
      </c>
      <c r="C12">
        <v>69.545948248322858</v>
      </c>
      <c r="D12">
        <v>121.16666666666666</v>
      </c>
      <c r="E12">
        <v>0.84615384615384615</v>
      </c>
    </row>
    <row r="13" spans="1:5">
      <c r="A13">
        <v>0.82189149993484878</v>
      </c>
      <c r="B13">
        <v>39.740031772496344</v>
      </c>
      <c r="C13">
        <v>72.615933609958503</v>
      </c>
      <c r="D13">
        <v>130.08333333333331</v>
      </c>
      <c r="E13">
        <v>0.92307692307692313</v>
      </c>
    </row>
    <row r="14" spans="1:5">
      <c r="A14">
        <v>1</v>
      </c>
      <c r="B14">
        <v>43.265276086073897</v>
      </c>
      <c r="C14">
        <v>72.805427834473477</v>
      </c>
      <c r="D14">
        <v>139</v>
      </c>
      <c r="E14">
        <v>1</v>
      </c>
    </row>
    <row r="15" spans="1:5">
      <c r="A15">
        <v>1538.7204967716241</v>
      </c>
      <c r="B15">
        <v>482.97676405256766</v>
      </c>
      <c r="C15">
        <v>843.11280526365715</v>
      </c>
    </row>
    <row r="16" spans="1:5">
      <c r="A16">
        <v>-4.0206901439049085</v>
      </c>
      <c r="B16">
        <v>-8.9694263496444151</v>
      </c>
      <c r="C16">
        <v>-6.8074548007577977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E16"/>
  <sheetViews>
    <sheetView workbookViewId="0"/>
  </sheetViews>
  <sheetFormatPr defaultRowHeight="12"/>
  <sheetData>
    <row r="1" spans="1:5">
      <c r="A1" t="s">
        <v>3</v>
      </c>
      <c r="B1" t="s">
        <v>6</v>
      </c>
      <c r="C1" t="s">
        <v>7</v>
      </c>
      <c r="D1" t="s">
        <v>13</v>
      </c>
    </row>
    <row r="2" spans="1:5">
      <c r="A2">
        <v>0</v>
      </c>
      <c r="B2">
        <v>0</v>
      </c>
      <c r="C2">
        <v>0</v>
      </c>
      <c r="D2">
        <v>1</v>
      </c>
      <c r="E2">
        <v>7.6923076923076927E-2</v>
      </c>
    </row>
    <row r="3" spans="1:5">
      <c r="A3">
        <v>0</v>
      </c>
      <c r="B3">
        <v>0</v>
      </c>
      <c r="C3">
        <v>0</v>
      </c>
      <c r="D3">
        <v>1.3333333333333333</v>
      </c>
      <c r="E3">
        <v>0.15384615384615385</v>
      </c>
    </row>
    <row r="4" spans="1:5">
      <c r="A4">
        <v>0.10606060606060605</v>
      </c>
      <c r="B4">
        <v>0</v>
      </c>
      <c r="C4">
        <v>0.14607614607614605</v>
      </c>
      <c r="D4">
        <v>1.6666666666666665</v>
      </c>
      <c r="E4">
        <v>0.23076923076923078</v>
      </c>
    </row>
    <row r="5" spans="1:5">
      <c r="A5">
        <v>0.22269128921974962</v>
      </c>
      <c r="B5">
        <v>0</v>
      </c>
      <c r="C5">
        <v>0.35069868403201737</v>
      </c>
      <c r="D5">
        <v>2</v>
      </c>
      <c r="E5">
        <v>0.30769230769230771</v>
      </c>
    </row>
    <row r="6" spans="1:5">
      <c r="A6">
        <v>0.51282051282051266</v>
      </c>
      <c r="B6">
        <v>0</v>
      </c>
      <c r="C6">
        <v>0.90598290598290554</v>
      </c>
      <c r="D6">
        <v>2.333333333333333</v>
      </c>
      <c r="E6">
        <v>0.38461538461538464</v>
      </c>
    </row>
    <row r="7" spans="1:5">
      <c r="A7">
        <v>0.90346907993966818</v>
      </c>
      <c r="B7">
        <v>0.31886916502301116</v>
      </c>
      <c r="C7">
        <v>0.95263951734539976</v>
      </c>
      <c r="D7">
        <v>2.6666666666666665</v>
      </c>
      <c r="E7">
        <v>0.46153846153846156</v>
      </c>
    </row>
    <row r="8" spans="1:5">
      <c r="A8">
        <v>0.96516690856313503</v>
      </c>
      <c r="B8">
        <v>0.38461538461538464</v>
      </c>
      <c r="C8">
        <v>0.98280542986425345</v>
      </c>
      <c r="D8">
        <v>3</v>
      </c>
      <c r="E8">
        <v>0.53846153846153844</v>
      </c>
    </row>
    <row r="9" spans="1:5">
      <c r="A9">
        <v>1</v>
      </c>
      <c r="B9">
        <v>0.58547008547008539</v>
      </c>
      <c r="C9">
        <v>1</v>
      </c>
      <c r="D9">
        <v>3.333333333333333</v>
      </c>
      <c r="E9">
        <v>0.61538461538461542</v>
      </c>
    </row>
    <row r="10" spans="1:5">
      <c r="A10">
        <v>1</v>
      </c>
      <c r="B10">
        <v>0.81576448243114885</v>
      </c>
      <c r="C10">
        <v>1</v>
      </c>
      <c r="D10">
        <v>3.6666666666666665</v>
      </c>
      <c r="E10">
        <v>0.69230769230769229</v>
      </c>
    </row>
    <row r="11" spans="1:5">
      <c r="A11">
        <v>2.5</v>
      </c>
      <c r="B11">
        <v>0.88328912466843501</v>
      </c>
      <c r="C11">
        <v>2.27</v>
      </c>
      <c r="D11">
        <v>4</v>
      </c>
      <c r="E11">
        <v>0.76923076923076927</v>
      </c>
    </row>
    <row r="12" spans="1:5">
      <c r="A12">
        <v>2.54</v>
      </c>
      <c r="B12">
        <v>0.93333333333333335</v>
      </c>
      <c r="C12">
        <v>2.31</v>
      </c>
      <c r="D12">
        <v>4.333333333333333</v>
      </c>
      <c r="E12">
        <v>0.84615384615384615</v>
      </c>
    </row>
    <row r="13" spans="1:5">
      <c r="A13">
        <v>2.71</v>
      </c>
      <c r="B13">
        <v>1</v>
      </c>
      <c r="C13">
        <v>2.34</v>
      </c>
      <c r="D13">
        <v>4.6666666666666661</v>
      </c>
      <c r="E13">
        <v>0.92307692307692313</v>
      </c>
    </row>
    <row r="14" spans="1:5">
      <c r="A14">
        <v>3.24</v>
      </c>
      <c r="B14">
        <v>1</v>
      </c>
      <c r="C14">
        <v>3.19</v>
      </c>
      <c r="D14">
        <v>5</v>
      </c>
      <c r="E14">
        <v>1</v>
      </c>
    </row>
    <row r="15" spans="1:5">
      <c r="A15">
        <v>30.227040097900002</v>
      </c>
      <c r="B15">
        <v>42.825491627399991</v>
      </c>
      <c r="C15">
        <v>27.667788442900001</v>
      </c>
    </row>
    <row r="16" spans="1:5">
      <c r="A16">
        <v>-1.3748870748503979</v>
      </c>
      <c r="B16">
        <v>-0.57859467165086298</v>
      </c>
      <c r="C16">
        <v>-1.6709085889811304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H16"/>
  <sheetViews>
    <sheetView workbookViewId="0"/>
  </sheetViews>
  <sheetFormatPr defaultRowHeight="12"/>
  <sheetData>
    <row r="1" spans="1:8">
      <c r="A1" t="s">
        <v>3</v>
      </c>
      <c r="B1" t="s">
        <v>6</v>
      </c>
      <c r="C1" t="s">
        <v>7</v>
      </c>
      <c r="D1" t="s">
        <v>3</v>
      </c>
      <c r="E1" t="s">
        <v>4</v>
      </c>
      <c r="F1" t="s">
        <v>5</v>
      </c>
      <c r="G1" t="s">
        <v>13</v>
      </c>
    </row>
    <row r="2" spans="1:8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7.6923076923076927E-2</v>
      </c>
    </row>
    <row r="3" spans="1:8">
      <c r="A3">
        <v>1</v>
      </c>
      <c r="B3">
        <v>1</v>
      </c>
      <c r="C3">
        <v>1</v>
      </c>
      <c r="D3">
        <v>0</v>
      </c>
      <c r="E3">
        <v>0</v>
      </c>
      <c r="F3">
        <v>0</v>
      </c>
      <c r="G3">
        <v>12.5</v>
      </c>
      <c r="H3">
        <v>0.15384615384615385</v>
      </c>
    </row>
    <row r="4" spans="1:8">
      <c r="A4">
        <v>1</v>
      </c>
      <c r="B4">
        <v>1</v>
      </c>
      <c r="C4">
        <v>1</v>
      </c>
      <c r="D4">
        <v>0</v>
      </c>
      <c r="E4">
        <v>0</v>
      </c>
      <c r="F4">
        <v>0</v>
      </c>
      <c r="G4">
        <v>24</v>
      </c>
      <c r="H4">
        <v>0.23076923076923078</v>
      </c>
    </row>
    <row r="5" spans="1:8">
      <c r="A5">
        <v>1</v>
      </c>
      <c r="B5">
        <v>1</v>
      </c>
      <c r="C5">
        <v>1</v>
      </c>
      <c r="D5">
        <v>0</v>
      </c>
      <c r="E5">
        <v>0.36725440424717898</v>
      </c>
      <c r="F5">
        <v>0</v>
      </c>
      <c r="G5">
        <v>35.5</v>
      </c>
      <c r="H5">
        <v>0.30769230769230771</v>
      </c>
    </row>
    <row r="6" spans="1:8">
      <c r="A6">
        <v>1</v>
      </c>
      <c r="B6">
        <v>1</v>
      </c>
      <c r="C6">
        <v>1</v>
      </c>
      <c r="D6">
        <v>0</v>
      </c>
      <c r="E6">
        <v>1</v>
      </c>
      <c r="F6">
        <v>0</v>
      </c>
      <c r="G6">
        <v>47</v>
      </c>
      <c r="H6">
        <v>0.38461538461538464</v>
      </c>
    </row>
    <row r="7" spans="1:8">
      <c r="A7">
        <v>1</v>
      </c>
      <c r="B7">
        <v>1</v>
      </c>
      <c r="C7">
        <v>1</v>
      </c>
      <c r="D7">
        <v>0</v>
      </c>
      <c r="E7">
        <v>1</v>
      </c>
      <c r="F7">
        <v>0.21479594814480174</v>
      </c>
      <c r="G7">
        <v>58.5</v>
      </c>
      <c r="H7">
        <v>0.46153846153846156</v>
      </c>
    </row>
    <row r="8" spans="1:8">
      <c r="A8">
        <v>1</v>
      </c>
      <c r="B8">
        <v>1</v>
      </c>
      <c r="C8">
        <v>1</v>
      </c>
      <c r="D8">
        <v>0</v>
      </c>
      <c r="E8">
        <v>1</v>
      </c>
      <c r="F8">
        <v>0.85753079219983963</v>
      </c>
      <c r="G8">
        <v>70</v>
      </c>
      <c r="H8">
        <v>0.53846153846153844</v>
      </c>
    </row>
    <row r="9" spans="1:8">
      <c r="A9">
        <v>1</v>
      </c>
      <c r="B9">
        <v>1</v>
      </c>
      <c r="C9">
        <v>1</v>
      </c>
      <c r="D9">
        <v>0</v>
      </c>
      <c r="E9">
        <v>1</v>
      </c>
      <c r="F9">
        <v>1</v>
      </c>
      <c r="G9">
        <v>81.5</v>
      </c>
      <c r="H9">
        <v>0.61538461538461542</v>
      </c>
    </row>
    <row r="10" spans="1:8">
      <c r="A10">
        <v>1</v>
      </c>
      <c r="B10">
        <v>1</v>
      </c>
      <c r="C10">
        <v>1</v>
      </c>
      <c r="D10">
        <v>0.11701527361011149</v>
      </c>
      <c r="E10">
        <v>1</v>
      </c>
      <c r="F10">
        <v>1</v>
      </c>
      <c r="G10">
        <v>93</v>
      </c>
      <c r="H10">
        <v>0.69230769230769229</v>
      </c>
    </row>
    <row r="11" spans="1:8">
      <c r="A11">
        <v>1</v>
      </c>
      <c r="B11">
        <v>1</v>
      </c>
      <c r="C11">
        <v>1</v>
      </c>
      <c r="D11">
        <v>0.19090991794454779</v>
      </c>
      <c r="E11">
        <v>1</v>
      </c>
      <c r="F11">
        <v>1</v>
      </c>
      <c r="G11">
        <v>104.5</v>
      </c>
      <c r="H11">
        <v>0.76923076923076927</v>
      </c>
    </row>
    <row r="12" spans="1:8">
      <c r="A12">
        <v>1</v>
      </c>
      <c r="B12">
        <v>1</v>
      </c>
      <c r="C12">
        <v>1</v>
      </c>
      <c r="D12">
        <v>0.37994532630292571</v>
      </c>
      <c r="E12">
        <v>1</v>
      </c>
      <c r="F12">
        <v>1</v>
      </c>
      <c r="G12">
        <v>116</v>
      </c>
      <c r="H12">
        <v>0.84615384615384615</v>
      </c>
    </row>
    <row r="13" spans="1:8">
      <c r="A13">
        <v>1</v>
      </c>
      <c r="B13">
        <v>1</v>
      </c>
      <c r="C13">
        <v>1</v>
      </c>
      <c r="D13">
        <v>0.77702110326248031</v>
      </c>
      <c r="E13">
        <v>1</v>
      </c>
      <c r="F13">
        <v>1</v>
      </c>
      <c r="G13">
        <v>127.5</v>
      </c>
      <c r="H13">
        <v>0.92307692307692313</v>
      </c>
    </row>
    <row r="14" spans="1:8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139</v>
      </c>
      <c r="H14">
        <v>1</v>
      </c>
    </row>
    <row r="15" spans="1:8">
      <c r="A15">
        <v>30.227040097900002</v>
      </c>
      <c r="B15">
        <v>42.825491627399991</v>
      </c>
      <c r="C15">
        <v>27.667788442900001</v>
      </c>
      <c r="D15">
        <v>1538.7204967716241</v>
      </c>
      <c r="E15">
        <v>482.97676405256766</v>
      </c>
      <c r="F15">
        <v>843.11280526365715</v>
      </c>
    </row>
    <row r="16" spans="1:8">
      <c r="A16">
        <v>-12.701318350248517</v>
      </c>
      <c r="B16">
        <v>-12.578978603598355</v>
      </c>
      <c r="C16">
        <v>-12.726351590099542</v>
      </c>
      <c r="D16">
        <v>-4.0206901439049085</v>
      </c>
      <c r="E16">
        <v>-8.9694263496444151</v>
      </c>
      <c r="F16">
        <v>-6.8074548007577977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SimData</vt:lpstr>
      <vt:lpstr>Sheet1</vt:lpstr>
      <vt:lpstr>Sheet1!Print_Area</vt:lpstr>
    </vt:vector>
  </TitlesOfParts>
  <Company>TAMU --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AFPC TAMU System</dc:creator>
  <cp:lastModifiedBy>James W. Richardson</cp:lastModifiedBy>
  <cp:lastPrinted>2003-11-19T17:35:28Z</cp:lastPrinted>
  <dcterms:created xsi:type="dcterms:W3CDTF">2000-02-20T01:38:07Z</dcterms:created>
  <dcterms:modified xsi:type="dcterms:W3CDTF">2011-02-07T04:44:57Z</dcterms:modified>
</cp:coreProperties>
</file>