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90" windowWidth="14085" windowHeight="10590"/>
  </bookViews>
  <sheets>
    <sheet name="Sheet1" sheetId="1" r:id="rId1"/>
    <sheet name="SimData" sheetId="4" r:id="rId2"/>
    <sheet name="CDF of Days to Completion" sheetId="5" r:id="rId3"/>
    <sheet name="CDF of Total Costs" sheetId="6" r:id="rId4"/>
  </sheets>
  <definedNames>
    <definedName name="_xlnm.Print_Area" localSheetId="0">Sheet1!$A$1:$P$53</definedName>
  </definedNames>
  <calcPr calcId="125725"/>
</workbook>
</file>

<file path=xl/calcChain.xml><?xml version="1.0" encoding="utf-8"?>
<calcChain xmlns="http://schemas.openxmlformats.org/spreadsheetml/2006/main">
  <c r="C119" i="4"/>
  <c r="C117"/>
  <c r="C115"/>
  <c r="C113"/>
  <c r="C111"/>
  <c r="C8"/>
  <c r="J9" s="1"/>
  <c r="C7"/>
  <c r="C6"/>
  <c r="C4"/>
  <c r="C3"/>
  <c r="C5" s="1"/>
  <c r="B119"/>
  <c r="B117"/>
  <c r="B115"/>
  <c r="B113"/>
  <c r="B111"/>
  <c r="B8"/>
  <c r="G9" s="1"/>
  <c r="B7"/>
  <c r="B6"/>
  <c r="B4"/>
  <c r="B3"/>
  <c r="B5" s="1"/>
  <c r="K1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J109"/>
  <c r="H1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G109"/>
  <c r="J108"/>
  <c r="G108"/>
  <c r="J107"/>
  <c r="G107"/>
  <c r="J106"/>
  <c r="G106"/>
  <c r="J105"/>
  <c r="G105"/>
  <c r="J104"/>
  <c r="G104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J92"/>
  <c r="G92"/>
  <c r="J91"/>
  <c r="G91"/>
  <c r="J90"/>
  <c r="G90"/>
  <c r="J89"/>
  <c r="G89"/>
  <c r="J88"/>
  <c r="G88"/>
  <c r="J87"/>
  <c r="G87"/>
  <c r="J86"/>
  <c r="G86"/>
  <c r="J85"/>
  <c r="G85"/>
  <c r="J84"/>
  <c r="G84"/>
  <c r="J83"/>
  <c r="G83"/>
  <c r="J82"/>
  <c r="G82"/>
  <c r="J81"/>
  <c r="G81"/>
  <c r="J80"/>
  <c r="G80"/>
  <c r="J79"/>
  <c r="G79"/>
  <c r="J78"/>
  <c r="G78"/>
  <c r="J77"/>
  <c r="G77"/>
  <c r="J76"/>
  <c r="G76"/>
  <c r="J75"/>
  <c r="G75"/>
  <c r="J74"/>
  <c r="G74"/>
  <c r="J73"/>
  <c r="G73"/>
  <c r="J72"/>
  <c r="G72"/>
  <c r="J71"/>
  <c r="G71"/>
  <c r="J70"/>
  <c r="G70"/>
  <c r="J69"/>
  <c r="G69"/>
  <c r="J68"/>
  <c r="G68"/>
  <c r="J67"/>
  <c r="G67"/>
  <c r="J66"/>
  <c r="G66"/>
  <c r="J65"/>
  <c r="G65"/>
  <c r="J64"/>
  <c r="G64"/>
  <c r="J63"/>
  <c r="G63"/>
  <c r="J62"/>
  <c r="G62"/>
  <c r="J61"/>
  <c r="G61"/>
  <c r="J60"/>
  <c r="G60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8"/>
  <c r="G38"/>
  <c r="J37"/>
  <c r="G37"/>
  <c r="J36"/>
  <c r="G36"/>
  <c r="J35"/>
  <c r="G35"/>
  <c r="J34"/>
  <c r="G34"/>
  <c r="J33"/>
  <c r="G33"/>
  <c r="J32"/>
  <c r="G32"/>
  <c r="J31"/>
  <c r="G31"/>
  <c r="J30"/>
  <c r="G30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C2"/>
  <c r="B2"/>
  <c r="M32" i="1"/>
  <c r="M30"/>
  <c r="M28"/>
  <c r="M26"/>
  <c r="L24"/>
  <c r="L22"/>
  <c r="M19"/>
  <c r="M17"/>
  <c r="M15"/>
  <c r="M13"/>
  <c r="M11"/>
  <c r="A1"/>
  <c r="D23"/>
  <c r="D31"/>
  <c r="M31"/>
  <c r="M29"/>
  <c r="M27"/>
  <c r="M25"/>
  <c r="L23"/>
  <c r="L21"/>
  <c r="M18"/>
  <c r="M16"/>
  <c r="M14"/>
  <c r="M12"/>
  <c r="M10"/>
  <c r="D10"/>
  <c r="D12"/>
  <c r="D14"/>
  <c r="D17"/>
  <c r="D19"/>
  <c r="D22"/>
  <c r="D24"/>
  <c r="D28"/>
  <c r="D30"/>
  <c r="D32"/>
  <c r="L32"/>
  <c r="L30"/>
  <c r="L28"/>
  <c r="L26"/>
  <c r="M23"/>
  <c r="M21"/>
  <c r="L19"/>
  <c r="L17"/>
  <c r="L15"/>
  <c r="L13"/>
  <c r="L11"/>
  <c r="D11"/>
  <c r="D13"/>
  <c r="D16"/>
  <c r="D18"/>
  <c r="D21"/>
  <c r="D26"/>
  <c r="D29"/>
  <c r="L31"/>
  <c r="L29"/>
  <c r="L27"/>
  <c r="M24"/>
  <c r="M22"/>
  <c r="M20"/>
  <c r="L18"/>
  <c r="L16"/>
  <c r="L14"/>
  <c r="L12"/>
  <c r="L10"/>
  <c r="H29" l="1"/>
  <c r="H26"/>
  <c r="H21"/>
  <c r="H18"/>
  <c r="H16"/>
  <c r="H13"/>
  <c r="H11"/>
  <c r="H32"/>
  <c r="H30"/>
  <c r="H28"/>
  <c r="H24"/>
  <c r="H22"/>
  <c r="H19"/>
  <c r="H17"/>
  <c r="H14"/>
  <c r="H12"/>
  <c r="F10"/>
  <c r="H10"/>
  <c r="H31"/>
  <c r="H23"/>
  <c r="E12" l="1"/>
  <c r="F12" s="1"/>
  <c r="E11"/>
  <c r="F11" s="1"/>
  <c r="E13" s="1"/>
  <c r="F13" s="1"/>
  <c r="H34"/>
  <c r="E14" l="1"/>
  <c r="F14" s="1"/>
  <c r="E21" s="1"/>
  <c r="F21" s="1"/>
  <c r="E22" s="1"/>
  <c r="F22" s="1"/>
  <c r="E23" s="1"/>
  <c r="F23" s="1"/>
  <c r="E24" s="1"/>
  <c r="F24" s="1"/>
  <c r="E16"/>
  <c r="F16" s="1"/>
  <c r="E17" l="1"/>
  <c r="F17" s="1"/>
  <c r="E26" s="1"/>
  <c r="F26" s="1"/>
  <c r="E27" s="1"/>
  <c r="F27" s="1"/>
  <c r="E18"/>
  <c r="F18" s="1"/>
  <c r="E19" s="1"/>
  <c r="F19" s="1"/>
  <c r="E29" l="1"/>
  <c r="F29" s="1"/>
  <c r="E28"/>
  <c r="F28" s="1"/>
  <c r="E30"/>
  <c r="F30" s="1"/>
  <c r="E31" l="1"/>
  <c r="F31" s="1"/>
  <c r="E32" s="1"/>
  <c r="F32" s="1"/>
  <c r="F34" s="1"/>
</calcChain>
</file>

<file path=xl/sharedStrings.xml><?xml version="1.0" encoding="utf-8"?>
<sst xmlns="http://schemas.openxmlformats.org/spreadsheetml/2006/main" count="77" uniqueCount="71">
  <si>
    <t>Define the KOVs</t>
  </si>
  <si>
    <t>Determine the Intermediate Outputs</t>
  </si>
  <si>
    <t>Define Input and Calculated Variables</t>
  </si>
  <si>
    <t>Identify Stochastic Variables</t>
  </si>
  <si>
    <t>Estimate Econometric Relations</t>
  </si>
  <si>
    <t>Producers</t>
  </si>
  <si>
    <t>Peers</t>
  </si>
  <si>
    <t>Distribution Testing</t>
  </si>
  <si>
    <t>Personal</t>
  </si>
  <si>
    <t>Develop Diagram of the System</t>
  </si>
  <si>
    <t>Design Complete Output Format</t>
  </si>
  <si>
    <t>Validate Format on User</t>
  </si>
  <si>
    <t>Gather Primary Data</t>
  </si>
  <si>
    <t>Gather Secondary Data</t>
  </si>
  <si>
    <t>Gather Data for Stochastic Variables</t>
  </si>
  <si>
    <t>Model Refinement Based on Validation</t>
  </si>
  <si>
    <t xml:space="preserve">Time to </t>
  </si>
  <si>
    <t>Complete</t>
  </si>
  <si>
    <t xml:space="preserve">Start </t>
  </si>
  <si>
    <t>Time</t>
  </si>
  <si>
    <t xml:space="preserve">End </t>
  </si>
  <si>
    <t xml:space="preserve">Immediate </t>
  </si>
  <si>
    <t>2 &amp; 3</t>
  </si>
  <si>
    <t>Assemble Model &amp; Begin Testing</t>
  </si>
  <si>
    <t>16, 17 &amp; 18</t>
  </si>
  <si>
    <t>-</t>
  </si>
  <si>
    <t>7, 9 &amp; 13</t>
  </si>
  <si>
    <t>PDF for Time Expended</t>
  </si>
  <si>
    <t>Min</t>
  </si>
  <si>
    <t>Max</t>
  </si>
  <si>
    <t>Model Application &amp; Report Preparation</t>
  </si>
  <si>
    <t>Mean</t>
  </si>
  <si>
    <t>StDev</t>
  </si>
  <si>
    <t>CV</t>
  </si>
  <si>
    <t>Iteration</t>
  </si>
  <si>
    <t>James W. Richardson</t>
  </si>
  <si>
    <t>Cost</t>
  </si>
  <si>
    <t>Total</t>
  </si>
  <si>
    <t>No.</t>
  </si>
  <si>
    <t>Days</t>
  </si>
  <si>
    <t xml:space="preserve">Formula for </t>
  </si>
  <si>
    <t>Start Time</t>
  </si>
  <si>
    <t>End Time</t>
  </si>
  <si>
    <t>Project Management Analysis for Developing and Using a Simulation Model.</t>
  </si>
  <si>
    <t>Predecessor</t>
  </si>
  <si>
    <t>Parameter Estimation for Stochastic Variables</t>
  </si>
  <si>
    <t>Validation and Verification by:</t>
  </si>
  <si>
    <t>CDFProb.</t>
  </si>
  <si>
    <t>Key Output Variables for Project Management</t>
  </si>
  <si>
    <t>Project Activities</t>
  </si>
  <si>
    <t>Cost per</t>
  </si>
  <si>
    <t>Time Unit</t>
  </si>
  <si>
    <t>Pessimistic</t>
  </si>
  <si>
    <t>Expected</t>
  </si>
  <si>
    <t>Minimum</t>
  </si>
  <si>
    <t>Maximum</t>
  </si>
  <si>
    <t>Optimistic</t>
  </si>
  <si>
    <t>Chapter 14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</si>
  <si>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</si>
  <si>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</si>
  <si>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</si>
  <si>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</si>
  <si>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</si>
  <si>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</si>
  <si>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</si>
  <si>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</si>
  <si>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</si>
  <si>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</si>
  <si>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</si>
  <si>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10:52:34 PM 12/21/2005 (0.72 sec.).  © 2005.</t>
  </si>
  <si>
    <t>© 2011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</si>
</sst>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7" formatCode="0.000"/>
    <numFmt numFmtId="168" formatCode="0.0"/>
    <numFmt numFmtId="170" formatCode="_(* #,##0_);_(* \(#,##0\);_(* &quot;-&quot;??_);_(@_)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0" fillId="0" borderId="0" xfId="0" applyNumberFormat="1"/>
    <xf numFmtId="168" fontId="0" fillId="0" borderId="0" xfId="0" applyNumberFormat="1"/>
    <xf numFmtId="168" fontId="0" fillId="0" borderId="0" xfId="0" quotePrefix="1" applyNumberFormat="1" applyAlignment="1">
      <alignment horizontal="center"/>
    </xf>
    <xf numFmtId="0" fontId="0" fillId="0" borderId="0" xfId="0" applyAlignment="1">
      <alignment horizontal="left" indent="2"/>
    </xf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1" xfId="0" applyNumberFormat="1" applyBorder="1"/>
    <xf numFmtId="170" fontId="0" fillId="0" borderId="0" xfId="1" applyNumberFormat="1" applyFont="1"/>
    <xf numFmtId="170" fontId="0" fillId="0" borderId="1" xfId="1" applyNumberFormat="1" applyFont="1" applyBorder="1"/>
    <xf numFmtId="0" fontId="0" fillId="2" borderId="0" xfId="0" applyFill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6"/>
    </xf>
    <xf numFmtId="0" fontId="2" fillId="0" borderId="0" xfId="0" applyFont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2" fillId="0" borderId="0" xfId="0" applyNumberFormat="1" applyFont="1"/>
    <xf numFmtId="170" fontId="2" fillId="0" borderId="0" xfId="1" applyNumberFormat="1" applyFont="1"/>
    <xf numFmtId="0" fontId="2" fillId="0" borderId="0" xfId="0" applyFont="1" applyAlignment="1">
      <alignment horizontal="left" indent="15"/>
    </xf>
    <xf numFmtId="0" fontId="0" fillId="0" borderId="0" xfId="0" applyBorder="1" applyAlignment="1">
      <alignment horizontal="center"/>
    </xf>
    <xf numFmtId="0" fontId="0" fillId="0" borderId="0" xfId="0" applyBorder="1"/>
    <xf numFmtId="168" fontId="0" fillId="0" borderId="0" xfId="0" applyNumberFormat="1" applyBorder="1"/>
    <xf numFmtId="0" fontId="0" fillId="0" borderId="0" xfId="0" applyBorder="1" applyAlignment="1">
      <alignment horizontal="left" indent="1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70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 of Days to Completion</a:t>
            </a:r>
          </a:p>
        </c:rich>
      </c:tx>
      <c:layout>
        <c:manualLayout>
          <c:xMode val="edge"/>
          <c:yMode val="edge"/>
          <c:x val="0.40954495005549391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32186459489458E-2"/>
          <c:y val="0.11256117455138662"/>
          <c:w val="0.82574916759156491"/>
          <c:h val="0.82055464926590538"/>
        </c:manualLayout>
      </c:layout>
      <c:scatterChart>
        <c:scatterStyle val="smoothMarker"/>
        <c:ser>
          <c:idx val="0"/>
          <c:order val="0"/>
          <c:tx>
            <c:strRef>
              <c:f>SimData!$G$9</c:f>
              <c:strCache>
                <c:ptCount val="1"/>
                <c:pt idx="0">
                  <c:v>Days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SimData!$G$10:$G$109</c:f>
              <c:numCache>
                <c:formatCode>General</c:formatCode>
                <c:ptCount val="100"/>
                <c:pt idx="0">
                  <c:v>322.04048264245819</c:v>
                </c:pt>
                <c:pt idx="1">
                  <c:v>347.16918283083487</c:v>
                </c:pt>
                <c:pt idx="2">
                  <c:v>348.21489908641939</c:v>
                </c:pt>
                <c:pt idx="3">
                  <c:v>357.76503671821632</c:v>
                </c:pt>
                <c:pt idx="4">
                  <c:v>374.26387671187064</c:v>
                </c:pt>
                <c:pt idx="5">
                  <c:v>391.09132464814337</c:v>
                </c:pt>
                <c:pt idx="6">
                  <c:v>404.12392462769049</c:v>
                </c:pt>
                <c:pt idx="7">
                  <c:v>405.31534144229266</c:v>
                </c:pt>
                <c:pt idx="8">
                  <c:v>409.45958264525382</c:v>
                </c:pt>
                <c:pt idx="9">
                  <c:v>410.32355737227692</c:v>
                </c:pt>
                <c:pt idx="10">
                  <c:v>411.86739231632953</c:v>
                </c:pt>
                <c:pt idx="11">
                  <c:v>414.36062028897589</c:v>
                </c:pt>
                <c:pt idx="12">
                  <c:v>414.39952569413265</c:v>
                </c:pt>
                <c:pt idx="13">
                  <c:v>419.97176500880283</c:v>
                </c:pt>
                <c:pt idx="14">
                  <c:v>423.46894653449988</c:v>
                </c:pt>
                <c:pt idx="15">
                  <c:v>423.49783978987523</c:v>
                </c:pt>
                <c:pt idx="16">
                  <c:v>425.54930374861988</c:v>
                </c:pt>
                <c:pt idx="17">
                  <c:v>427.03691899423723</c:v>
                </c:pt>
                <c:pt idx="18">
                  <c:v>428.55884841603233</c:v>
                </c:pt>
                <c:pt idx="19">
                  <c:v>432.73781053318226</c:v>
                </c:pt>
                <c:pt idx="20">
                  <c:v>433.00686025526352</c:v>
                </c:pt>
                <c:pt idx="21">
                  <c:v>434.96323324773539</c:v>
                </c:pt>
                <c:pt idx="22">
                  <c:v>435.88531032446321</c:v>
                </c:pt>
                <c:pt idx="23">
                  <c:v>444.63569888123283</c:v>
                </c:pt>
                <c:pt idx="24">
                  <c:v>447.37868757467243</c:v>
                </c:pt>
                <c:pt idx="25">
                  <c:v>450.4665297034212</c:v>
                </c:pt>
                <c:pt idx="26">
                  <c:v>451.18339474916615</c:v>
                </c:pt>
                <c:pt idx="27">
                  <c:v>452.32057512529207</c:v>
                </c:pt>
                <c:pt idx="28">
                  <c:v>455.1118863629456</c:v>
                </c:pt>
                <c:pt idx="29">
                  <c:v>457.20755987833417</c:v>
                </c:pt>
                <c:pt idx="30">
                  <c:v>459.17941762606677</c:v>
                </c:pt>
                <c:pt idx="31">
                  <c:v>460.31684263239538</c:v>
                </c:pt>
                <c:pt idx="32">
                  <c:v>460.41784147438875</c:v>
                </c:pt>
                <c:pt idx="33">
                  <c:v>462.94426490761606</c:v>
                </c:pt>
                <c:pt idx="34">
                  <c:v>463.78103012392404</c:v>
                </c:pt>
                <c:pt idx="35">
                  <c:v>470.6869530382474</c:v>
                </c:pt>
                <c:pt idx="36">
                  <c:v>470.75984238524359</c:v>
                </c:pt>
                <c:pt idx="37">
                  <c:v>471.02393992613747</c:v>
                </c:pt>
                <c:pt idx="38">
                  <c:v>471.61330022557269</c:v>
                </c:pt>
                <c:pt idx="39">
                  <c:v>474.52278370487505</c:v>
                </c:pt>
                <c:pt idx="40">
                  <c:v>475.15270486785863</c:v>
                </c:pt>
                <c:pt idx="41">
                  <c:v>476.76265965612743</c:v>
                </c:pt>
                <c:pt idx="42">
                  <c:v>477.4798514252924</c:v>
                </c:pt>
                <c:pt idx="43">
                  <c:v>478.21897319370692</c:v>
                </c:pt>
                <c:pt idx="44">
                  <c:v>479.10913449579095</c:v>
                </c:pt>
                <c:pt idx="45">
                  <c:v>479.99969527444591</c:v>
                </c:pt>
                <c:pt idx="46">
                  <c:v>480.25753802795981</c:v>
                </c:pt>
                <c:pt idx="47">
                  <c:v>482.36451755709101</c:v>
                </c:pt>
                <c:pt idx="48">
                  <c:v>482.41880966700921</c:v>
                </c:pt>
                <c:pt idx="49">
                  <c:v>487.69791938916404</c:v>
                </c:pt>
                <c:pt idx="50">
                  <c:v>488.05388477514509</c:v>
                </c:pt>
                <c:pt idx="51">
                  <c:v>493.68503330537897</c:v>
                </c:pt>
                <c:pt idx="52">
                  <c:v>497.56073140945989</c:v>
                </c:pt>
                <c:pt idx="53">
                  <c:v>498.90339184438244</c:v>
                </c:pt>
                <c:pt idx="54">
                  <c:v>501.27547801684079</c:v>
                </c:pt>
                <c:pt idx="55">
                  <c:v>502.57396848627667</c:v>
                </c:pt>
                <c:pt idx="56">
                  <c:v>502.92423643944278</c:v>
                </c:pt>
                <c:pt idx="57">
                  <c:v>504.3601616045508</c:v>
                </c:pt>
                <c:pt idx="58">
                  <c:v>504.5157881495611</c:v>
                </c:pt>
                <c:pt idx="59">
                  <c:v>507.27406201729139</c:v>
                </c:pt>
                <c:pt idx="60">
                  <c:v>508.10562569408643</c:v>
                </c:pt>
                <c:pt idx="61">
                  <c:v>509.86357394910544</c:v>
                </c:pt>
                <c:pt idx="62">
                  <c:v>510.15349839087969</c:v>
                </c:pt>
                <c:pt idx="63">
                  <c:v>511.69922446131613</c:v>
                </c:pt>
                <c:pt idx="64">
                  <c:v>521.63834690893714</c:v>
                </c:pt>
                <c:pt idx="65">
                  <c:v>526.70325375791367</c:v>
                </c:pt>
                <c:pt idx="66">
                  <c:v>530.26109320018145</c:v>
                </c:pt>
                <c:pt idx="67">
                  <c:v>530.97463002290101</c:v>
                </c:pt>
                <c:pt idx="68">
                  <c:v>531.46544826768445</c:v>
                </c:pt>
                <c:pt idx="69">
                  <c:v>532.9843490985545</c:v>
                </c:pt>
                <c:pt idx="70">
                  <c:v>533.65609679933755</c:v>
                </c:pt>
                <c:pt idx="71">
                  <c:v>534.65979283642332</c:v>
                </c:pt>
                <c:pt idx="72">
                  <c:v>536.33880666439825</c:v>
                </c:pt>
                <c:pt idx="73">
                  <c:v>541.04323275846991</c:v>
                </c:pt>
                <c:pt idx="74">
                  <c:v>542.97949647549501</c:v>
                </c:pt>
                <c:pt idx="75">
                  <c:v>544.47255805476311</c:v>
                </c:pt>
                <c:pt idx="76">
                  <c:v>548.77159197111678</c:v>
                </c:pt>
                <c:pt idx="77">
                  <c:v>549.1479331605093</c:v>
                </c:pt>
                <c:pt idx="78">
                  <c:v>553.95540376369172</c:v>
                </c:pt>
                <c:pt idx="79">
                  <c:v>555.18838041978324</c:v>
                </c:pt>
                <c:pt idx="80">
                  <c:v>555.40285324392914</c:v>
                </c:pt>
                <c:pt idx="81">
                  <c:v>555.43546376067775</c:v>
                </c:pt>
                <c:pt idx="82">
                  <c:v>556.31732826569885</c:v>
                </c:pt>
                <c:pt idx="83">
                  <c:v>560.96158503870993</c:v>
                </c:pt>
                <c:pt idx="84">
                  <c:v>563.29175680257583</c:v>
                </c:pt>
                <c:pt idx="85">
                  <c:v>563.40622541709149</c:v>
                </c:pt>
                <c:pt idx="86">
                  <c:v>569.83897630635545</c:v>
                </c:pt>
                <c:pt idx="87">
                  <c:v>578.40411100988547</c:v>
                </c:pt>
                <c:pt idx="88">
                  <c:v>578.95641006423273</c:v>
                </c:pt>
                <c:pt idx="89">
                  <c:v>584.37670104483982</c:v>
                </c:pt>
                <c:pt idx="90">
                  <c:v>589.1372571692159</c:v>
                </c:pt>
                <c:pt idx="91">
                  <c:v>590.53898315285346</c:v>
                </c:pt>
                <c:pt idx="92">
                  <c:v>597.98296331797769</c:v>
                </c:pt>
                <c:pt idx="93">
                  <c:v>603.1055063869826</c:v>
                </c:pt>
                <c:pt idx="94">
                  <c:v>604.94532622913403</c:v>
                </c:pt>
                <c:pt idx="95">
                  <c:v>609.0598978063291</c:v>
                </c:pt>
                <c:pt idx="96">
                  <c:v>639.04021923468838</c:v>
                </c:pt>
                <c:pt idx="97">
                  <c:v>661.91291903134561</c:v>
                </c:pt>
                <c:pt idx="98">
                  <c:v>673.75551573976168</c:v>
                </c:pt>
                <c:pt idx="99">
                  <c:v>717.10863707055103</c:v>
                </c:pt>
              </c:numCache>
            </c:numRef>
          </c:xVal>
          <c:yVal>
            <c:numRef>
              <c:f>SimData!$H$10:$H$109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161774976"/>
        <c:axId val="167269504"/>
      </c:scatterChart>
      <c:valAx>
        <c:axId val="161774976"/>
        <c:scaling>
          <c:orientation val="minMax"/>
          <c:max val="700"/>
          <c:min val="29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9504"/>
        <c:crosses val="autoZero"/>
        <c:crossBetween val="midCat"/>
      </c:valAx>
      <c:valAx>
        <c:axId val="16726950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4290375203915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749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3085460599334"/>
          <c:y val="0.50570962479608483"/>
          <c:w val="7.3251942286348501E-2"/>
          <c:h val="3.5889070146818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 of Total Costs</a:t>
            </a:r>
          </a:p>
        </c:rich>
      </c:tx>
      <c:layout>
        <c:manualLayout>
          <c:xMode val="edge"/>
          <c:yMode val="edge"/>
          <c:x val="0.43618201997780243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32186459489458E-2"/>
          <c:y val="0.11256117455138662"/>
          <c:w val="0.81465038845726967"/>
          <c:h val="0.82055464926590538"/>
        </c:manualLayout>
      </c:layout>
      <c:scatterChart>
        <c:scatterStyle val="smoothMarker"/>
        <c:ser>
          <c:idx val="0"/>
          <c:order val="0"/>
          <c:tx>
            <c:strRef>
              <c:f>SimData!$J$9</c:f>
              <c:strCache>
                <c:ptCount val="1"/>
                <c:pt idx="0">
                  <c:v>Cost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SimData!$J$10:$J$109</c:f>
              <c:numCache>
                <c:formatCode>General</c:formatCode>
                <c:ptCount val="100"/>
                <c:pt idx="0">
                  <c:v>70372.844538072706</c:v>
                </c:pt>
                <c:pt idx="1">
                  <c:v>75838.1448174822</c:v>
                </c:pt>
                <c:pt idx="2">
                  <c:v>76002.604942988764</c:v>
                </c:pt>
                <c:pt idx="3">
                  <c:v>76026.694952497695</c:v>
                </c:pt>
                <c:pt idx="4">
                  <c:v>76399.848866136512</c:v>
                </c:pt>
                <c:pt idx="5">
                  <c:v>77211.024589277455</c:v>
                </c:pt>
                <c:pt idx="6">
                  <c:v>77807.913848455966</c:v>
                </c:pt>
                <c:pt idx="7">
                  <c:v>77988.325894923168</c:v>
                </c:pt>
                <c:pt idx="8">
                  <c:v>78174.115045589846</c:v>
                </c:pt>
                <c:pt idx="9">
                  <c:v>78280.144163590623</c:v>
                </c:pt>
                <c:pt idx="10">
                  <c:v>78783.998963146587</c:v>
                </c:pt>
                <c:pt idx="11">
                  <c:v>79075.641450831943</c:v>
                </c:pt>
                <c:pt idx="12">
                  <c:v>79272.118278763053</c:v>
                </c:pt>
                <c:pt idx="13">
                  <c:v>80053.255299021635</c:v>
                </c:pt>
                <c:pt idx="14">
                  <c:v>80281.470529987841</c:v>
                </c:pt>
                <c:pt idx="15">
                  <c:v>81568.039304100821</c:v>
                </c:pt>
                <c:pt idx="16">
                  <c:v>81658.61471802865</c:v>
                </c:pt>
                <c:pt idx="17">
                  <c:v>81777.349697783837</c:v>
                </c:pt>
                <c:pt idx="18">
                  <c:v>82083.682417443037</c:v>
                </c:pt>
                <c:pt idx="19">
                  <c:v>82409.696209968388</c:v>
                </c:pt>
                <c:pt idx="20">
                  <c:v>83137.561963488246</c:v>
                </c:pt>
                <c:pt idx="21">
                  <c:v>83336.62630413835</c:v>
                </c:pt>
                <c:pt idx="22">
                  <c:v>83567.655785342446</c:v>
                </c:pt>
                <c:pt idx="23">
                  <c:v>83709.833268141389</c:v>
                </c:pt>
                <c:pt idx="24">
                  <c:v>83988.411202784686</c:v>
                </c:pt>
                <c:pt idx="25">
                  <c:v>84207.934743941441</c:v>
                </c:pt>
                <c:pt idx="26">
                  <c:v>84211.115753503051</c:v>
                </c:pt>
                <c:pt idx="27">
                  <c:v>85746.567577804555</c:v>
                </c:pt>
                <c:pt idx="28">
                  <c:v>85940.431605382342</c:v>
                </c:pt>
                <c:pt idx="29">
                  <c:v>86474.802007694409</c:v>
                </c:pt>
                <c:pt idx="30">
                  <c:v>86967.57206117778</c:v>
                </c:pt>
                <c:pt idx="31">
                  <c:v>87145.529299981514</c:v>
                </c:pt>
                <c:pt idx="32">
                  <c:v>88199.456397348535</c:v>
                </c:pt>
                <c:pt idx="33">
                  <c:v>89372.437452987186</c:v>
                </c:pt>
                <c:pt idx="34">
                  <c:v>89689.358337405967</c:v>
                </c:pt>
                <c:pt idx="35">
                  <c:v>89741.259327824475</c:v>
                </c:pt>
                <c:pt idx="36">
                  <c:v>89781.40015699256</c:v>
                </c:pt>
                <c:pt idx="37">
                  <c:v>89887.703401316932</c:v>
                </c:pt>
                <c:pt idx="38">
                  <c:v>89917.375060336344</c:v>
                </c:pt>
                <c:pt idx="39">
                  <c:v>89961.395417139298</c:v>
                </c:pt>
                <c:pt idx="40">
                  <c:v>90302.953785819889</c:v>
                </c:pt>
                <c:pt idx="41">
                  <c:v>90588.110673536008</c:v>
                </c:pt>
                <c:pt idx="42">
                  <c:v>90688.15847594873</c:v>
                </c:pt>
                <c:pt idx="43">
                  <c:v>90945.119034161791</c:v>
                </c:pt>
                <c:pt idx="44">
                  <c:v>91279.801851152937</c:v>
                </c:pt>
                <c:pt idx="45">
                  <c:v>91540.637296884248</c:v>
                </c:pt>
                <c:pt idx="46">
                  <c:v>91644.7126786109</c:v>
                </c:pt>
                <c:pt idx="47">
                  <c:v>91930.125241909845</c:v>
                </c:pt>
                <c:pt idx="48">
                  <c:v>92275.26878758856</c:v>
                </c:pt>
                <c:pt idx="49">
                  <c:v>92757.502237652967</c:v>
                </c:pt>
                <c:pt idx="50">
                  <c:v>93993.916930402178</c:v>
                </c:pt>
                <c:pt idx="51">
                  <c:v>94045.070185146047</c:v>
                </c:pt>
                <c:pt idx="52">
                  <c:v>94104.742909732842</c:v>
                </c:pt>
                <c:pt idx="53">
                  <c:v>94595.915852994207</c:v>
                </c:pt>
                <c:pt idx="54">
                  <c:v>94728.51447280671</c:v>
                </c:pt>
                <c:pt idx="55">
                  <c:v>94874.535340129296</c:v>
                </c:pt>
                <c:pt idx="56">
                  <c:v>94878.256299972403</c:v>
                </c:pt>
                <c:pt idx="57">
                  <c:v>94958.043708401034</c:v>
                </c:pt>
                <c:pt idx="58">
                  <c:v>95629.465681153641</c:v>
                </c:pt>
                <c:pt idx="59">
                  <c:v>95636.777827797545</c:v>
                </c:pt>
                <c:pt idx="60">
                  <c:v>96697.434575008985</c:v>
                </c:pt>
                <c:pt idx="61">
                  <c:v>97045.431104348841</c:v>
                </c:pt>
                <c:pt idx="62">
                  <c:v>97077.599390116957</c:v>
                </c:pt>
                <c:pt idx="63">
                  <c:v>97178.281388581221</c:v>
                </c:pt>
                <c:pt idx="64">
                  <c:v>97245.880203844892</c:v>
                </c:pt>
                <c:pt idx="65">
                  <c:v>97251.254284889015</c:v>
                </c:pt>
                <c:pt idx="66">
                  <c:v>97436.610976421856</c:v>
                </c:pt>
                <c:pt idx="67">
                  <c:v>98067.617948915751</c:v>
                </c:pt>
                <c:pt idx="68">
                  <c:v>98399.801547093142</c:v>
                </c:pt>
                <c:pt idx="69">
                  <c:v>98494.562499428081</c:v>
                </c:pt>
                <c:pt idx="70">
                  <c:v>99119.045240109408</c:v>
                </c:pt>
                <c:pt idx="71">
                  <c:v>99144.2219653832</c:v>
                </c:pt>
                <c:pt idx="72">
                  <c:v>99753.959410835931</c:v>
                </c:pt>
                <c:pt idx="73">
                  <c:v>100171.09746729283</c:v>
                </c:pt>
                <c:pt idx="74">
                  <c:v>100531.92612067923</c:v>
                </c:pt>
                <c:pt idx="75">
                  <c:v>101083.03430283058</c:v>
                </c:pt>
                <c:pt idx="76">
                  <c:v>102013.17443904559</c:v>
                </c:pt>
                <c:pt idx="77">
                  <c:v>102123.59620946083</c:v>
                </c:pt>
                <c:pt idx="78">
                  <c:v>102157.69728138925</c:v>
                </c:pt>
                <c:pt idx="79">
                  <c:v>103129.1295286464</c:v>
                </c:pt>
                <c:pt idx="80">
                  <c:v>103234.97934455874</c:v>
                </c:pt>
                <c:pt idx="81">
                  <c:v>103361.01385575134</c:v>
                </c:pt>
                <c:pt idx="82">
                  <c:v>104320.17300671271</c:v>
                </c:pt>
                <c:pt idx="83">
                  <c:v>104397.07152788958</c:v>
                </c:pt>
                <c:pt idx="84">
                  <c:v>104981.98603906619</c:v>
                </c:pt>
                <c:pt idx="85">
                  <c:v>105543.46954707</c:v>
                </c:pt>
                <c:pt idx="86">
                  <c:v>105644.65796978287</c:v>
                </c:pt>
                <c:pt idx="87">
                  <c:v>106261.5277220689</c:v>
                </c:pt>
                <c:pt idx="88">
                  <c:v>106790.64412283267</c:v>
                </c:pt>
                <c:pt idx="89">
                  <c:v>106880.60447235916</c:v>
                </c:pt>
                <c:pt idx="90">
                  <c:v>107044.24982715535</c:v>
                </c:pt>
                <c:pt idx="91">
                  <c:v>107901.5952623582</c:v>
                </c:pt>
                <c:pt idx="92">
                  <c:v>109303.09231783199</c:v>
                </c:pt>
                <c:pt idx="93">
                  <c:v>109796.77716487602</c:v>
                </c:pt>
                <c:pt idx="94">
                  <c:v>115649.5917672738</c:v>
                </c:pt>
                <c:pt idx="95">
                  <c:v>116401.63168005463</c:v>
                </c:pt>
                <c:pt idx="96">
                  <c:v>118123.19715431335</c:v>
                </c:pt>
                <c:pt idx="97">
                  <c:v>118318.60610955484</c:v>
                </c:pt>
                <c:pt idx="98">
                  <c:v>122589.77054327134</c:v>
                </c:pt>
                <c:pt idx="99">
                  <c:v>149778.58146806309</c:v>
                </c:pt>
              </c:numCache>
            </c:numRef>
          </c:xVal>
          <c:yVal>
            <c:numRef>
              <c:f>SimData!$K$10:$K$109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167299328"/>
        <c:axId val="167305216"/>
      </c:scatterChart>
      <c:valAx>
        <c:axId val="167299328"/>
        <c:scaling>
          <c:orientation val="minMax"/>
          <c:min val="60000"/>
        </c:scaling>
        <c:axPos val="b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305216"/>
        <c:crosses val="autoZero"/>
        <c:crossBetween val="midCat"/>
      </c:valAx>
      <c:valAx>
        <c:axId val="16730521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4290375203915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99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563817980022201"/>
          <c:y val="0.50570962479608483"/>
          <c:w val="6.9922308546059936E-2"/>
          <c:h val="3.5889070146818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76200</xdr:rowOff>
    </xdr:from>
    <xdr:to>
      <xdr:col>0</xdr:col>
      <xdr:colOff>571500</xdr:colOff>
      <xdr:row>47</xdr:row>
      <xdr:rowOff>19050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7048500"/>
          <a:ext cx="571500" cy="5905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DevelopDiagram</a:t>
          </a:r>
        </a:p>
      </xdr:txBody>
    </xdr:sp>
    <xdr:clientData/>
  </xdr:twoCellAnchor>
  <xdr:twoCellAnchor>
    <xdr:from>
      <xdr:col>1</xdr:col>
      <xdr:colOff>142875</xdr:colOff>
      <xdr:row>40</xdr:row>
      <xdr:rowOff>66675</xdr:rowOff>
    </xdr:from>
    <xdr:to>
      <xdr:col>1</xdr:col>
      <xdr:colOff>723900</xdr:colOff>
      <xdr:row>43</xdr:row>
      <xdr:rowOff>66675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752475" y="6553200"/>
          <a:ext cx="581025" cy="4857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Define KOVs</a:t>
          </a:r>
        </a:p>
      </xdr:txBody>
    </xdr:sp>
    <xdr:clientData/>
  </xdr:twoCellAnchor>
  <xdr:twoCellAnchor>
    <xdr:from>
      <xdr:col>1</xdr:col>
      <xdr:colOff>133350</xdr:colOff>
      <xdr:row>45</xdr:row>
      <xdr:rowOff>38100</xdr:rowOff>
    </xdr:from>
    <xdr:to>
      <xdr:col>1</xdr:col>
      <xdr:colOff>714375</xdr:colOff>
      <xdr:row>48</xdr:row>
      <xdr:rowOff>142875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742950" y="7334250"/>
          <a:ext cx="581025" cy="5905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Define Interm. Outputs</a:t>
          </a:r>
        </a:p>
      </xdr:txBody>
    </xdr:sp>
    <xdr:clientData/>
  </xdr:twoCellAnchor>
  <xdr:twoCellAnchor>
    <xdr:from>
      <xdr:col>1</xdr:col>
      <xdr:colOff>1000125</xdr:colOff>
      <xdr:row>42</xdr:row>
      <xdr:rowOff>85725</xdr:rowOff>
    </xdr:from>
    <xdr:to>
      <xdr:col>1</xdr:col>
      <xdr:colOff>1581150</xdr:colOff>
      <xdr:row>46</xdr:row>
      <xdr:rowOff>9525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609725" y="6896100"/>
          <a:ext cx="581025" cy="571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Define Full Output</a:t>
          </a:r>
        </a:p>
      </xdr:txBody>
    </xdr:sp>
    <xdr:clientData/>
  </xdr:twoCellAnchor>
  <xdr:twoCellAnchor>
    <xdr:from>
      <xdr:col>2</xdr:col>
      <xdr:colOff>466725</xdr:colOff>
      <xdr:row>43</xdr:row>
      <xdr:rowOff>0</xdr:rowOff>
    </xdr:from>
    <xdr:to>
      <xdr:col>3</xdr:col>
      <xdr:colOff>276225</xdr:colOff>
      <xdr:row>46</xdr:row>
      <xdr:rowOff>85725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3810000" y="6972300"/>
          <a:ext cx="581025" cy="571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Gather Primary Data</a:t>
          </a:r>
        </a:p>
      </xdr:txBody>
    </xdr:sp>
    <xdr:clientData/>
  </xdr:twoCellAnchor>
  <xdr:twoCellAnchor>
    <xdr:from>
      <xdr:col>3</xdr:col>
      <xdr:colOff>676275</xdr:colOff>
      <xdr:row>38</xdr:row>
      <xdr:rowOff>95250</xdr:rowOff>
    </xdr:from>
    <xdr:to>
      <xdr:col>4</xdr:col>
      <xdr:colOff>647700</xdr:colOff>
      <xdr:row>41</xdr:row>
      <xdr:rowOff>152400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791075" y="6257925"/>
          <a:ext cx="676275" cy="5429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 Get PDF Data</a:t>
          </a:r>
        </a:p>
      </xdr:txBody>
    </xdr:sp>
    <xdr:clientData/>
  </xdr:twoCellAnchor>
  <xdr:twoCellAnchor>
    <xdr:from>
      <xdr:col>2</xdr:col>
      <xdr:colOff>409575</xdr:colOff>
      <xdr:row>38</xdr:row>
      <xdr:rowOff>85725</xdr:rowOff>
    </xdr:from>
    <xdr:to>
      <xdr:col>3</xdr:col>
      <xdr:colOff>266700</xdr:colOff>
      <xdr:row>42</xdr:row>
      <xdr:rowOff>9525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3752850" y="6248400"/>
          <a:ext cx="628650" cy="571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Id. Stoch. Variables</a:t>
          </a:r>
        </a:p>
      </xdr:txBody>
    </xdr:sp>
    <xdr:clientData/>
  </xdr:twoCellAnchor>
  <xdr:twoCellAnchor>
    <xdr:from>
      <xdr:col>1</xdr:col>
      <xdr:colOff>2095500</xdr:colOff>
      <xdr:row>39</xdr:row>
      <xdr:rowOff>0</xdr:rowOff>
    </xdr:from>
    <xdr:to>
      <xdr:col>2</xdr:col>
      <xdr:colOff>57150</xdr:colOff>
      <xdr:row>42</xdr:row>
      <xdr:rowOff>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2705100" y="6324600"/>
          <a:ext cx="695325" cy="4857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 Validate Output</a:t>
          </a:r>
        </a:p>
      </xdr:txBody>
    </xdr:sp>
    <xdr:clientData/>
  </xdr:twoCellAnchor>
  <xdr:twoCellAnchor>
    <xdr:from>
      <xdr:col>6</xdr:col>
      <xdr:colOff>523875</xdr:colOff>
      <xdr:row>38</xdr:row>
      <xdr:rowOff>104775</xdr:rowOff>
    </xdr:from>
    <xdr:to>
      <xdr:col>8</xdr:col>
      <xdr:colOff>95250</xdr:colOff>
      <xdr:row>41</xdr:row>
      <xdr:rowOff>104775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6753225" y="6267450"/>
          <a:ext cx="800100" cy="4857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 Test Distributions</a:t>
          </a:r>
        </a:p>
      </xdr:txBody>
    </xdr:sp>
    <xdr:clientData/>
  </xdr:twoCellAnchor>
  <xdr:twoCellAnchor>
    <xdr:from>
      <xdr:col>5</xdr:col>
      <xdr:colOff>180975</xdr:colOff>
      <xdr:row>38</xdr:row>
      <xdr:rowOff>76200</xdr:rowOff>
    </xdr:from>
    <xdr:to>
      <xdr:col>6</xdr:col>
      <xdr:colOff>266700</xdr:colOff>
      <xdr:row>41</xdr:row>
      <xdr:rowOff>133350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5705475" y="6238875"/>
          <a:ext cx="790575" cy="5429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 PDF Parameter Estimation</a:t>
          </a:r>
        </a:p>
      </xdr:txBody>
    </xdr:sp>
    <xdr:clientData/>
  </xdr:twoCellAnchor>
  <xdr:twoCellAnchor>
    <xdr:from>
      <xdr:col>6</xdr:col>
      <xdr:colOff>533400</xdr:colOff>
      <xdr:row>43</xdr:row>
      <xdr:rowOff>9525</xdr:rowOff>
    </xdr:from>
    <xdr:to>
      <xdr:col>8</xdr:col>
      <xdr:colOff>161925</xdr:colOff>
      <xdr:row>46</xdr:row>
      <xdr:rowOff>9525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6762750" y="6981825"/>
          <a:ext cx="857250" cy="4857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 Assemble  the Model</a:t>
          </a:r>
        </a:p>
      </xdr:txBody>
    </xdr:sp>
    <xdr:clientData/>
  </xdr:twoCellAnchor>
  <xdr:twoCellAnchor>
    <xdr:from>
      <xdr:col>2</xdr:col>
      <xdr:colOff>447675</xdr:colOff>
      <xdr:row>47</xdr:row>
      <xdr:rowOff>76200</xdr:rowOff>
    </xdr:from>
    <xdr:to>
      <xdr:col>3</xdr:col>
      <xdr:colOff>390525</xdr:colOff>
      <xdr:row>50</xdr:row>
      <xdr:rowOff>142875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3790950" y="7696200"/>
          <a:ext cx="714375" cy="5524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 Gather Secondary Data</a:t>
          </a:r>
        </a:p>
      </xdr:txBody>
    </xdr:sp>
    <xdr:clientData/>
  </xdr:twoCellAnchor>
  <xdr:twoCellAnchor>
    <xdr:from>
      <xdr:col>4</xdr:col>
      <xdr:colOff>400050</xdr:colOff>
      <xdr:row>45</xdr:row>
      <xdr:rowOff>38100</xdr:rowOff>
    </xdr:from>
    <xdr:to>
      <xdr:col>5</xdr:col>
      <xdr:colOff>647700</xdr:colOff>
      <xdr:row>48</xdr:row>
      <xdr:rowOff>104775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5219700" y="7334250"/>
          <a:ext cx="952500" cy="5524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 Estimate Econometric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Relations</a:t>
          </a:r>
        </a:p>
      </xdr:txBody>
    </xdr:sp>
    <xdr:clientData/>
  </xdr:twoCellAnchor>
  <xdr:twoCellAnchor>
    <xdr:from>
      <xdr:col>1</xdr:col>
      <xdr:colOff>2085975</xdr:colOff>
      <xdr:row>44</xdr:row>
      <xdr:rowOff>38100</xdr:rowOff>
    </xdr:from>
    <xdr:to>
      <xdr:col>2</xdr:col>
      <xdr:colOff>66675</xdr:colOff>
      <xdr:row>48</xdr:row>
      <xdr:rowOff>95250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2695575" y="7172325"/>
          <a:ext cx="714375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Define Inputs &amp; Calculated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Variables</a:t>
          </a:r>
        </a:p>
      </xdr:txBody>
    </xdr:sp>
    <xdr:clientData/>
  </xdr:twoCellAnchor>
  <xdr:twoCellAnchor>
    <xdr:from>
      <xdr:col>0</xdr:col>
      <xdr:colOff>571500</xdr:colOff>
      <xdr:row>41</xdr:row>
      <xdr:rowOff>152400</xdr:rowOff>
    </xdr:from>
    <xdr:to>
      <xdr:col>1</xdr:col>
      <xdr:colOff>142875</xdr:colOff>
      <xdr:row>45</xdr:row>
      <xdr:rowOff>47625</xdr:rowOff>
    </xdr:to>
    <xdr:cxnSp macro="">
      <xdr:nvCxnSpPr>
        <xdr:cNvPr id="1046" name="AutoShape 22"/>
        <xdr:cNvCxnSpPr>
          <a:cxnSpLocks noChangeShapeType="1"/>
          <a:stCxn id="1025" idx="3"/>
          <a:endCxn id="1026" idx="1"/>
        </xdr:cNvCxnSpPr>
      </xdr:nvCxnSpPr>
      <xdr:spPr bwMode="auto">
        <a:xfrm flipV="1">
          <a:off x="571500" y="6800850"/>
          <a:ext cx="180975" cy="5429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0</xdr:col>
      <xdr:colOff>571500</xdr:colOff>
      <xdr:row>45</xdr:row>
      <xdr:rowOff>47625</xdr:rowOff>
    </xdr:from>
    <xdr:to>
      <xdr:col>1</xdr:col>
      <xdr:colOff>133350</xdr:colOff>
      <xdr:row>47</xdr:row>
      <xdr:rowOff>9525</xdr:rowOff>
    </xdr:to>
    <xdr:cxnSp macro="">
      <xdr:nvCxnSpPr>
        <xdr:cNvPr id="1047" name="AutoShape 23"/>
        <xdr:cNvCxnSpPr>
          <a:cxnSpLocks noChangeShapeType="1"/>
          <a:stCxn id="1025" idx="3"/>
          <a:endCxn id="1027" idx="1"/>
        </xdr:cNvCxnSpPr>
      </xdr:nvCxnSpPr>
      <xdr:spPr bwMode="auto">
        <a:xfrm>
          <a:off x="571500" y="7343775"/>
          <a:ext cx="171450" cy="285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723900</xdr:colOff>
      <xdr:row>41</xdr:row>
      <xdr:rowOff>152400</xdr:rowOff>
    </xdr:from>
    <xdr:to>
      <xdr:col>1</xdr:col>
      <xdr:colOff>1000125</xdr:colOff>
      <xdr:row>44</xdr:row>
      <xdr:rowOff>47625</xdr:rowOff>
    </xdr:to>
    <xdr:cxnSp macro="">
      <xdr:nvCxnSpPr>
        <xdr:cNvPr id="1048" name="AutoShape 24"/>
        <xdr:cNvCxnSpPr>
          <a:cxnSpLocks noChangeShapeType="1"/>
          <a:stCxn id="1026" idx="3"/>
          <a:endCxn id="1028" idx="1"/>
        </xdr:cNvCxnSpPr>
      </xdr:nvCxnSpPr>
      <xdr:spPr bwMode="auto">
        <a:xfrm>
          <a:off x="1333500" y="6800850"/>
          <a:ext cx="276225" cy="381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714375</xdr:colOff>
      <xdr:row>44</xdr:row>
      <xdr:rowOff>47625</xdr:rowOff>
    </xdr:from>
    <xdr:to>
      <xdr:col>1</xdr:col>
      <xdr:colOff>1000125</xdr:colOff>
      <xdr:row>47</xdr:row>
      <xdr:rowOff>9525</xdr:rowOff>
    </xdr:to>
    <xdr:cxnSp macro="">
      <xdr:nvCxnSpPr>
        <xdr:cNvPr id="1049" name="AutoShape 25"/>
        <xdr:cNvCxnSpPr>
          <a:cxnSpLocks noChangeShapeType="1"/>
          <a:stCxn id="1027" idx="3"/>
          <a:endCxn id="1028" idx="1"/>
        </xdr:cNvCxnSpPr>
      </xdr:nvCxnSpPr>
      <xdr:spPr bwMode="auto">
        <a:xfrm flipV="1">
          <a:off x="1323975" y="7181850"/>
          <a:ext cx="28575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1581150</xdr:colOff>
      <xdr:row>40</xdr:row>
      <xdr:rowOff>85725</xdr:rowOff>
    </xdr:from>
    <xdr:to>
      <xdr:col>1</xdr:col>
      <xdr:colOff>2095500</xdr:colOff>
      <xdr:row>44</xdr:row>
      <xdr:rowOff>47625</xdr:rowOff>
    </xdr:to>
    <xdr:cxnSp macro="">
      <xdr:nvCxnSpPr>
        <xdr:cNvPr id="1050" name="AutoShape 26"/>
        <xdr:cNvCxnSpPr>
          <a:cxnSpLocks noChangeShapeType="1"/>
          <a:stCxn id="1028" idx="3"/>
          <a:endCxn id="1034" idx="1"/>
        </xdr:cNvCxnSpPr>
      </xdr:nvCxnSpPr>
      <xdr:spPr bwMode="auto">
        <a:xfrm flipV="1">
          <a:off x="2190750" y="6572250"/>
          <a:ext cx="514350" cy="609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1581150</xdr:colOff>
      <xdr:row>44</xdr:row>
      <xdr:rowOff>47625</xdr:rowOff>
    </xdr:from>
    <xdr:to>
      <xdr:col>1</xdr:col>
      <xdr:colOff>2085975</xdr:colOff>
      <xdr:row>46</xdr:row>
      <xdr:rowOff>66675</xdr:rowOff>
    </xdr:to>
    <xdr:cxnSp macro="">
      <xdr:nvCxnSpPr>
        <xdr:cNvPr id="1051" name="AutoShape 27"/>
        <xdr:cNvCxnSpPr>
          <a:cxnSpLocks noChangeShapeType="1"/>
          <a:stCxn id="1028" idx="3"/>
          <a:endCxn id="1040" idx="1"/>
        </xdr:cNvCxnSpPr>
      </xdr:nvCxnSpPr>
      <xdr:spPr bwMode="auto">
        <a:xfrm>
          <a:off x="2190750" y="7181850"/>
          <a:ext cx="504825" cy="3429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57150</xdr:colOff>
      <xdr:row>40</xdr:row>
      <xdr:rowOff>47625</xdr:rowOff>
    </xdr:from>
    <xdr:to>
      <xdr:col>2</xdr:col>
      <xdr:colOff>409575</xdr:colOff>
      <xdr:row>40</xdr:row>
      <xdr:rowOff>85725</xdr:rowOff>
    </xdr:to>
    <xdr:cxnSp macro="">
      <xdr:nvCxnSpPr>
        <xdr:cNvPr id="1052" name="AutoShape 28"/>
        <xdr:cNvCxnSpPr>
          <a:cxnSpLocks noChangeShapeType="1"/>
          <a:stCxn id="1034" idx="3"/>
          <a:endCxn id="1033" idx="1"/>
        </xdr:cNvCxnSpPr>
      </xdr:nvCxnSpPr>
      <xdr:spPr bwMode="auto">
        <a:xfrm flipV="1">
          <a:off x="3400425" y="6534150"/>
          <a:ext cx="352425" cy="38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66675</xdr:colOff>
      <xdr:row>44</xdr:row>
      <xdr:rowOff>123825</xdr:rowOff>
    </xdr:from>
    <xdr:to>
      <xdr:col>2</xdr:col>
      <xdr:colOff>466725</xdr:colOff>
      <xdr:row>46</xdr:row>
      <xdr:rowOff>66675</xdr:rowOff>
    </xdr:to>
    <xdr:cxnSp macro="">
      <xdr:nvCxnSpPr>
        <xdr:cNvPr id="1053" name="AutoShape 29"/>
        <xdr:cNvCxnSpPr>
          <a:cxnSpLocks noChangeShapeType="1"/>
          <a:stCxn id="1040" idx="3"/>
          <a:endCxn id="1029" idx="1"/>
        </xdr:cNvCxnSpPr>
      </xdr:nvCxnSpPr>
      <xdr:spPr bwMode="auto">
        <a:xfrm flipV="1">
          <a:off x="3409950" y="7258050"/>
          <a:ext cx="400050" cy="266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66675</xdr:colOff>
      <xdr:row>46</xdr:row>
      <xdr:rowOff>66675</xdr:rowOff>
    </xdr:from>
    <xdr:to>
      <xdr:col>2</xdr:col>
      <xdr:colOff>447675</xdr:colOff>
      <xdr:row>49</xdr:row>
      <xdr:rowOff>28575</xdr:rowOff>
    </xdr:to>
    <xdr:cxnSp macro="">
      <xdr:nvCxnSpPr>
        <xdr:cNvPr id="1054" name="AutoShape 30"/>
        <xdr:cNvCxnSpPr>
          <a:cxnSpLocks noChangeShapeType="1"/>
          <a:stCxn id="1040" idx="3"/>
          <a:endCxn id="1038" idx="1"/>
        </xdr:cNvCxnSpPr>
      </xdr:nvCxnSpPr>
      <xdr:spPr bwMode="auto">
        <a:xfrm>
          <a:off x="3409950" y="7524750"/>
          <a:ext cx="3810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266700</xdr:colOff>
      <xdr:row>40</xdr:row>
      <xdr:rowOff>47625</xdr:rowOff>
    </xdr:from>
    <xdr:to>
      <xdr:col>3</xdr:col>
      <xdr:colOff>676275</xdr:colOff>
      <xdr:row>40</xdr:row>
      <xdr:rowOff>47625</xdr:rowOff>
    </xdr:to>
    <xdr:cxnSp macro="">
      <xdr:nvCxnSpPr>
        <xdr:cNvPr id="1055" name="AutoShape 31"/>
        <xdr:cNvCxnSpPr>
          <a:cxnSpLocks noChangeShapeType="1"/>
          <a:stCxn id="1033" idx="3"/>
          <a:endCxn id="1030" idx="1"/>
        </xdr:cNvCxnSpPr>
      </xdr:nvCxnSpPr>
      <xdr:spPr bwMode="auto">
        <a:xfrm>
          <a:off x="4381500" y="6534150"/>
          <a:ext cx="4095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390525</xdr:colOff>
      <xdr:row>46</xdr:row>
      <xdr:rowOff>152400</xdr:rowOff>
    </xdr:from>
    <xdr:to>
      <xdr:col>4</xdr:col>
      <xdr:colOff>400050</xdr:colOff>
      <xdr:row>49</xdr:row>
      <xdr:rowOff>28575</xdr:rowOff>
    </xdr:to>
    <xdr:cxnSp macro="">
      <xdr:nvCxnSpPr>
        <xdr:cNvPr id="1057" name="AutoShape 33"/>
        <xdr:cNvCxnSpPr>
          <a:cxnSpLocks noChangeShapeType="1"/>
          <a:stCxn id="1038" idx="3"/>
          <a:endCxn id="1039" idx="1"/>
        </xdr:cNvCxnSpPr>
      </xdr:nvCxnSpPr>
      <xdr:spPr bwMode="auto">
        <a:xfrm flipV="1">
          <a:off x="4505325" y="7610475"/>
          <a:ext cx="714375" cy="361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647700</xdr:colOff>
      <xdr:row>40</xdr:row>
      <xdr:rowOff>28575</xdr:rowOff>
    </xdr:from>
    <xdr:to>
      <xdr:col>5</xdr:col>
      <xdr:colOff>180975</xdr:colOff>
      <xdr:row>40</xdr:row>
      <xdr:rowOff>47625</xdr:rowOff>
    </xdr:to>
    <xdr:cxnSp macro="">
      <xdr:nvCxnSpPr>
        <xdr:cNvPr id="1058" name="AutoShape 34"/>
        <xdr:cNvCxnSpPr>
          <a:cxnSpLocks noChangeShapeType="1"/>
          <a:stCxn id="1030" idx="3"/>
          <a:endCxn id="1036" idx="1"/>
        </xdr:cNvCxnSpPr>
      </xdr:nvCxnSpPr>
      <xdr:spPr bwMode="auto">
        <a:xfrm flipV="1">
          <a:off x="5467350" y="6515100"/>
          <a:ext cx="2381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6</xdr:col>
      <xdr:colOff>266700</xdr:colOff>
      <xdr:row>40</xdr:row>
      <xdr:rowOff>28575</xdr:rowOff>
    </xdr:from>
    <xdr:to>
      <xdr:col>6</xdr:col>
      <xdr:colOff>523875</xdr:colOff>
      <xdr:row>40</xdr:row>
      <xdr:rowOff>28575</xdr:rowOff>
    </xdr:to>
    <xdr:cxnSp macro="">
      <xdr:nvCxnSpPr>
        <xdr:cNvPr id="1059" name="AutoShape 35"/>
        <xdr:cNvCxnSpPr>
          <a:cxnSpLocks noChangeShapeType="1"/>
          <a:stCxn id="1036" idx="3"/>
          <a:endCxn id="1035" idx="1"/>
        </xdr:cNvCxnSpPr>
      </xdr:nvCxnSpPr>
      <xdr:spPr bwMode="auto">
        <a:xfrm>
          <a:off x="6496050" y="651510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647700</xdr:colOff>
      <xdr:row>44</xdr:row>
      <xdr:rowOff>95250</xdr:rowOff>
    </xdr:from>
    <xdr:to>
      <xdr:col>6</xdr:col>
      <xdr:colOff>533400</xdr:colOff>
      <xdr:row>46</xdr:row>
      <xdr:rowOff>152400</xdr:rowOff>
    </xdr:to>
    <xdr:cxnSp macro="">
      <xdr:nvCxnSpPr>
        <xdr:cNvPr id="1060" name="AutoShape 36"/>
        <xdr:cNvCxnSpPr>
          <a:cxnSpLocks noChangeShapeType="1"/>
          <a:stCxn id="1039" idx="3"/>
          <a:endCxn id="1037" idx="1"/>
        </xdr:cNvCxnSpPr>
      </xdr:nvCxnSpPr>
      <xdr:spPr bwMode="auto">
        <a:xfrm flipV="1">
          <a:off x="6172200" y="7229475"/>
          <a:ext cx="590550" cy="381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171450</xdr:colOff>
      <xdr:row>38</xdr:row>
      <xdr:rowOff>57150</xdr:rowOff>
    </xdr:from>
    <xdr:to>
      <xdr:col>13</xdr:col>
      <xdr:colOff>361950</xdr:colOff>
      <xdr:row>49</xdr:row>
      <xdr:rowOff>104775</xdr:rowOff>
    </xdr:to>
    <xdr:grpSp>
      <xdr:nvGrpSpPr>
        <xdr:cNvPr id="1073" name="Group 49"/>
        <xdr:cNvGrpSpPr>
          <a:grpSpLocks/>
        </xdr:cNvGrpSpPr>
      </xdr:nvGrpSpPr>
      <xdr:grpSpPr bwMode="auto">
        <a:xfrm>
          <a:off x="7629525" y="6219825"/>
          <a:ext cx="4181475" cy="1828800"/>
          <a:chOff x="800" y="575"/>
          <a:chExt cx="432" cy="192"/>
        </a:xfrm>
      </xdr:grpSpPr>
      <xdr:sp macro="" textlink="">
        <xdr:nvSpPr>
          <xdr:cNvPr id="1031" name="AutoShape 7"/>
          <xdr:cNvSpPr>
            <a:spLocks noChangeArrowheads="1"/>
          </xdr:cNvSpPr>
        </xdr:nvSpPr>
        <xdr:spPr bwMode="auto">
          <a:xfrm>
            <a:off x="952" y="575"/>
            <a:ext cx="61" cy="51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 Personal</a:t>
            </a:r>
          </a:p>
        </xdr:txBody>
      </xdr:sp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953" y="645"/>
            <a:ext cx="61" cy="51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 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Peers</a:t>
            </a:r>
          </a:p>
        </xdr:txBody>
      </xdr:sp>
      <xdr:sp macro="" textlink="">
        <xdr:nvSpPr>
          <xdr:cNvPr id="1041" name="AutoShape 17"/>
          <xdr:cNvSpPr>
            <a:spLocks noChangeArrowheads="1"/>
          </xdr:cNvSpPr>
        </xdr:nvSpPr>
        <xdr:spPr bwMode="auto">
          <a:xfrm>
            <a:off x="842" y="642"/>
            <a:ext cx="71" cy="51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 Model Validation</a:t>
            </a:r>
          </a:p>
        </xdr:txBody>
      </xdr:sp>
      <xdr:sp macro="" textlink="">
        <xdr:nvSpPr>
          <xdr:cNvPr id="1042" name="AutoShape 18"/>
          <xdr:cNvSpPr>
            <a:spLocks noChangeArrowheads="1"/>
          </xdr:cNvSpPr>
        </xdr:nvSpPr>
        <xdr:spPr bwMode="auto">
          <a:xfrm>
            <a:off x="953" y="716"/>
            <a:ext cx="70" cy="51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Producers</a:t>
            </a:r>
          </a:p>
        </xdr:txBody>
      </xdr:sp>
      <xdr:sp macro="" textlink="">
        <xdr:nvSpPr>
          <xdr:cNvPr id="1044" name="AutoShape 20"/>
          <xdr:cNvSpPr>
            <a:spLocks noChangeArrowheads="1"/>
          </xdr:cNvSpPr>
        </xdr:nvSpPr>
        <xdr:spPr bwMode="auto">
          <a:xfrm>
            <a:off x="1144" y="631"/>
            <a:ext cx="88" cy="51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 Model Application</a:t>
            </a:r>
          </a:p>
        </xdr:txBody>
      </xdr:sp>
      <xdr:sp macro="" textlink="">
        <xdr:nvSpPr>
          <xdr:cNvPr id="1045" name="AutoShape 21"/>
          <xdr:cNvSpPr>
            <a:spLocks noChangeArrowheads="1"/>
          </xdr:cNvSpPr>
        </xdr:nvSpPr>
        <xdr:spPr bwMode="auto">
          <a:xfrm>
            <a:off x="1056" y="629"/>
            <a:ext cx="61" cy="61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 Refine Model</a:t>
            </a:r>
          </a:p>
        </xdr:txBody>
      </xdr:sp>
      <xdr:cxnSp macro="">
        <xdr:nvCxnSpPr>
          <xdr:cNvPr id="1062" name="AutoShape 38"/>
          <xdr:cNvCxnSpPr>
            <a:cxnSpLocks noChangeShapeType="1"/>
            <a:stCxn id="1037" idx="3"/>
            <a:endCxn id="1041" idx="1"/>
          </xdr:cNvCxnSpPr>
        </xdr:nvCxnSpPr>
        <xdr:spPr bwMode="auto">
          <a:xfrm flipV="1">
            <a:off x="800" y="668"/>
            <a:ext cx="42" cy="1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1063" name="AutoShape 39"/>
          <xdr:cNvCxnSpPr>
            <a:cxnSpLocks noChangeShapeType="1"/>
            <a:stCxn id="1041" idx="3"/>
            <a:endCxn id="1031" idx="1"/>
          </xdr:cNvCxnSpPr>
        </xdr:nvCxnSpPr>
        <xdr:spPr bwMode="auto">
          <a:xfrm flipV="1">
            <a:off x="913" y="601"/>
            <a:ext cx="39" cy="67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1064" name="AutoShape 40"/>
          <xdr:cNvCxnSpPr>
            <a:cxnSpLocks noChangeShapeType="1"/>
            <a:stCxn id="1041" idx="3"/>
            <a:endCxn id="1032" idx="1"/>
          </xdr:cNvCxnSpPr>
        </xdr:nvCxnSpPr>
        <xdr:spPr bwMode="auto">
          <a:xfrm>
            <a:off x="913" y="668"/>
            <a:ext cx="40" cy="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1065" name="AutoShape 41"/>
          <xdr:cNvCxnSpPr>
            <a:cxnSpLocks noChangeShapeType="1"/>
            <a:stCxn id="1031" idx="3"/>
            <a:endCxn id="1045" idx="1"/>
          </xdr:cNvCxnSpPr>
        </xdr:nvCxnSpPr>
        <xdr:spPr bwMode="auto">
          <a:xfrm>
            <a:off x="1013" y="601"/>
            <a:ext cx="43" cy="5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1066" name="AutoShape 42"/>
          <xdr:cNvCxnSpPr>
            <a:cxnSpLocks noChangeShapeType="1"/>
            <a:stCxn id="1032" idx="3"/>
            <a:endCxn id="1045" idx="1"/>
          </xdr:cNvCxnSpPr>
        </xdr:nvCxnSpPr>
        <xdr:spPr bwMode="auto">
          <a:xfrm flipV="1">
            <a:off x="1014" y="660"/>
            <a:ext cx="42" cy="1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1067" name="AutoShape 43"/>
          <xdr:cNvCxnSpPr>
            <a:cxnSpLocks noChangeShapeType="1"/>
            <a:stCxn id="1042" idx="3"/>
          </xdr:cNvCxnSpPr>
        </xdr:nvCxnSpPr>
        <xdr:spPr bwMode="auto">
          <a:xfrm flipV="1">
            <a:off x="1023" y="662"/>
            <a:ext cx="35" cy="8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1068" name="AutoShape 44"/>
          <xdr:cNvCxnSpPr>
            <a:cxnSpLocks noChangeShapeType="1"/>
            <a:stCxn id="1041" idx="3"/>
            <a:endCxn id="1042" idx="1"/>
          </xdr:cNvCxnSpPr>
        </xdr:nvCxnSpPr>
        <xdr:spPr bwMode="auto">
          <a:xfrm>
            <a:off x="913" y="668"/>
            <a:ext cx="40" cy="7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1069" name="AutoShape 45"/>
          <xdr:cNvCxnSpPr>
            <a:cxnSpLocks noChangeShapeType="1"/>
            <a:stCxn id="1045" idx="3"/>
            <a:endCxn id="1044" idx="1"/>
          </xdr:cNvCxnSpPr>
        </xdr:nvCxnSpPr>
        <xdr:spPr bwMode="auto">
          <a:xfrm flipV="1">
            <a:off x="1117" y="657"/>
            <a:ext cx="27" cy="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</xdr:grpSp>
    <xdr:clientData/>
  </xdr:twoCellAnchor>
  <xdr:twoCellAnchor>
    <xdr:from>
      <xdr:col>7</xdr:col>
      <xdr:colOff>304800</xdr:colOff>
      <xdr:row>41</xdr:row>
      <xdr:rowOff>104775</xdr:rowOff>
    </xdr:from>
    <xdr:to>
      <xdr:col>7</xdr:col>
      <xdr:colOff>342900</xdr:colOff>
      <xdr:row>43</xdr:row>
      <xdr:rowOff>9525</xdr:rowOff>
    </xdr:to>
    <xdr:cxnSp macro="">
      <xdr:nvCxnSpPr>
        <xdr:cNvPr id="1070" name="AutoShape 46"/>
        <xdr:cNvCxnSpPr>
          <a:cxnSpLocks noChangeShapeType="1"/>
          <a:stCxn id="1035" idx="2"/>
          <a:endCxn id="1037" idx="0"/>
        </xdr:cNvCxnSpPr>
      </xdr:nvCxnSpPr>
      <xdr:spPr bwMode="auto">
        <a:xfrm>
          <a:off x="7153275" y="6753225"/>
          <a:ext cx="38100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276225</xdr:colOff>
      <xdr:row>44</xdr:row>
      <xdr:rowOff>95250</xdr:rowOff>
    </xdr:from>
    <xdr:to>
      <xdr:col>6</xdr:col>
      <xdr:colOff>533400</xdr:colOff>
      <xdr:row>44</xdr:row>
      <xdr:rowOff>123825</xdr:rowOff>
    </xdr:to>
    <xdr:cxnSp macro="">
      <xdr:nvCxnSpPr>
        <xdr:cNvPr id="1072" name="AutoShape 48"/>
        <xdr:cNvCxnSpPr>
          <a:cxnSpLocks noChangeShapeType="1"/>
          <a:stCxn id="1029" idx="3"/>
          <a:endCxn id="1037" idx="1"/>
        </xdr:cNvCxnSpPr>
      </xdr:nvCxnSpPr>
      <xdr:spPr bwMode="auto">
        <a:xfrm flipV="1">
          <a:off x="4391025" y="7229475"/>
          <a:ext cx="2371725" cy="28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tabSelected="1" workbookViewId="0">
      <selection activeCell="A3" sqref="A3"/>
    </sheetView>
  </sheetViews>
  <sheetFormatPr defaultRowHeight="12.75"/>
  <cols>
    <col min="2" max="2" width="41" customWidth="1"/>
    <col min="3" max="3" width="11.5703125" customWidth="1"/>
    <col min="4" max="5" width="10.5703125" bestFit="1" customWidth="1"/>
    <col min="6" max="6" width="10.5703125" customWidth="1"/>
    <col min="7" max="7" width="9.28515625" customWidth="1"/>
    <col min="9" max="9" width="10.28515625" bestFit="1" customWidth="1"/>
    <col min="12" max="12" width="18.7109375" customWidth="1"/>
    <col min="13" max="13" width="12.5703125" customWidth="1"/>
  </cols>
  <sheetData>
    <row r="1" spans="1:13">
      <c r="A1" s="16" t="str">
        <f ca="1">_xll.WBNAME()</f>
        <v>Project Management Demo.xlsx</v>
      </c>
    </row>
    <row r="2" spans="1:13">
      <c r="A2" t="s">
        <v>35</v>
      </c>
    </row>
    <row r="3" spans="1:13">
      <c r="A3" t="s">
        <v>70</v>
      </c>
    </row>
    <row r="4" spans="1:13">
      <c r="A4" t="s">
        <v>57</v>
      </c>
    </row>
    <row r="5" spans="1:13">
      <c r="A5" s="16" t="s">
        <v>43</v>
      </c>
    </row>
    <row r="6" spans="1:13">
      <c r="A6" s="16"/>
    </row>
    <row r="7" spans="1:13">
      <c r="A7" s="16"/>
      <c r="I7" s="7" t="s">
        <v>27</v>
      </c>
    </row>
    <row r="8" spans="1:13">
      <c r="C8" s="3" t="s">
        <v>21</v>
      </c>
      <c r="D8" s="3" t="s">
        <v>16</v>
      </c>
      <c r="E8" s="3" t="s">
        <v>18</v>
      </c>
      <c r="F8" s="3" t="s">
        <v>20</v>
      </c>
      <c r="G8" s="3" t="s">
        <v>50</v>
      </c>
      <c r="H8" s="3" t="s">
        <v>37</v>
      </c>
      <c r="I8" s="22" t="s">
        <v>52</v>
      </c>
      <c r="J8" s="22" t="s">
        <v>53</v>
      </c>
      <c r="K8" s="22" t="s">
        <v>56</v>
      </c>
      <c r="L8" s="15" t="s">
        <v>40</v>
      </c>
      <c r="M8" s="15"/>
    </row>
    <row r="9" spans="1:13">
      <c r="A9" s="8" t="s">
        <v>38</v>
      </c>
      <c r="B9" s="9" t="s">
        <v>49</v>
      </c>
      <c r="C9" s="9" t="s">
        <v>44</v>
      </c>
      <c r="D9" s="9" t="s">
        <v>17</v>
      </c>
      <c r="E9" s="9" t="s">
        <v>19</v>
      </c>
      <c r="F9" s="9" t="s">
        <v>19</v>
      </c>
      <c r="G9" s="18" t="s">
        <v>51</v>
      </c>
      <c r="H9" s="18" t="s">
        <v>36</v>
      </c>
      <c r="I9" s="18" t="s">
        <v>54</v>
      </c>
      <c r="J9" s="18" t="s">
        <v>53</v>
      </c>
      <c r="K9" s="18" t="s">
        <v>55</v>
      </c>
      <c r="L9" s="17" t="s">
        <v>41</v>
      </c>
      <c r="M9" s="17" t="s">
        <v>42</v>
      </c>
    </row>
    <row r="10" spans="1:13">
      <c r="A10" s="3">
        <v>1</v>
      </c>
      <c r="B10" t="s">
        <v>9</v>
      </c>
      <c r="C10" s="3">
        <v>0</v>
      </c>
      <c r="D10" s="5">
        <f ca="1">_xll.GRK(I10,J10,K10,_xll.UNIFORM())</f>
        <v>10.056325329180922</v>
      </c>
      <c r="E10" s="6" t="s">
        <v>25</v>
      </c>
      <c r="F10" s="5">
        <f ca="1">D10</f>
        <v>10.056325329180922</v>
      </c>
      <c r="G10">
        <v>100</v>
      </c>
      <c r="H10" s="11">
        <f ca="1">G10*D10</f>
        <v>1005.6325329180922</v>
      </c>
      <c r="I10">
        <v>10</v>
      </c>
      <c r="J10">
        <v>20</v>
      </c>
      <c r="K10">
        <v>30</v>
      </c>
      <c r="L10" s="1" t="str">
        <f ca="1">_xll.VFORMULA(E10)</f>
        <v>-</v>
      </c>
      <c r="M10" s="1" t="str">
        <f ca="1">_xll.VFORMULA(F10)</f>
        <v>=D10</v>
      </c>
    </row>
    <row r="11" spans="1:13">
      <c r="A11" s="3">
        <v>2</v>
      </c>
      <c r="B11" t="s">
        <v>0</v>
      </c>
      <c r="C11" s="3">
        <v>1</v>
      </c>
      <c r="D11" s="5">
        <f ca="1">_xll.GRK(I11,J11,K11,_xll.UNIFORM())</f>
        <v>2.4992156206493212</v>
      </c>
      <c r="E11" s="5">
        <f ca="1">F10</f>
        <v>10.056325329180922</v>
      </c>
      <c r="F11" s="5">
        <f ca="1">D11+E11</f>
        <v>12.555540949830243</v>
      </c>
      <c r="G11">
        <v>100</v>
      </c>
      <c r="H11" s="11">
        <f ca="1">G11*D11</f>
        <v>249.92156206493212</v>
      </c>
      <c r="I11">
        <v>1</v>
      </c>
      <c r="J11">
        <v>2</v>
      </c>
      <c r="K11">
        <v>4</v>
      </c>
      <c r="L11" s="1" t="str">
        <f ca="1">_xll.VFORMULA(E11)</f>
        <v>=F10</v>
      </c>
      <c r="M11" s="1" t="str">
        <f ca="1">_xll.VFORMULA(F11)</f>
        <v>=D11+E11</v>
      </c>
    </row>
    <row r="12" spans="1:13">
      <c r="A12" s="3">
        <v>3</v>
      </c>
      <c r="B12" t="s">
        <v>1</v>
      </c>
      <c r="C12" s="3">
        <v>1</v>
      </c>
      <c r="D12" s="5">
        <f ca="1">_xll.GRK(I12,J12,K12,_xll.UNIFORM())</f>
        <v>1.837898376053525</v>
      </c>
      <c r="E12" s="5">
        <f ca="1">F10</f>
        <v>10.056325329180922</v>
      </c>
      <c r="F12" s="5">
        <f ca="1">D12+E12</f>
        <v>11.894223705234447</v>
      </c>
      <c r="G12">
        <v>100</v>
      </c>
      <c r="H12" s="11">
        <f ca="1">G12*D12</f>
        <v>183.78983760535249</v>
      </c>
      <c r="I12">
        <v>1</v>
      </c>
      <c r="J12">
        <v>2</v>
      </c>
      <c r="K12">
        <v>5</v>
      </c>
      <c r="L12" s="1" t="str">
        <f ca="1">_xll.VFORMULA(E12)</f>
        <v>=F10</v>
      </c>
      <c r="M12" s="1" t="str">
        <f ca="1">_xll.VFORMULA(F12)</f>
        <v>=D12+E12</v>
      </c>
    </row>
    <row r="13" spans="1:13">
      <c r="A13" s="3">
        <v>4</v>
      </c>
      <c r="B13" t="s">
        <v>10</v>
      </c>
      <c r="C13" s="3" t="s">
        <v>22</v>
      </c>
      <c r="D13" s="5">
        <f ca="1">_xll.GRK(I13,J13,K13,_xll.UNIFORM())</f>
        <v>7.4686479665701659</v>
      </c>
      <c r="E13" s="5">
        <f ca="1">MAX(F11,F12)</f>
        <v>12.555540949830243</v>
      </c>
      <c r="F13" s="5">
        <f ca="1">D13+E13</f>
        <v>20.024188916400409</v>
      </c>
      <c r="G13">
        <v>100</v>
      </c>
      <c r="H13" s="11">
        <f ca="1">G13*D13</f>
        <v>746.86479665701654</v>
      </c>
      <c r="I13">
        <v>3</v>
      </c>
      <c r="J13">
        <v>5</v>
      </c>
      <c r="K13">
        <v>10</v>
      </c>
      <c r="L13" s="1" t="str">
        <f ca="1">_xll.VFORMULA(E13)</f>
        <v>=MAX(F11,F12)</v>
      </c>
      <c r="M13" s="1" t="str">
        <f ca="1">_xll.VFORMULA(F13)</f>
        <v>=D13+E13</v>
      </c>
    </row>
    <row r="14" spans="1:13">
      <c r="A14" s="3">
        <v>5</v>
      </c>
      <c r="B14" s="1" t="s">
        <v>11</v>
      </c>
      <c r="C14" s="3">
        <v>4</v>
      </c>
      <c r="D14" s="5">
        <f ca="1">_xll.GRK(I14,J14,K14,_xll.UNIFORM())</f>
        <v>6.6013088502309278</v>
      </c>
      <c r="E14" s="5">
        <f ca="1">F13</f>
        <v>20.024188916400409</v>
      </c>
      <c r="F14" s="5">
        <f ca="1">D14+E14</f>
        <v>26.625497766631337</v>
      </c>
      <c r="G14">
        <v>200</v>
      </c>
      <c r="H14" s="11">
        <f ca="1">G14*D14</f>
        <v>1320.2617700461856</v>
      </c>
      <c r="I14">
        <v>5</v>
      </c>
      <c r="J14">
        <v>10</v>
      </c>
      <c r="K14">
        <v>20</v>
      </c>
      <c r="L14" s="1" t="str">
        <f ca="1">_xll.VFORMULA(E14)</f>
        <v>=F13</v>
      </c>
      <c r="M14" s="1" t="str">
        <f ca="1">_xll.VFORMULA(F14)</f>
        <v>=D14+E14</v>
      </c>
    </row>
    <row r="15" spans="1:13">
      <c r="A15" s="3"/>
      <c r="B15" s="1"/>
      <c r="C15" s="3"/>
      <c r="D15" s="5"/>
      <c r="E15" s="5"/>
      <c r="F15" s="5"/>
      <c r="H15" s="11"/>
      <c r="L15" s="1" t="str">
        <f ca="1">_xll.VFORMULA(E15)</f>
        <v/>
      </c>
      <c r="M15" s="1" t="str">
        <f ca="1">_xll.VFORMULA(F15)</f>
        <v/>
      </c>
    </row>
    <row r="16" spans="1:13">
      <c r="A16" s="3">
        <v>6</v>
      </c>
      <c r="B16" t="s">
        <v>2</v>
      </c>
      <c r="C16" s="3">
        <v>4</v>
      </c>
      <c r="D16" s="5">
        <f ca="1">_xll.GRK(I16,J16,K16,_xll.UNIFORM())</f>
        <v>3.9251798871512849</v>
      </c>
      <c r="E16" s="5">
        <f ca="1">F13</f>
        <v>20.024188916400409</v>
      </c>
      <c r="F16" s="5">
        <f ca="1">D16+E16</f>
        <v>23.949368803551693</v>
      </c>
      <c r="G16">
        <v>100</v>
      </c>
      <c r="H16" s="11">
        <f ca="1">G16*D16</f>
        <v>392.51798871512847</v>
      </c>
      <c r="I16">
        <v>2</v>
      </c>
      <c r="J16">
        <v>3</v>
      </c>
      <c r="K16">
        <v>6</v>
      </c>
      <c r="L16" s="1" t="str">
        <f ca="1">_xll.VFORMULA(E16)</f>
        <v>=F13</v>
      </c>
      <c r="M16" s="1" t="str">
        <f ca="1">_xll.VFORMULA(F16)</f>
        <v>=D16+E16</v>
      </c>
    </row>
    <row r="17" spans="1:13">
      <c r="A17" s="3">
        <v>7</v>
      </c>
      <c r="B17" s="1" t="s">
        <v>12</v>
      </c>
      <c r="C17" s="3">
        <v>6</v>
      </c>
      <c r="D17" s="5">
        <f ca="1">_xll.GRK(I17,J17,K17,_xll.UNIFORM())</f>
        <v>223.13574308341282</v>
      </c>
      <c r="E17" s="5">
        <f ca="1">F16</f>
        <v>23.949368803551693</v>
      </c>
      <c r="F17" s="5">
        <f ca="1">D17+E17</f>
        <v>247.08511188696451</v>
      </c>
      <c r="G17">
        <v>50</v>
      </c>
      <c r="H17" s="11">
        <f ca="1">G17*D17</f>
        <v>11156.787154170641</v>
      </c>
      <c r="I17">
        <v>100</v>
      </c>
      <c r="J17">
        <v>200</v>
      </c>
      <c r="K17">
        <v>300</v>
      </c>
      <c r="L17" s="1" t="str">
        <f ca="1">_xll.VFORMULA(E17)</f>
        <v>=F16</v>
      </c>
      <c r="M17" s="1" t="str">
        <f ca="1">_xll.VFORMULA(F17)</f>
        <v>=D17+E17</v>
      </c>
    </row>
    <row r="18" spans="1:13">
      <c r="A18" s="3">
        <v>8</v>
      </c>
      <c r="B18" s="1" t="s">
        <v>13</v>
      </c>
      <c r="C18" s="3">
        <v>6</v>
      </c>
      <c r="D18" s="5">
        <f ca="1">_xll.GRK(I18,J18,K18,_xll.UNIFORM())</f>
        <v>14.901575464319619</v>
      </c>
      <c r="E18" s="5">
        <f ca="1">F16</f>
        <v>23.949368803551693</v>
      </c>
      <c r="F18" s="5">
        <f ca="1">D18+E18</f>
        <v>38.850944267871313</v>
      </c>
      <c r="G18">
        <v>50</v>
      </c>
      <c r="H18" s="11">
        <f ca="1">G18*D18</f>
        <v>745.07877321598096</v>
      </c>
      <c r="I18">
        <v>10</v>
      </c>
      <c r="J18">
        <v>15</v>
      </c>
      <c r="K18">
        <v>30</v>
      </c>
      <c r="L18" s="1" t="str">
        <f ca="1">_xll.VFORMULA(E18)</f>
        <v>=F16</v>
      </c>
      <c r="M18" s="1" t="str">
        <f ca="1">_xll.VFORMULA(F18)</f>
        <v>=D18+E18</v>
      </c>
    </row>
    <row r="19" spans="1:13">
      <c r="A19" s="3">
        <v>9</v>
      </c>
      <c r="B19" s="1" t="s">
        <v>4</v>
      </c>
      <c r="C19" s="3">
        <v>8</v>
      </c>
      <c r="D19" s="5">
        <f ca="1">_xll.GRK(I19,J19,K19,_xll.UNIFORM())</f>
        <v>13.797715490341155</v>
      </c>
      <c r="E19" s="5">
        <f ca="1">F18</f>
        <v>38.850944267871313</v>
      </c>
      <c r="F19" s="5">
        <f ca="1">D19+E19</f>
        <v>52.648659758212467</v>
      </c>
      <c r="G19">
        <v>150</v>
      </c>
      <c r="H19" s="11">
        <f ca="1">G19*D19</f>
        <v>2069.6573235511732</v>
      </c>
      <c r="I19">
        <v>10</v>
      </c>
      <c r="J19">
        <v>30</v>
      </c>
      <c r="K19">
        <v>60</v>
      </c>
      <c r="L19" s="1" t="str">
        <f ca="1">_xll.VFORMULA(E19)</f>
        <v>=F18</v>
      </c>
      <c r="M19" s="1" t="str">
        <f ca="1">_xll.VFORMULA(F19)</f>
        <v>=D19+E19</v>
      </c>
    </row>
    <row r="20" spans="1:13">
      <c r="A20" s="3"/>
      <c r="B20" s="1"/>
      <c r="C20" s="3"/>
      <c r="D20" s="5"/>
      <c r="E20" s="5"/>
      <c r="F20" s="5"/>
      <c r="H20" s="11"/>
      <c r="L20" s="1"/>
      <c r="M20" s="1" t="str">
        <f ca="1">_xll.VFORMULA(F20)</f>
        <v/>
      </c>
    </row>
    <row r="21" spans="1:13">
      <c r="A21" s="3">
        <v>10</v>
      </c>
      <c r="B21" t="s">
        <v>3</v>
      </c>
      <c r="C21" s="3">
        <v>5</v>
      </c>
      <c r="D21" s="5">
        <f ca="1">_xll.GRK(I21,J21,K21,_xll.UNIFORM())</f>
        <v>1.577890338220955</v>
      </c>
      <c r="E21" s="5">
        <f ca="1">F14</f>
        <v>26.625497766631337</v>
      </c>
      <c r="F21" s="5">
        <f ca="1">D21+E21</f>
        <v>28.203388104852291</v>
      </c>
      <c r="G21">
        <v>150</v>
      </c>
      <c r="H21" s="11">
        <f ca="1">G21*D21</f>
        <v>236.68355073314325</v>
      </c>
      <c r="I21">
        <v>1</v>
      </c>
      <c r="J21">
        <v>2</v>
      </c>
      <c r="K21">
        <v>4</v>
      </c>
      <c r="L21" s="1" t="str">
        <f ca="1">_xll.VFORMULA(E21)</f>
        <v>=F14</v>
      </c>
      <c r="M21" s="1" t="str">
        <f ca="1">_xll.VFORMULA(F21)</f>
        <v>=D21+E21</v>
      </c>
    </row>
    <row r="22" spans="1:13">
      <c r="A22" s="3">
        <v>11</v>
      </c>
      <c r="B22" s="1" t="s">
        <v>14</v>
      </c>
      <c r="C22" s="3">
        <v>10</v>
      </c>
      <c r="D22" s="5">
        <f ca="1">_xll.GRK(I22,J22,K22,_xll.UNIFORM())</f>
        <v>17.889861404264419</v>
      </c>
      <c r="E22" s="5">
        <f ca="1">F21</f>
        <v>28.203388104852291</v>
      </c>
      <c r="F22" s="5">
        <f ca="1">D22+E22</f>
        <v>46.09324950911671</v>
      </c>
      <c r="G22">
        <v>50</v>
      </c>
      <c r="H22" s="11">
        <f ca="1">G22*D22</f>
        <v>894.4930702132209</v>
      </c>
      <c r="I22">
        <v>20</v>
      </c>
      <c r="J22">
        <v>30</v>
      </c>
      <c r="K22">
        <v>60</v>
      </c>
      <c r="L22" s="1" t="str">
        <f ca="1">_xll.VFORMULA(E22)</f>
        <v>=F21</v>
      </c>
      <c r="M22" s="1" t="str">
        <f ca="1">_xll.VFORMULA(F22)</f>
        <v>=D22+E22</v>
      </c>
    </row>
    <row r="23" spans="1:13">
      <c r="A23" s="3">
        <v>12</v>
      </c>
      <c r="B23" s="1" t="s">
        <v>45</v>
      </c>
      <c r="C23" s="3">
        <v>11</v>
      </c>
      <c r="D23" s="5">
        <f ca="1">_xll.GRK(I23,J23,K23,_xll.UNIFORM())</f>
        <v>8.6560445616924948</v>
      </c>
      <c r="E23" s="5">
        <f ca="1">F22</f>
        <v>46.09324950911671</v>
      </c>
      <c r="F23" s="5">
        <f ca="1">D23+E23</f>
        <v>54.749294070809206</v>
      </c>
      <c r="G23">
        <v>150</v>
      </c>
      <c r="H23" s="11">
        <f ca="1">G23*D23</f>
        <v>1298.4066842538741</v>
      </c>
      <c r="I23">
        <v>5</v>
      </c>
      <c r="J23">
        <v>10</v>
      </c>
      <c r="K23">
        <v>20</v>
      </c>
      <c r="L23" s="1" t="str">
        <f ca="1">_xll.VFORMULA(E23)</f>
        <v>=F22</v>
      </c>
      <c r="M23" s="1" t="str">
        <f ca="1">_xll.VFORMULA(F23)</f>
        <v>=D23+E23</v>
      </c>
    </row>
    <row r="24" spans="1:13">
      <c r="A24" s="3">
        <v>13</v>
      </c>
      <c r="B24" s="1" t="s">
        <v>7</v>
      </c>
      <c r="C24" s="3">
        <v>12</v>
      </c>
      <c r="D24" s="5">
        <f ca="1">_xll.GRK(I24,J24,K24,_xll.UNIFORM())</f>
        <v>5.132164885985679</v>
      </c>
      <c r="E24" s="5">
        <f ca="1">F23</f>
        <v>54.749294070809206</v>
      </c>
      <c r="F24" s="5">
        <f ca="1">D24+E24</f>
        <v>59.881458956794887</v>
      </c>
      <c r="G24">
        <v>200</v>
      </c>
      <c r="H24" s="11">
        <f ca="1">G24*D24</f>
        <v>1026.4329771971359</v>
      </c>
      <c r="I24">
        <v>2</v>
      </c>
      <c r="J24">
        <v>3</v>
      </c>
      <c r="K24">
        <v>6</v>
      </c>
      <c r="L24" s="1" t="str">
        <f ca="1">_xll.VFORMULA(E24)</f>
        <v>=F23</v>
      </c>
      <c r="M24" s="1" t="str">
        <f ca="1">_xll.VFORMULA(F24)</f>
        <v>=D24+E24</v>
      </c>
    </row>
    <row r="25" spans="1:13">
      <c r="A25" s="3"/>
      <c r="B25" s="1"/>
      <c r="C25" s="3"/>
      <c r="D25" s="5"/>
      <c r="E25" s="5"/>
      <c r="F25" s="5"/>
      <c r="H25" s="11"/>
      <c r="L25" s="1"/>
      <c r="M25" s="1" t="str">
        <f ca="1">_xll.VFORMULA(F25)</f>
        <v/>
      </c>
    </row>
    <row r="26" spans="1:13">
      <c r="A26" s="3">
        <v>14</v>
      </c>
      <c r="B26" s="2" t="s">
        <v>23</v>
      </c>
      <c r="C26" s="3" t="s">
        <v>26</v>
      </c>
      <c r="D26" s="5">
        <f ca="1">_xll.GRK(I26,J26,K26,_xll.UNIFORM())</f>
        <v>133.71532540093966</v>
      </c>
      <c r="E26" s="5">
        <f ca="1">MAX(F17,F19,F24)</f>
        <v>247.08511188696451</v>
      </c>
      <c r="F26" s="5">
        <f t="shared" ref="F26:F32" ca="1" si="0">D26+E26</f>
        <v>380.80043728790417</v>
      </c>
      <c r="G26">
        <v>250</v>
      </c>
      <c r="H26" s="11">
        <f ca="1">G26*D26</f>
        <v>33428.831350234912</v>
      </c>
      <c r="I26">
        <v>50</v>
      </c>
      <c r="J26">
        <v>100</v>
      </c>
      <c r="K26">
        <v>200</v>
      </c>
      <c r="L26" s="1" t="str">
        <f ca="1">_xll.VFORMULA(E26)</f>
        <v>=MAX(F17,F19,F24)</v>
      </c>
      <c r="M26" s="1" t="str">
        <f ca="1">_xll.VFORMULA(F26)</f>
        <v>=D26+E26</v>
      </c>
    </row>
    <row r="27" spans="1:13">
      <c r="A27" s="3">
        <v>15</v>
      </c>
      <c r="B27" t="s">
        <v>46</v>
      </c>
      <c r="C27" s="3">
        <v>14</v>
      </c>
      <c r="D27" s="5">
        <v>0</v>
      </c>
      <c r="E27" s="5">
        <f ca="1">F26</f>
        <v>380.80043728790417</v>
      </c>
      <c r="F27" s="5">
        <f t="shared" ca="1" si="0"/>
        <v>380.80043728790417</v>
      </c>
      <c r="H27" s="11"/>
      <c r="I27">
        <v>0</v>
      </c>
      <c r="J27">
        <v>0</v>
      </c>
      <c r="K27">
        <v>0</v>
      </c>
      <c r="L27" s="1" t="str">
        <f ca="1">_xll.VFORMULA(E27)</f>
        <v>=F26</v>
      </c>
      <c r="M27" s="1" t="str">
        <f ca="1">_xll.VFORMULA(F27)</f>
        <v>=D27+E27</v>
      </c>
    </row>
    <row r="28" spans="1:13">
      <c r="A28" s="3">
        <v>16</v>
      </c>
      <c r="B28" s="1" t="s">
        <v>8</v>
      </c>
      <c r="C28" s="3">
        <v>15</v>
      </c>
      <c r="D28" s="5">
        <f ca="1">_xll.GRK(I28,J28,K28,_xll.UNIFORM())</f>
        <v>40.432893045354383</v>
      </c>
      <c r="E28" s="5">
        <f ca="1">F27</f>
        <v>380.80043728790417</v>
      </c>
      <c r="F28" s="5">
        <f t="shared" ca="1" si="0"/>
        <v>421.23333033325855</v>
      </c>
      <c r="G28">
        <v>200</v>
      </c>
      <c r="H28" s="11">
        <f ca="1">G28*D28</f>
        <v>8086.5786090708771</v>
      </c>
      <c r="I28">
        <v>30</v>
      </c>
      <c r="J28">
        <v>45</v>
      </c>
      <c r="K28">
        <v>90</v>
      </c>
      <c r="L28" s="1" t="str">
        <f ca="1">_xll.VFORMULA(E28)</f>
        <v>=F27</v>
      </c>
      <c r="M28" s="1" t="str">
        <f ca="1">_xll.VFORMULA(F28)</f>
        <v>=D28+E28</v>
      </c>
    </row>
    <row r="29" spans="1:13">
      <c r="A29" s="3">
        <v>17</v>
      </c>
      <c r="B29" s="1" t="s">
        <v>6</v>
      </c>
      <c r="C29" s="3">
        <v>15</v>
      </c>
      <c r="D29" s="5">
        <f ca="1">_xll.GRK(I29,J29,K29,_xll.UNIFORM())</f>
        <v>98.351887127230526</v>
      </c>
      <c r="E29" s="5">
        <f ca="1">F27</f>
        <v>380.80043728790417</v>
      </c>
      <c r="F29" s="5">
        <f t="shared" ca="1" si="0"/>
        <v>479.15232441513467</v>
      </c>
      <c r="G29">
        <v>100</v>
      </c>
      <c r="H29" s="11">
        <f ca="1">G29*D29</f>
        <v>9835.188712723053</v>
      </c>
      <c r="I29">
        <v>60</v>
      </c>
      <c r="J29">
        <v>100</v>
      </c>
      <c r="K29">
        <v>200</v>
      </c>
      <c r="L29" s="1" t="str">
        <f ca="1">_xll.VFORMULA(E29)</f>
        <v>=F27</v>
      </c>
      <c r="M29" s="1" t="str">
        <f ca="1">_xll.VFORMULA(F29)</f>
        <v>=D29+E29</v>
      </c>
    </row>
    <row r="30" spans="1:13">
      <c r="A30" s="3">
        <v>18</v>
      </c>
      <c r="B30" s="1" t="s">
        <v>5</v>
      </c>
      <c r="C30" s="3">
        <v>15</v>
      </c>
      <c r="D30" s="5">
        <f ca="1">_xll.GRK(I30,J30,K30,_xll.UNIFORM())</f>
        <v>53.810755001617807</v>
      </c>
      <c r="E30" s="5">
        <f ca="1">F27</f>
        <v>380.80043728790417</v>
      </c>
      <c r="F30" s="5">
        <f t="shared" ca="1" si="0"/>
        <v>434.61119228952197</v>
      </c>
      <c r="G30">
        <v>150</v>
      </c>
      <c r="H30" s="11">
        <f ca="1">G30*D30</f>
        <v>8071.6132502426708</v>
      </c>
      <c r="I30">
        <v>40</v>
      </c>
      <c r="J30">
        <v>60</v>
      </c>
      <c r="K30">
        <v>120</v>
      </c>
      <c r="L30" s="1" t="str">
        <f ca="1">_xll.VFORMULA(E30)</f>
        <v>=F27</v>
      </c>
      <c r="M30" s="1" t="str">
        <f ca="1">_xll.VFORMULA(F30)</f>
        <v>=D30+E30</v>
      </c>
    </row>
    <row r="31" spans="1:13">
      <c r="A31" s="3">
        <v>19</v>
      </c>
      <c r="B31" s="2" t="s">
        <v>15</v>
      </c>
      <c r="C31" s="3" t="s">
        <v>24</v>
      </c>
      <c r="D31" s="5">
        <f ca="1">_xll.GRK(I31,J31,K31,_xll.UNIFORM())</f>
        <v>37.448862688526098</v>
      </c>
      <c r="E31" s="5">
        <f ca="1">MAX(F28,F29,F30)</f>
        <v>479.15232441513467</v>
      </c>
      <c r="F31" s="5">
        <f t="shared" ca="1" si="0"/>
        <v>516.60118710366078</v>
      </c>
      <c r="G31">
        <v>250</v>
      </c>
      <c r="H31" s="11">
        <f ca="1">G31*D31</f>
        <v>9362.2156721315241</v>
      </c>
      <c r="I31">
        <v>10</v>
      </c>
      <c r="J31">
        <v>25</v>
      </c>
      <c r="K31">
        <v>50</v>
      </c>
      <c r="L31" s="1" t="str">
        <f ca="1">_xll.VFORMULA(E31)</f>
        <v>=MAX(F28,F29,F30)</v>
      </c>
      <c r="M31" s="1" t="str">
        <f ca="1">_xll.VFORMULA(F31)</f>
        <v>=D31+E31</v>
      </c>
    </row>
    <row r="32" spans="1:13">
      <c r="A32" s="9">
        <v>20</v>
      </c>
      <c r="B32" s="8" t="s">
        <v>30</v>
      </c>
      <c r="C32" s="9">
        <v>19</v>
      </c>
      <c r="D32" s="10">
        <f ca="1">_xll.GRK(I32,J32,K32,_xll.UNIFORM())</f>
        <v>11.147622116435221</v>
      </c>
      <c r="E32" s="10">
        <f ca="1">F31</f>
        <v>516.60118710366078</v>
      </c>
      <c r="F32" s="10">
        <f t="shared" ca="1" si="0"/>
        <v>527.74880922009595</v>
      </c>
      <c r="G32" s="8">
        <v>200</v>
      </c>
      <c r="H32" s="12">
        <f ca="1">G32*D32</f>
        <v>2229.5244232870441</v>
      </c>
      <c r="I32" s="8">
        <v>5</v>
      </c>
      <c r="J32" s="8">
        <v>10</v>
      </c>
      <c r="K32" s="8">
        <v>20</v>
      </c>
      <c r="L32" s="14" t="str">
        <f ca="1">_xll.VFORMULA(E32)</f>
        <v>=F31</v>
      </c>
      <c r="M32" s="14" t="str">
        <f ca="1">_xll.VFORMULA(F32)</f>
        <v>=D32+E32</v>
      </c>
    </row>
    <row r="33" spans="1:14">
      <c r="A33" s="22"/>
      <c r="B33" s="23"/>
      <c r="C33" s="22"/>
      <c r="D33" s="24"/>
      <c r="E33" s="24"/>
      <c r="F33" s="24" t="s">
        <v>39</v>
      </c>
      <c r="G33" s="23"/>
      <c r="H33" s="37" t="s">
        <v>36</v>
      </c>
      <c r="I33" s="23"/>
      <c r="J33" s="23"/>
      <c r="K33" s="23"/>
      <c r="L33" s="25"/>
      <c r="M33" s="25"/>
    </row>
    <row r="34" spans="1:14">
      <c r="A34" s="21" t="s">
        <v>48</v>
      </c>
      <c r="D34" s="5"/>
      <c r="E34" s="26" t="s">
        <v>37</v>
      </c>
      <c r="F34" s="19">
        <f ca="1">F32</f>
        <v>527.74880922009595</v>
      </c>
      <c r="G34" s="27" t="s">
        <v>37</v>
      </c>
      <c r="H34" s="20">
        <f ca="1">SUM(H10:H32)</f>
        <v>92340.480039031972</v>
      </c>
    </row>
    <row r="35" spans="1:14">
      <c r="C35" s="3"/>
      <c r="D35" s="5"/>
      <c r="E35" s="5"/>
      <c r="F35" s="5"/>
      <c r="H35" s="11"/>
    </row>
    <row r="36" spans="1:14">
      <c r="C36" s="3"/>
      <c r="D36" s="5"/>
      <c r="E36" s="5"/>
      <c r="F36" s="5"/>
      <c r="H36" s="11"/>
    </row>
    <row r="37" spans="1:14" ht="13.5" thickBot="1">
      <c r="C37" s="3"/>
      <c r="D37" s="5"/>
      <c r="E37" s="5"/>
      <c r="F37" s="5"/>
    </row>
    <row r="38" spans="1:14" s="13" customFormat="1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4" s="13" customForma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</row>
    <row r="40" spans="1:14" s="13" customForma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</row>
    <row r="41" spans="1:14" s="13" customForma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</row>
    <row r="42" spans="1:14" s="13" customForma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</row>
    <row r="43" spans="1:14" s="13" customForma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</row>
    <row r="44" spans="1:14" s="13" customForma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  <row r="45" spans="1:14" s="13" customForma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</row>
    <row r="46" spans="1:14" s="13" customForma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</row>
    <row r="47" spans="1:14" s="13" customForma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</row>
    <row r="48" spans="1:14" s="13" customForma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</row>
    <row r="49" spans="1:14" s="13" customForma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</row>
    <row r="50" spans="1:14" s="13" customForma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</row>
    <row r="51" spans="1:14" s="13" customForma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</row>
    <row r="52" spans="1:14" s="13" customFormat="1" ht="13.5" thickBot="1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</row>
    <row r="53" spans="1:14" s="13" customFormat="1"/>
    <row r="54" spans="1:14" s="13" customFormat="1"/>
    <row r="55" spans="1:14" s="13" customFormat="1"/>
    <row r="56" spans="1:14" s="13" customFormat="1"/>
    <row r="57" spans="1:14" s="13" customFormat="1"/>
    <row r="58" spans="1:14" s="13" customFormat="1"/>
    <row r="59" spans="1:14" s="13" customFormat="1"/>
    <row r="60" spans="1:14" s="13" customFormat="1"/>
    <row r="61" spans="1:14" s="13" customFormat="1"/>
  </sheetData>
  <sheetProtection password="C9DE" objects="1"/>
  <phoneticPr fontId="0" type="noConversion"/>
  <printOptions headings="1"/>
  <pageMargins left="0.75" right="0.75" top="0.51" bottom="1" header="0.5" footer="0.5"/>
  <pageSetup scale="61" orientation="landscape" r:id="rId1"/>
  <headerFooter alignWithMargins="0">
    <oddFooter>demoprojectmanagement.xls&amp;RPage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workbookViewId="0"/>
  </sheetViews>
  <sheetFormatPr defaultRowHeight="12.75"/>
  <cols>
    <col min="2" max="2" width="9.28515625" bestFit="1" customWidth="1"/>
    <col min="3" max="3" width="10.5703125" bestFit="1" customWidth="1"/>
  </cols>
  <sheetData>
    <row r="1" spans="1:11">
      <c r="A1" t="s">
        <v>69</v>
      </c>
    </row>
    <row r="2" spans="1:11">
      <c r="A2" t="s">
        <v>58</v>
      </c>
      <c r="B2" t="str">
        <f ca="1">ADDRESS(ROW(Sheet1!$F$34),COLUMN(Sheet1!$F$34),4,,_xll.WSNAME(Sheet1!$F$34))</f>
        <v>Sheet1!F34</v>
      </c>
      <c r="C2" t="str">
        <f ca="1">ADDRESS(ROW(Sheet1!$H$34),COLUMN(Sheet1!$H$34),4,,_xll.WSNAME(Sheet1!$H$34))</f>
        <v>Sheet1!H34</v>
      </c>
    </row>
    <row r="3" spans="1:11">
      <c r="A3" t="s">
        <v>31</v>
      </c>
      <c r="B3">
        <f>AVERAGE(B9:B108)</f>
        <v>495.26251644548307</v>
      </c>
      <c r="C3">
        <f>AVERAGE(C9:C108)</f>
        <v>93778.921617117958</v>
      </c>
    </row>
    <row r="4" spans="1:11">
      <c r="A4" t="s">
        <v>32</v>
      </c>
      <c r="B4">
        <f>STDEV(B9:B108)</f>
        <v>72.317857013055232</v>
      </c>
      <c r="C4">
        <f>STDEV(C9:C108)</f>
        <v>12304.565677506116</v>
      </c>
    </row>
    <row r="5" spans="1:11">
      <c r="A5" t="s">
        <v>33</v>
      </c>
      <c r="B5">
        <f>100*B4/B3</f>
        <v>14.601924153695924</v>
      </c>
      <c r="C5">
        <f>100*C4/C3</f>
        <v>13.120822318413287</v>
      </c>
    </row>
    <row r="6" spans="1:11">
      <c r="A6" t="s">
        <v>28</v>
      </c>
      <c r="B6">
        <f>MIN(B9:B108)</f>
        <v>322.04048264245819</v>
      </c>
      <c r="C6">
        <f>MIN(C9:C108)</f>
        <v>70372.844538072706</v>
      </c>
      <c r="H6" s="4"/>
    </row>
    <row r="7" spans="1:11">
      <c r="A7" t="s">
        <v>29</v>
      </c>
      <c r="B7">
        <f>MAX(B9:B108)</f>
        <v>717.10863707055103</v>
      </c>
      <c r="C7">
        <f>MAX(C9:C108)</f>
        <v>149778.58146806309</v>
      </c>
    </row>
    <row r="8" spans="1:11">
      <c r="A8" t="s">
        <v>34</v>
      </c>
      <c r="B8" t="str">
        <f>Sheet1!$F$33</f>
        <v>Days</v>
      </c>
      <c r="C8" t="str">
        <f>Sheet1!$H$33</f>
        <v>Cost</v>
      </c>
    </row>
    <row r="9" spans="1:11">
      <c r="A9">
        <v>1</v>
      </c>
      <c r="B9">
        <v>423.49783978987523</v>
      </c>
      <c r="C9">
        <v>70372.844538072706</v>
      </c>
      <c r="G9" t="str">
        <f>SimData!$B$8</f>
        <v>Days</v>
      </c>
      <c r="H9" t="s">
        <v>47</v>
      </c>
      <c r="J9" t="str">
        <f>SimData!$C$8</f>
        <v>Cost</v>
      </c>
      <c r="K9" t="s">
        <v>47</v>
      </c>
    </row>
    <row r="10" spans="1:11">
      <c r="A10">
        <v>2</v>
      </c>
      <c r="B10">
        <v>482.41880966700921</v>
      </c>
      <c r="C10">
        <v>104320.17300671271</v>
      </c>
      <c r="G10">
        <f>SMALL(SimData!$B$9:$B$108,1)</f>
        <v>322.04048264245819</v>
      </c>
      <c r="H10">
        <v>0</v>
      </c>
      <c r="J10">
        <f>SMALL(SimData!$C$9:$C$108,1)</f>
        <v>70372.844538072706</v>
      </c>
      <c r="K10">
        <v>0</v>
      </c>
    </row>
    <row r="11" spans="1:11">
      <c r="A11">
        <v>3</v>
      </c>
      <c r="B11">
        <v>502.92423643944278</v>
      </c>
      <c r="C11">
        <v>91930.125241909845</v>
      </c>
      <c r="G11">
        <f>SMALL(SimData!$B$9:$B$108,2)</f>
        <v>347.16918283083487</v>
      </c>
      <c r="H11">
        <f>1/(COUNT(SimData!$B$9:$B$108)-1)+$H$10</f>
        <v>1.0101010101010102E-2</v>
      </c>
      <c r="J11">
        <f>SMALL(SimData!$C$9:$C$108,2)</f>
        <v>75838.1448174822</v>
      </c>
      <c r="K11">
        <f>1/(COUNT(SimData!$C$9:$C$108)-1)+$K$10</f>
        <v>1.0101010101010102E-2</v>
      </c>
    </row>
    <row r="12" spans="1:11">
      <c r="A12">
        <v>4</v>
      </c>
      <c r="B12">
        <v>555.18838041978324</v>
      </c>
      <c r="C12">
        <v>94728.51447280671</v>
      </c>
      <c r="G12">
        <f>SMALL(SimData!$B$9:$B$108,3)</f>
        <v>348.21489908641939</v>
      </c>
      <c r="H12">
        <f>1/(COUNT(SimData!$B$9:$B$108)-1)+$H$11</f>
        <v>2.0202020202020204E-2</v>
      </c>
      <c r="J12">
        <f>SMALL(SimData!$C$9:$C$108,3)</f>
        <v>76002.604942988764</v>
      </c>
      <c r="K12">
        <f>1/(COUNT(SimData!$C$9:$C$108)-1)+$K$11</f>
        <v>2.0202020202020204E-2</v>
      </c>
    </row>
    <row r="13" spans="1:11">
      <c r="A13">
        <v>5</v>
      </c>
      <c r="B13">
        <v>553.95540376369172</v>
      </c>
      <c r="C13">
        <v>94878.256299972403</v>
      </c>
      <c r="G13">
        <f>SMALL(SimData!$B$9:$B$108,4)</f>
        <v>357.76503671821632</v>
      </c>
      <c r="H13">
        <f>1/(COUNT(SimData!$B$9:$B$108)-1)+$H$12</f>
        <v>3.0303030303030304E-2</v>
      </c>
      <c r="J13">
        <f>SMALL(SimData!$C$9:$C$108,4)</f>
        <v>76026.694952497695</v>
      </c>
      <c r="K13">
        <f>1/(COUNT(SimData!$C$9:$C$108)-1)+$K$12</f>
        <v>3.0303030303030304E-2</v>
      </c>
    </row>
    <row r="14" spans="1:11">
      <c r="A14">
        <v>6</v>
      </c>
      <c r="B14">
        <v>409.45958264525382</v>
      </c>
      <c r="C14">
        <v>79075.641450831943</v>
      </c>
      <c r="G14">
        <f>SMALL(SimData!$B$9:$B$108,5)</f>
        <v>374.26387671187064</v>
      </c>
      <c r="H14">
        <f>1/(COUNT(SimData!$B$9:$B$108)-1)+$H$13</f>
        <v>4.0404040404040407E-2</v>
      </c>
      <c r="J14">
        <f>SMALL(SimData!$C$9:$C$108,5)</f>
        <v>76399.848866136512</v>
      </c>
      <c r="K14">
        <f>1/(COUNT(SimData!$C$9:$C$108)-1)+$K$13</f>
        <v>4.0404040404040407E-2</v>
      </c>
    </row>
    <row r="15" spans="1:11">
      <c r="A15">
        <v>7</v>
      </c>
      <c r="B15">
        <v>510.15349839087969</v>
      </c>
      <c r="C15">
        <v>102013.17443904559</v>
      </c>
      <c r="G15">
        <f>SMALL(SimData!$B$9:$B$108,6)</f>
        <v>391.09132464814337</v>
      </c>
      <c r="H15">
        <f>1/(COUNT(SimData!$B$9:$B$108)-1)+$H$14</f>
        <v>5.0505050505050511E-2</v>
      </c>
      <c r="J15">
        <f>SMALL(SimData!$C$9:$C$108,6)</f>
        <v>77211.024589277455</v>
      </c>
      <c r="K15">
        <f>1/(COUNT(SimData!$C$9:$C$108)-1)+$K$14</f>
        <v>5.0505050505050511E-2</v>
      </c>
    </row>
    <row r="16" spans="1:11">
      <c r="A16">
        <v>8</v>
      </c>
      <c r="B16">
        <v>480.25753802795981</v>
      </c>
      <c r="C16">
        <v>89961.395417139298</v>
      </c>
      <c r="G16">
        <f>SMALL(SimData!$B$9:$B$108,7)</f>
        <v>404.12392462769049</v>
      </c>
      <c r="H16">
        <f>1/(COUNT(SimData!$B$9:$B$108)-1)+$H$15</f>
        <v>6.0606060606060615E-2</v>
      </c>
      <c r="J16">
        <f>SMALL(SimData!$C$9:$C$108,7)</f>
        <v>77807.913848455966</v>
      </c>
      <c r="K16">
        <f>1/(COUNT(SimData!$C$9:$C$108)-1)+$K$15</f>
        <v>6.0606060606060615E-2</v>
      </c>
    </row>
    <row r="17" spans="1:11">
      <c r="A17">
        <v>9</v>
      </c>
      <c r="B17">
        <v>504.5157881495611</v>
      </c>
      <c r="C17">
        <v>106790.64412283267</v>
      </c>
      <c r="G17">
        <f>SMALL(SimData!$B$9:$B$108,8)</f>
        <v>405.31534144229266</v>
      </c>
      <c r="H17">
        <f>1/(COUNT(SimData!$B$9:$B$108)-1)+$H$16</f>
        <v>7.0707070707070718E-2</v>
      </c>
      <c r="J17">
        <f>SMALL(SimData!$C$9:$C$108,8)</f>
        <v>77988.325894923168</v>
      </c>
      <c r="K17">
        <f>1/(COUNT(SimData!$C$9:$C$108)-1)+$K$16</f>
        <v>7.0707070707070718E-2</v>
      </c>
    </row>
    <row r="18" spans="1:11">
      <c r="A18">
        <v>10</v>
      </c>
      <c r="B18">
        <v>497.56073140945989</v>
      </c>
      <c r="C18">
        <v>94595.915852994207</v>
      </c>
      <c r="G18">
        <f>SMALL(SimData!$B$9:$B$108,9)</f>
        <v>409.45958264525382</v>
      </c>
      <c r="H18">
        <f>1/(COUNT(SimData!$B$9:$B$108)-1)+$H$17</f>
        <v>8.0808080808080815E-2</v>
      </c>
      <c r="J18">
        <f>SMALL(SimData!$C$9:$C$108,9)</f>
        <v>78174.115045589846</v>
      </c>
      <c r="K18">
        <f>1/(COUNT(SimData!$C$9:$C$108)-1)+$K$17</f>
        <v>8.0808080808080815E-2</v>
      </c>
    </row>
    <row r="19" spans="1:11">
      <c r="A19">
        <v>11</v>
      </c>
      <c r="B19">
        <v>590.53898315285346</v>
      </c>
      <c r="C19">
        <v>97245.880203844892</v>
      </c>
      <c r="G19">
        <f>SMALL(SimData!$B$9:$B$108,10)</f>
        <v>410.32355737227692</v>
      </c>
      <c r="H19">
        <f>1/(COUNT(SimData!$B$9:$B$108)-1)+$H$18</f>
        <v>9.0909090909090912E-2</v>
      </c>
      <c r="J19">
        <f>SMALL(SimData!$C$9:$C$108,10)</f>
        <v>78280.144163590623</v>
      </c>
      <c r="K19">
        <f>1/(COUNT(SimData!$C$9:$C$108)-1)+$K$18</f>
        <v>9.0909090909090912E-2</v>
      </c>
    </row>
    <row r="20" spans="1:11">
      <c r="A20">
        <v>12</v>
      </c>
      <c r="B20">
        <v>597.98296331797769</v>
      </c>
      <c r="C20">
        <v>85746.567577804555</v>
      </c>
      <c r="G20">
        <f>SMALL(SimData!$B$9:$B$108,11)</f>
        <v>411.86739231632953</v>
      </c>
      <c r="H20">
        <f>1/(COUNT(SimData!$B$9:$B$108)-1)+$H$19</f>
        <v>0.10101010101010101</v>
      </c>
      <c r="J20">
        <f>SMALL(SimData!$C$9:$C$108,11)</f>
        <v>78783.998963146587</v>
      </c>
      <c r="K20">
        <f>1/(COUNT(SimData!$C$9:$C$108)-1)+$K$19</f>
        <v>0.10101010101010101</v>
      </c>
    </row>
    <row r="21" spans="1:11">
      <c r="A21">
        <v>13</v>
      </c>
      <c r="B21">
        <v>530.26109320018145</v>
      </c>
      <c r="C21">
        <v>97436.610976421856</v>
      </c>
      <c r="G21">
        <f>SMALL(SimData!$B$9:$B$108,12)</f>
        <v>414.36062028897589</v>
      </c>
      <c r="H21">
        <f>1/(COUNT(SimData!$B$9:$B$108)-1)+$H$20</f>
        <v>0.1111111111111111</v>
      </c>
      <c r="J21">
        <f>SMALL(SimData!$C$9:$C$108,12)</f>
        <v>79075.641450831943</v>
      </c>
      <c r="K21">
        <f>1/(COUNT(SimData!$C$9:$C$108)-1)+$K$20</f>
        <v>0.1111111111111111</v>
      </c>
    </row>
    <row r="22" spans="1:11">
      <c r="A22">
        <v>14</v>
      </c>
      <c r="B22">
        <v>419.97176500880283</v>
      </c>
      <c r="C22">
        <v>81658.61471802865</v>
      </c>
      <c r="G22">
        <f>SMALL(SimData!$B$9:$B$108,13)</f>
        <v>414.39952569413265</v>
      </c>
      <c r="H22">
        <f>1/(COUNT(SimData!$B$9:$B$108)-1)+$H$21</f>
        <v>0.1212121212121212</v>
      </c>
      <c r="J22">
        <f>SMALL(SimData!$C$9:$C$108,13)</f>
        <v>79272.118278763053</v>
      </c>
      <c r="K22">
        <f>1/(COUNT(SimData!$C$9:$C$108)-1)+$K$21</f>
        <v>0.1212121212121212</v>
      </c>
    </row>
    <row r="23" spans="1:11">
      <c r="A23">
        <v>15</v>
      </c>
      <c r="B23">
        <v>544.47255805476311</v>
      </c>
      <c r="C23">
        <v>104981.98603906619</v>
      </c>
      <c r="G23">
        <f>SMALL(SimData!$B$9:$B$108,14)</f>
        <v>419.97176500880283</v>
      </c>
      <c r="H23">
        <f>1/(COUNT(SimData!$B$9:$B$108)-1)+$H$22</f>
        <v>0.1313131313131313</v>
      </c>
      <c r="J23">
        <f>SMALL(SimData!$C$9:$C$108,14)</f>
        <v>80053.255299021635</v>
      </c>
      <c r="K23">
        <f>1/(COUNT(SimData!$C$9:$C$108)-1)+$K$22</f>
        <v>0.1313131313131313</v>
      </c>
    </row>
    <row r="24" spans="1:11">
      <c r="A24">
        <v>16</v>
      </c>
      <c r="B24">
        <v>479.10913449579095</v>
      </c>
      <c r="C24">
        <v>90302.953785819889</v>
      </c>
      <c r="G24">
        <f>SMALL(SimData!$B$9:$B$108,15)</f>
        <v>423.46894653449988</v>
      </c>
      <c r="H24">
        <f>1/(COUNT(SimData!$B$9:$B$108)-1)+$H$23</f>
        <v>0.14141414141414141</v>
      </c>
      <c r="J24">
        <f>SMALL(SimData!$C$9:$C$108,15)</f>
        <v>80281.470529987841</v>
      </c>
      <c r="K24">
        <f>1/(COUNT(SimData!$C$9:$C$108)-1)+$K$23</f>
        <v>0.14141414141414141</v>
      </c>
    </row>
    <row r="25" spans="1:11">
      <c r="A25">
        <v>17</v>
      </c>
      <c r="B25">
        <v>452.32057512529207</v>
      </c>
      <c r="C25">
        <v>105543.46954707</v>
      </c>
      <c r="G25">
        <f>SMALL(SimData!$B$9:$B$108,16)</f>
        <v>423.49783978987523</v>
      </c>
      <c r="H25">
        <f>1/(COUNT(SimData!$B$9:$B$108)-1)+$H$24</f>
        <v>0.15151515151515152</v>
      </c>
      <c r="J25">
        <f>SMALL(SimData!$C$9:$C$108,16)</f>
        <v>81568.039304100821</v>
      </c>
      <c r="K25">
        <f>1/(COUNT(SimData!$C$9:$C$108)-1)+$K$24</f>
        <v>0.15151515151515152</v>
      </c>
    </row>
    <row r="26" spans="1:11">
      <c r="A26">
        <v>18</v>
      </c>
      <c r="B26">
        <v>589.1372571692159</v>
      </c>
      <c r="C26">
        <v>109796.77716487602</v>
      </c>
      <c r="G26">
        <f>SMALL(SimData!$B$9:$B$108,17)</f>
        <v>425.54930374861988</v>
      </c>
      <c r="H26">
        <f>1/(COUNT(SimData!$B$9:$B$108)-1)+$H$25</f>
        <v>0.16161616161616163</v>
      </c>
      <c r="J26">
        <f>SMALL(SimData!$C$9:$C$108,17)</f>
        <v>81658.61471802865</v>
      </c>
      <c r="K26">
        <f>1/(COUNT(SimData!$C$9:$C$108)-1)+$K$25</f>
        <v>0.16161616161616163</v>
      </c>
    </row>
    <row r="27" spans="1:11">
      <c r="A27">
        <v>19</v>
      </c>
      <c r="B27">
        <v>474.52278370487505</v>
      </c>
      <c r="C27">
        <v>99119.045240109408</v>
      </c>
      <c r="G27">
        <f>SMALL(SimData!$B$9:$B$108,18)</f>
        <v>427.03691899423723</v>
      </c>
      <c r="H27">
        <f>1/(COUNT(SimData!$B$9:$B$108)-1)+$H$26</f>
        <v>0.17171717171717174</v>
      </c>
      <c r="J27">
        <f>SMALL(SimData!$C$9:$C$108,18)</f>
        <v>81777.349697783837</v>
      </c>
      <c r="K27">
        <f>1/(COUNT(SimData!$C$9:$C$108)-1)+$K$26</f>
        <v>0.17171717171717174</v>
      </c>
    </row>
    <row r="28" spans="1:11">
      <c r="A28">
        <v>20</v>
      </c>
      <c r="B28">
        <v>563.40622541709149</v>
      </c>
      <c r="C28">
        <v>106880.60447235916</v>
      </c>
      <c r="G28">
        <f>SMALL(SimData!$B$9:$B$108,19)</f>
        <v>428.55884841603233</v>
      </c>
      <c r="H28">
        <f>1/(COUNT(SimData!$B$9:$B$108)-1)+$H$27</f>
        <v>0.18181818181818185</v>
      </c>
      <c r="J28">
        <f>SMALL(SimData!$C$9:$C$108,19)</f>
        <v>82083.682417443037</v>
      </c>
      <c r="K28">
        <f>1/(COUNT(SimData!$C$9:$C$108)-1)+$K$27</f>
        <v>0.18181818181818185</v>
      </c>
    </row>
    <row r="29" spans="1:11">
      <c r="A29">
        <v>21</v>
      </c>
      <c r="B29">
        <v>357.76503671821632</v>
      </c>
      <c r="C29">
        <v>81568.039304100821</v>
      </c>
      <c r="G29">
        <f>SMALL(SimData!$B$9:$B$108,20)</f>
        <v>432.73781053318226</v>
      </c>
      <c r="H29">
        <f>1/(COUNT(SimData!$B$9:$B$108)-1)+$H$28</f>
        <v>0.19191919191919196</v>
      </c>
      <c r="J29">
        <f>SMALL(SimData!$C$9:$C$108,20)</f>
        <v>82409.696209968388</v>
      </c>
      <c r="K29">
        <f>1/(COUNT(SimData!$C$9:$C$108)-1)+$K$28</f>
        <v>0.19191919191919196</v>
      </c>
    </row>
    <row r="30" spans="1:11">
      <c r="A30">
        <v>22</v>
      </c>
      <c r="B30">
        <v>542.97949647549501</v>
      </c>
      <c r="C30">
        <v>102157.69728138925</v>
      </c>
      <c r="G30">
        <f>SMALL(SimData!$B$9:$B$108,21)</f>
        <v>433.00686025526352</v>
      </c>
      <c r="H30">
        <f>1/(COUNT(SimData!$B$9:$B$108)-1)+$H$29</f>
        <v>0.20202020202020207</v>
      </c>
      <c r="J30">
        <f>SMALL(SimData!$C$9:$C$108,21)</f>
        <v>83137.561963488246</v>
      </c>
      <c r="K30">
        <f>1/(COUNT(SimData!$C$9:$C$108)-1)+$K$29</f>
        <v>0.20202020202020207</v>
      </c>
    </row>
    <row r="31" spans="1:11">
      <c r="A31">
        <v>23</v>
      </c>
      <c r="B31">
        <v>487.69791938916404</v>
      </c>
      <c r="C31">
        <v>98067.617948915751</v>
      </c>
      <c r="G31">
        <f>SMALL(SimData!$B$9:$B$108,22)</f>
        <v>434.96323324773539</v>
      </c>
      <c r="H31">
        <f>1/(COUNT(SimData!$B$9:$B$108)-1)+$H$30</f>
        <v>0.21212121212121218</v>
      </c>
      <c r="J31">
        <f>SMALL(SimData!$C$9:$C$108,22)</f>
        <v>83336.62630413835</v>
      </c>
      <c r="K31">
        <f>1/(COUNT(SimData!$C$9:$C$108)-1)+$K$30</f>
        <v>0.21212121212121218</v>
      </c>
    </row>
    <row r="32" spans="1:11">
      <c r="A32">
        <v>24</v>
      </c>
      <c r="B32">
        <v>533.65609679933755</v>
      </c>
      <c r="C32">
        <v>95629.465681153641</v>
      </c>
      <c r="G32">
        <f>SMALL(SimData!$B$9:$B$108,23)</f>
        <v>435.88531032446321</v>
      </c>
      <c r="H32">
        <f>1/(COUNT(SimData!$B$9:$B$108)-1)+$H$31</f>
        <v>0.22222222222222229</v>
      </c>
      <c r="J32">
        <f>SMALL(SimData!$C$9:$C$108,23)</f>
        <v>83567.655785342446</v>
      </c>
      <c r="K32">
        <f>1/(COUNT(SimData!$C$9:$C$108)-1)+$K$31</f>
        <v>0.22222222222222229</v>
      </c>
    </row>
    <row r="33" spans="1:11">
      <c r="A33">
        <v>25</v>
      </c>
      <c r="B33">
        <v>404.12392462769049</v>
      </c>
      <c r="C33">
        <v>86474.802007694409</v>
      </c>
      <c r="G33">
        <f>SMALL(SimData!$B$9:$B$108,24)</f>
        <v>444.63569888123283</v>
      </c>
      <c r="H33">
        <f>1/(COUNT(SimData!$B$9:$B$108)-1)+$H$32</f>
        <v>0.2323232323232324</v>
      </c>
      <c r="J33">
        <f>SMALL(SimData!$C$9:$C$108,24)</f>
        <v>83709.833268141389</v>
      </c>
      <c r="K33">
        <f>1/(COUNT(SimData!$C$9:$C$108)-1)+$K$32</f>
        <v>0.2323232323232324</v>
      </c>
    </row>
    <row r="34" spans="1:11">
      <c r="A34">
        <v>26</v>
      </c>
      <c r="B34">
        <v>560.96158503870993</v>
      </c>
      <c r="C34">
        <v>103129.1295286464</v>
      </c>
      <c r="G34">
        <f>SMALL(SimData!$B$9:$B$108,25)</f>
        <v>447.37868757467243</v>
      </c>
      <c r="H34">
        <f>1/(COUNT(SimData!$B$9:$B$108)-1)+$H$33</f>
        <v>0.24242424242424251</v>
      </c>
      <c r="J34">
        <f>SMALL(SimData!$C$9:$C$108,25)</f>
        <v>83988.411202784686</v>
      </c>
      <c r="K34">
        <f>1/(COUNT(SimData!$C$9:$C$108)-1)+$K$33</f>
        <v>0.24242424242424251</v>
      </c>
    </row>
    <row r="35" spans="1:11">
      <c r="A35">
        <v>27</v>
      </c>
      <c r="B35">
        <v>455.1118863629456</v>
      </c>
      <c r="C35">
        <v>83709.833268141389</v>
      </c>
      <c r="G35">
        <f>SMALL(SimData!$B$9:$B$108,26)</f>
        <v>450.4665297034212</v>
      </c>
      <c r="H35">
        <f>1/(COUNT(SimData!$B$9:$B$108)-1)+$H$34</f>
        <v>0.2525252525252526</v>
      </c>
      <c r="J35">
        <f>SMALL(SimData!$C$9:$C$108,26)</f>
        <v>84207.934743941441</v>
      </c>
      <c r="K35">
        <f>1/(COUNT(SimData!$C$9:$C$108)-1)+$K$34</f>
        <v>0.2525252525252526</v>
      </c>
    </row>
    <row r="36" spans="1:11">
      <c r="A36">
        <v>28</v>
      </c>
      <c r="B36">
        <v>507.27406201729139</v>
      </c>
      <c r="C36">
        <v>90688.15847594873</v>
      </c>
      <c r="G36">
        <f>SMALL(SimData!$B$9:$B$108,27)</f>
        <v>451.18339474916615</v>
      </c>
      <c r="H36">
        <f>1/(COUNT(SimData!$B$9:$B$108)-1)+$H$35</f>
        <v>0.26262626262626271</v>
      </c>
      <c r="J36">
        <f>SMALL(SimData!$C$9:$C$108,27)</f>
        <v>84211.115753503051</v>
      </c>
      <c r="K36">
        <f>1/(COUNT(SimData!$C$9:$C$108)-1)+$K$35</f>
        <v>0.26262626262626271</v>
      </c>
    </row>
    <row r="37" spans="1:11">
      <c r="A37">
        <v>29</v>
      </c>
      <c r="B37">
        <v>673.75551573976168</v>
      </c>
      <c r="C37">
        <v>118123.19715431335</v>
      </c>
      <c r="G37">
        <f>SMALL(SimData!$B$9:$B$108,28)</f>
        <v>452.32057512529207</v>
      </c>
      <c r="H37">
        <f>1/(COUNT(SimData!$B$9:$B$108)-1)+$H$36</f>
        <v>0.27272727272727282</v>
      </c>
      <c r="J37">
        <f>SMALL(SimData!$C$9:$C$108,28)</f>
        <v>85746.567577804555</v>
      </c>
      <c r="K37">
        <f>1/(COUNT(SimData!$C$9:$C$108)-1)+$K$36</f>
        <v>0.27272727272727282</v>
      </c>
    </row>
    <row r="38" spans="1:11">
      <c r="A38">
        <v>30</v>
      </c>
      <c r="B38">
        <v>548.77159197111678</v>
      </c>
      <c r="C38">
        <v>97178.281388581221</v>
      </c>
      <c r="G38">
        <f>SMALL(SimData!$B$9:$B$108,29)</f>
        <v>455.1118863629456</v>
      </c>
      <c r="H38">
        <f>1/(COUNT(SimData!$B$9:$B$108)-1)+$H$37</f>
        <v>0.28282828282828293</v>
      </c>
      <c r="J38">
        <f>SMALL(SimData!$C$9:$C$108,29)</f>
        <v>85940.431605382342</v>
      </c>
      <c r="K38">
        <f>1/(COUNT(SimData!$C$9:$C$108)-1)+$K$37</f>
        <v>0.28282828282828293</v>
      </c>
    </row>
    <row r="39" spans="1:11">
      <c r="A39">
        <v>31</v>
      </c>
      <c r="B39">
        <v>433.00686025526352</v>
      </c>
      <c r="C39">
        <v>89372.437452987186</v>
      </c>
      <c r="G39">
        <f>SMALL(SimData!$B$9:$B$108,30)</f>
        <v>457.20755987833417</v>
      </c>
      <c r="H39">
        <f>1/(COUNT(SimData!$B$9:$B$108)-1)+$H$38</f>
        <v>0.29292929292929304</v>
      </c>
      <c r="J39">
        <f>SMALL(SimData!$C$9:$C$108,30)</f>
        <v>86474.802007694409</v>
      </c>
      <c r="K39">
        <f>1/(COUNT(SimData!$C$9:$C$108)-1)+$K$38</f>
        <v>0.29292929292929304</v>
      </c>
    </row>
    <row r="40" spans="1:11">
      <c r="A40">
        <v>32</v>
      </c>
      <c r="B40">
        <v>475.15270486785863</v>
      </c>
      <c r="C40">
        <v>105644.65796978287</v>
      </c>
      <c r="G40">
        <f>SMALL(SimData!$B$9:$B$108,31)</f>
        <v>459.17941762606677</v>
      </c>
      <c r="H40">
        <f>1/(COUNT(SimData!$B$9:$B$108)-1)+$H$39</f>
        <v>0.30303030303030315</v>
      </c>
      <c r="J40">
        <f>SMALL(SimData!$C$9:$C$108,31)</f>
        <v>86967.57206117778</v>
      </c>
      <c r="K40">
        <f>1/(COUNT(SimData!$C$9:$C$108)-1)+$K$39</f>
        <v>0.30303030303030315</v>
      </c>
    </row>
    <row r="41" spans="1:11">
      <c r="A41">
        <v>33</v>
      </c>
      <c r="B41">
        <v>478.21897319370692</v>
      </c>
      <c r="C41">
        <v>77807.913848455966</v>
      </c>
      <c r="G41">
        <f>SMALL(SimData!$B$9:$B$108,32)</f>
        <v>460.31684263239538</v>
      </c>
      <c r="H41">
        <f>1/(COUNT(SimData!$B$9:$B$108)-1)+$H$40</f>
        <v>0.31313131313131326</v>
      </c>
      <c r="J41">
        <f>SMALL(SimData!$C$9:$C$108,32)</f>
        <v>87145.529299981514</v>
      </c>
      <c r="K41">
        <f>1/(COUNT(SimData!$C$9:$C$108)-1)+$K$40</f>
        <v>0.31313131313131326</v>
      </c>
    </row>
    <row r="42" spans="1:11">
      <c r="A42">
        <v>34</v>
      </c>
      <c r="B42">
        <v>563.29175680257583</v>
      </c>
      <c r="C42">
        <v>106261.5277220689</v>
      </c>
      <c r="G42">
        <f>SMALL(SimData!$B$9:$B$108,33)</f>
        <v>460.41784147438875</v>
      </c>
      <c r="H42">
        <f>1/(COUNT(SimData!$B$9:$B$108)-1)+$H$41</f>
        <v>0.32323232323232337</v>
      </c>
      <c r="J42">
        <f>SMALL(SimData!$C$9:$C$108,33)</f>
        <v>88199.456397348535</v>
      </c>
      <c r="K42">
        <f>1/(COUNT(SimData!$C$9:$C$108)-1)+$K$41</f>
        <v>0.32323232323232337</v>
      </c>
    </row>
    <row r="43" spans="1:11">
      <c r="A43">
        <v>35</v>
      </c>
      <c r="B43">
        <v>457.20755987833417</v>
      </c>
      <c r="C43">
        <v>95636.777827797545</v>
      </c>
      <c r="G43">
        <f>SMALL(SimData!$B$9:$B$108,34)</f>
        <v>462.94426490761606</v>
      </c>
      <c r="H43">
        <f>1/(COUNT(SimData!$B$9:$B$108)-1)+$H$42</f>
        <v>0.33333333333333348</v>
      </c>
      <c r="J43">
        <f>SMALL(SimData!$C$9:$C$108,34)</f>
        <v>89372.437452987186</v>
      </c>
      <c r="K43">
        <f>1/(COUNT(SimData!$C$9:$C$108)-1)+$K$42</f>
        <v>0.33333333333333348</v>
      </c>
    </row>
    <row r="44" spans="1:11">
      <c r="A44">
        <v>36</v>
      </c>
      <c r="B44">
        <v>477.4798514252924</v>
      </c>
      <c r="C44">
        <v>89917.375060336344</v>
      </c>
      <c r="G44">
        <f>SMALL(SimData!$B$9:$B$108,35)</f>
        <v>463.78103012392404</v>
      </c>
      <c r="H44">
        <f>1/(COUNT(SimData!$B$9:$B$108)-1)+$H$43</f>
        <v>0.34343434343434359</v>
      </c>
      <c r="J44">
        <f>SMALL(SimData!$C$9:$C$108,35)</f>
        <v>89689.358337405967</v>
      </c>
      <c r="K44">
        <f>1/(COUNT(SimData!$C$9:$C$108)-1)+$K$43</f>
        <v>0.34343434343434359</v>
      </c>
    </row>
    <row r="45" spans="1:11">
      <c r="A45">
        <v>37</v>
      </c>
      <c r="B45">
        <v>578.95641006423273</v>
      </c>
      <c r="C45">
        <v>99753.959410835931</v>
      </c>
      <c r="G45">
        <f>SMALL(SimData!$B$9:$B$108,36)</f>
        <v>470.6869530382474</v>
      </c>
      <c r="H45">
        <f>1/(COUNT(SimData!$B$9:$B$108)-1)+$H$44</f>
        <v>0.3535353535353537</v>
      </c>
      <c r="J45">
        <f>SMALL(SimData!$C$9:$C$108,36)</f>
        <v>89741.259327824475</v>
      </c>
      <c r="K45">
        <f>1/(COUNT(SimData!$C$9:$C$108)-1)+$K$44</f>
        <v>0.3535353535353537</v>
      </c>
    </row>
    <row r="46" spans="1:11">
      <c r="A46">
        <v>38</v>
      </c>
      <c r="B46">
        <v>534.65979283642332</v>
      </c>
      <c r="C46">
        <v>94958.043708401034</v>
      </c>
      <c r="G46">
        <f>SMALL(SimData!$B$9:$B$108,37)</f>
        <v>470.75984238524359</v>
      </c>
      <c r="H46">
        <f>1/(COUNT(SimData!$B$9:$B$108)-1)+$H$45</f>
        <v>0.36363636363636381</v>
      </c>
      <c r="J46">
        <f>SMALL(SimData!$C$9:$C$108,37)</f>
        <v>89781.40015699256</v>
      </c>
      <c r="K46">
        <f>1/(COUNT(SimData!$C$9:$C$108)-1)+$K$45</f>
        <v>0.36363636363636381</v>
      </c>
    </row>
    <row r="47" spans="1:11">
      <c r="A47">
        <v>39</v>
      </c>
      <c r="B47">
        <v>471.02393992613747</v>
      </c>
      <c r="C47">
        <v>97251.254284889015</v>
      </c>
      <c r="G47">
        <f>SMALL(SimData!$B$9:$B$108,38)</f>
        <v>471.02393992613747</v>
      </c>
      <c r="H47">
        <f>1/(COUNT(SimData!$B$9:$B$108)-1)+$H$46</f>
        <v>0.37373737373737392</v>
      </c>
      <c r="J47">
        <f>SMALL(SimData!$C$9:$C$108,38)</f>
        <v>89887.703401316932</v>
      </c>
      <c r="K47">
        <f>1/(COUNT(SimData!$C$9:$C$108)-1)+$K$46</f>
        <v>0.37373737373737392</v>
      </c>
    </row>
    <row r="48" spans="1:11">
      <c r="A48">
        <v>40</v>
      </c>
      <c r="B48">
        <v>462.94426490761606</v>
      </c>
      <c r="C48">
        <v>98399.801547093142</v>
      </c>
      <c r="G48">
        <f>SMALL(SimData!$B$9:$B$108,39)</f>
        <v>471.61330022557269</v>
      </c>
      <c r="H48">
        <f>1/(COUNT(SimData!$B$9:$B$108)-1)+$H$47</f>
        <v>0.38383838383838403</v>
      </c>
      <c r="J48">
        <f>SMALL(SimData!$C$9:$C$108,39)</f>
        <v>89917.375060336344</v>
      </c>
      <c r="K48">
        <f>1/(COUNT(SimData!$C$9:$C$108)-1)+$K$47</f>
        <v>0.38383838383838403</v>
      </c>
    </row>
    <row r="49" spans="1:11">
      <c r="A49">
        <v>41</v>
      </c>
      <c r="B49">
        <v>509.86357394910544</v>
      </c>
      <c r="C49">
        <v>107044.24982715535</v>
      </c>
      <c r="G49">
        <f>SMALL(SimData!$B$9:$B$108,40)</f>
        <v>474.52278370487505</v>
      </c>
      <c r="H49">
        <f>1/(COUNT(SimData!$B$9:$B$108)-1)+$H$48</f>
        <v>0.39393939393939414</v>
      </c>
      <c r="J49">
        <f>SMALL(SimData!$C$9:$C$108,40)</f>
        <v>89961.395417139298</v>
      </c>
      <c r="K49">
        <f>1/(COUNT(SimData!$C$9:$C$108)-1)+$K$48</f>
        <v>0.39393939393939414</v>
      </c>
    </row>
    <row r="50" spans="1:11">
      <c r="A50">
        <v>42</v>
      </c>
      <c r="B50">
        <v>470.75984238524359</v>
      </c>
      <c r="C50">
        <v>102123.59620946083</v>
      </c>
      <c r="G50">
        <f>SMALL(SimData!$B$9:$B$108,41)</f>
        <v>475.15270486785863</v>
      </c>
      <c r="H50">
        <f>1/(COUNT(SimData!$B$9:$B$108)-1)+$H$49</f>
        <v>0.40404040404040426</v>
      </c>
      <c r="J50">
        <f>SMALL(SimData!$C$9:$C$108,41)</f>
        <v>90302.953785819889</v>
      </c>
      <c r="K50">
        <f>1/(COUNT(SimData!$C$9:$C$108)-1)+$K$49</f>
        <v>0.40404040404040426</v>
      </c>
    </row>
    <row r="51" spans="1:11">
      <c r="A51">
        <v>43</v>
      </c>
      <c r="B51">
        <v>450.4665297034212</v>
      </c>
      <c r="C51">
        <v>86967.57206117778</v>
      </c>
      <c r="G51">
        <f>SMALL(SimData!$B$9:$B$108,42)</f>
        <v>476.76265965612743</v>
      </c>
      <c r="H51">
        <f>1/(COUNT(SimData!$B$9:$B$108)-1)+$H$50</f>
        <v>0.41414141414141437</v>
      </c>
      <c r="J51">
        <f>SMALL(SimData!$C$9:$C$108,42)</f>
        <v>90588.110673536008</v>
      </c>
      <c r="K51">
        <f>1/(COUNT(SimData!$C$9:$C$108)-1)+$K$50</f>
        <v>0.41414141414141437</v>
      </c>
    </row>
    <row r="52" spans="1:11">
      <c r="A52">
        <v>44</v>
      </c>
      <c r="B52">
        <v>530.97463002290101</v>
      </c>
      <c r="C52">
        <v>100531.92612067923</v>
      </c>
      <c r="G52">
        <f>SMALL(SimData!$B$9:$B$108,43)</f>
        <v>477.4798514252924</v>
      </c>
      <c r="H52">
        <f>1/(COUNT(SimData!$B$9:$B$108)-1)+$H$51</f>
        <v>0.42424242424242448</v>
      </c>
      <c r="J52">
        <f>SMALL(SimData!$C$9:$C$108,43)</f>
        <v>90688.15847594873</v>
      </c>
      <c r="K52">
        <f>1/(COUNT(SimData!$C$9:$C$108)-1)+$K$51</f>
        <v>0.42424242424242448</v>
      </c>
    </row>
    <row r="53" spans="1:11">
      <c r="A53">
        <v>45</v>
      </c>
      <c r="B53">
        <v>447.37868757467243</v>
      </c>
      <c r="C53">
        <v>78783.998963146587</v>
      </c>
      <c r="G53">
        <f>SMALL(SimData!$B$9:$B$108,44)</f>
        <v>478.21897319370692</v>
      </c>
      <c r="H53">
        <f>1/(COUNT(SimData!$B$9:$B$108)-1)+$H$52</f>
        <v>0.43434343434343459</v>
      </c>
      <c r="J53">
        <f>SMALL(SimData!$C$9:$C$108,44)</f>
        <v>90945.119034161791</v>
      </c>
      <c r="K53">
        <f>1/(COUNT(SimData!$C$9:$C$108)-1)+$K$52</f>
        <v>0.43434343434343459</v>
      </c>
    </row>
    <row r="54" spans="1:11">
      <c r="A54">
        <v>46</v>
      </c>
      <c r="B54">
        <v>482.36451755709101</v>
      </c>
      <c r="C54">
        <v>91644.7126786109</v>
      </c>
      <c r="G54">
        <f>SMALL(SimData!$B$9:$B$108,45)</f>
        <v>479.10913449579095</v>
      </c>
      <c r="H54">
        <f>1/(COUNT(SimData!$B$9:$B$108)-1)+$H$53</f>
        <v>0.4444444444444447</v>
      </c>
      <c r="J54">
        <f>SMALL(SimData!$C$9:$C$108,45)</f>
        <v>91279.801851152937</v>
      </c>
      <c r="K54">
        <f>1/(COUNT(SimData!$C$9:$C$108)-1)+$K$53</f>
        <v>0.4444444444444447</v>
      </c>
    </row>
    <row r="55" spans="1:11">
      <c r="A55">
        <v>47</v>
      </c>
      <c r="B55">
        <v>498.90339184438244</v>
      </c>
      <c r="C55">
        <v>103361.01385575134</v>
      </c>
      <c r="G55">
        <f>SMALL(SimData!$B$9:$B$108,46)</f>
        <v>479.99969527444591</v>
      </c>
      <c r="H55">
        <f>1/(COUNT(SimData!$B$9:$B$108)-1)+$H$54</f>
        <v>0.45454545454545481</v>
      </c>
      <c r="J55">
        <f>SMALL(SimData!$C$9:$C$108,46)</f>
        <v>91540.637296884248</v>
      </c>
      <c r="K55">
        <f>1/(COUNT(SimData!$C$9:$C$108)-1)+$K$54</f>
        <v>0.45454545454545481</v>
      </c>
    </row>
    <row r="56" spans="1:11">
      <c r="A56">
        <v>48</v>
      </c>
      <c r="B56">
        <v>444.63569888123283</v>
      </c>
      <c r="C56">
        <v>92275.26878758856</v>
      </c>
      <c r="G56">
        <f>SMALL(SimData!$B$9:$B$108,47)</f>
        <v>480.25753802795981</v>
      </c>
      <c r="H56">
        <f>1/(COUNT(SimData!$B$9:$B$108)-1)+$H$55</f>
        <v>0.46464646464646492</v>
      </c>
      <c r="J56">
        <f>SMALL(SimData!$C$9:$C$108,47)</f>
        <v>91644.7126786109</v>
      </c>
      <c r="K56">
        <f>1/(COUNT(SimData!$C$9:$C$108)-1)+$K$55</f>
        <v>0.46464646464646492</v>
      </c>
    </row>
    <row r="57" spans="1:11">
      <c r="A57">
        <v>49</v>
      </c>
      <c r="B57">
        <v>470.6869530382474</v>
      </c>
      <c r="C57">
        <v>78280.144163590623</v>
      </c>
      <c r="G57">
        <f>SMALL(SimData!$B$9:$B$108,48)</f>
        <v>482.36451755709101</v>
      </c>
      <c r="H57">
        <f>1/(COUNT(SimData!$B$9:$B$108)-1)+$H$56</f>
        <v>0.47474747474747503</v>
      </c>
      <c r="J57">
        <f>SMALL(SimData!$C$9:$C$108,48)</f>
        <v>91930.125241909845</v>
      </c>
      <c r="K57">
        <f>1/(COUNT(SimData!$C$9:$C$108)-1)+$K$56</f>
        <v>0.47474747474747503</v>
      </c>
    </row>
    <row r="58" spans="1:11">
      <c r="A58">
        <v>50</v>
      </c>
      <c r="B58">
        <v>493.68503330537897</v>
      </c>
      <c r="C58">
        <v>89887.703401316932</v>
      </c>
      <c r="G58">
        <f>SMALL(SimData!$B$9:$B$108,49)</f>
        <v>482.41880966700921</v>
      </c>
      <c r="H58">
        <f>1/(COUNT(SimData!$B$9:$B$108)-1)+$H$57</f>
        <v>0.48484848484848514</v>
      </c>
      <c r="J58">
        <f>SMALL(SimData!$C$9:$C$108,49)</f>
        <v>92275.26878758856</v>
      </c>
      <c r="K58">
        <f>1/(COUNT(SimData!$C$9:$C$108)-1)+$K$57</f>
        <v>0.48484848484848514</v>
      </c>
    </row>
    <row r="59" spans="1:11">
      <c r="A59">
        <v>51</v>
      </c>
      <c r="B59">
        <v>661.91291903134561</v>
      </c>
      <c r="C59">
        <v>115649.5917672738</v>
      </c>
      <c r="G59">
        <f>SMALL(SimData!$B$9:$B$108,50)</f>
        <v>487.69791938916404</v>
      </c>
      <c r="H59">
        <f>1/(COUNT(SimData!$B$9:$B$108)-1)+$H$58</f>
        <v>0.49494949494949525</v>
      </c>
      <c r="J59">
        <f>SMALL(SimData!$C$9:$C$108,50)</f>
        <v>92757.502237652967</v>
      </c>
      <c r="K59">
        <f>1/(COUNT(SimData!$C$9:$C$108)-1)+$K$58</f>
        <v>0.49494949494949525</v>
      </c>
    </row>
    <row r="60" spans="1:11">
      <c r="A60">
        <v>52</v>
      </c>
      <c r="B60">
        <v>531.46544826768445</v>
      </c>
      <c r="C60">
        <v>100171.09746729283</v>
      </c>
      <c r="G60">
        <f>SMALL(SimData!$B$9:$B$108,51)</f>
        <v>488.05388477514509</v>
      </c>
      <c r="H60">
        <f>1/(COUNT(SimData!$B$9:$B$108)-1)+$H$59</f>
        <v>0.50505050505050531</v>
      </c>
      <c r="J60">
        <f>SMALL(SimData!$C$9:$C$108,51)</f>
        <v>93993.916930402178</v>
      </c>
      <c r="K60">
        <f>1/(COUNT(SimData!$C$9:$C$108)-1)+$K$59</f>
        <v>0.50505050505050531</v>
      </c>
    </row>
    <row r="61" spans="1:11">
      <c r="A61">
        <v>53</v>
      </c>
      <c r="B61">
        <v>555.40285324392914</v>
      </c>
      <c r="C61">
        <v>116401.63168005463</v>
      </c>
      <c r="G61">
        <f>SMALL(SimData!$B$9:$B$108,52)</f>
        <v>493.68503330537897</v>
      </c>
      <c r="H61">
        <f>1/(COUNT(SimData!$B$9:$B$108)-1)+$H$60</f>
        <v>0.51515151515151536</v>
      </c>
      <c r="J61">
        <f>SMALL(SimData!$C$9:$C$108,52)</f>
        <v>94045.070185146047</v>
      </c>
      <c r="K61">
        <f>1/(COUNT(SimData!$C$9:$C$108)-1)+$K$60</f>
        <v>0.51515151515151536</v>
      </c>
    </row>
    <row r="62" spans="1:11">
      <c r="A62">
        <v>54</v>
      </c>
      <c r="B62">
        <v>405.31534144229266</v>
      </c>
      <c r="C62">
        <v>83137.561963488246</v>
      </c>
      <c r="G62">
        <f>SMALL(SimData!$B$9:$B$108,53)</f>
        <v>497.56073140945989</v>
      </c>
      <c r="H62">
        <f>1/(COUNT(SimData!$B$9:$B$108)-1)+$H$61</f>
        <v>0.52525252525252542</v>
      </c>
      <c r="J62">
        <f>SMALL(SimData!$C$9:$C$108,53)</f>
        <v>94104.742909732842</v>
      </c>
      <c r="K62">
        <f>1/(COUNT(SimData!$C$9:$C$108)-1)+$K$61</f>
        <v>0.52525252525252542</v>
      </c>
    </row>
    <row r="63" spans="1:11">
      <c r="A63">
        <v>55</v>
      </c>
      <c r="B63">
        <v>374.26387671187064</v>
      </c>
      <c r="C63">
        <v>77211.024589277455</v>
      </c>
      <c r="G63">
        <f>SMALL(SimData!$B$9:$B$108,54)</f>
        <v>498.90339184438244</v>
      </c>
      <c r="H63">
        <f>1/(COUNT(SimData!$B$9:$B$108)-1)+$H$62</f>
        <v>0.53535353535353547</v>
      </c>
      <c r="J63">
        <f>SMALL(SimData!$C$9:$C$108,54)</f>
        <v>94595.915852994207</v>
      </c>
      <c r="K63">
        <f>1/(COUNT(SimData!$C$9:$C$108)-1)+$K$62</f>
        <v>0.53535353535353547</v>
      </c>
    </row>
    <row r="64" spans="1:11">
      <c r="A64">
        <v>56</v>
      </c>
      <c r="B64">
        <v>410.32355737227692</v>
      </c>
      <c r="C64">
        <v>81777.349697783837</v>
      </c>
      <c r="G64">
        <f>SMALL(SimData!$B$9:$B$108,55)</f>
        <v>501.27547801684079</v>
      </c>
      <c r="H64">
        <f>1/(COUNT(SimData!$B$9:$B$108)-1)+$H$63</f>
        <v>0.54545454545454553</v>
      </c>
      <c r="J64">
        <f>SMALL(SimData!$C$9:$C$108,55)</f>
        <v>94728.51447280671</v>
      </c>
      <c r="K64">
        <f>1/(COUNT(SimData!$C$9:$C$108)-1)+$K$63</f>
        <v>0.54545454545454553</v>
      </c>
    </row>
    <row r="65" spans="1:11">
      <c r="A65">
        <v>57</v>
      </c>
      <c r="B65">
        <v>391.09132464814337</v>
      </c>
      <c r="C65">
        <v>77988.325894923168</v>
      </c>
      <c r="G65">
        <f>SMALL(SimData!$B$9:$B$108,56)</f>
        <v>502.57396848627667</v>
      </c>
      <c r="H65">
        <f>1/(COUNT(SimData!$B$9:$B$108)-1)+$H$64</f>
        <v>0.55555555555555558</v>
      </c>
      <c r="J65">
        <f>SMALL(SimData!$C$9:$C$108,56)</f>
        <v>94874.535340129296</v>
      </c>
      <c r="K65">
        <f>1/(COUNT(SimData!$C$9:$C$108)-1)+$K$64</f>
        <v>0.55555555555555558</v>
      </c>
    </row>
    <row r="66" spans="1:11">
      <c r="A66">
        <v>58</v>
      </c>
      <c r="B66">
        <v>502.57396848627667</v>
      </c>
      <c r="C66">
        <v>84207.934743941441</v>
      </c>
      <c r="G66">
        <f>SMALL(SimData!$B$9:$B$108,57)</f>
        <v>502.92423643944278</v>
      </c>
      <c r="H66">
        <f>1/(COUNT(SimData!$B$9:$B$108)-1)+$H$65</f>
        <v>0.56565656565656564</v>
      </c>
      <c r="J66">
        <f>SMALL(SimData!$C$9:$C$108,57)</f>
        <v>94878.256299972403</v>
      </c>
      <c r="K66">
        <f>1/(COUNT(SimData!$C$9:$C$108)-1)+$K$65</f>
        <v>0.56565656565656564</v>
      </c>
    </row>
    <row r="67" spans="1:11">
      <c r="A67">
        <v>59</v>
      </c>
      <c r="B67">
        <v>536.33880666439825</v>
      </c>
      <c r="C67">
        <v>99144.2219653832</v>
      </c>
      <c r="G67">
        <f>SMALL(SimData!$B$9:$B$108,58)</f>
        <v>504.3601616045508</v>
      </c>
      <c r="H67">
        <f>1/(COUNT(SimData!$B$9:$B$108)-1)+$H$66</f>
        <v>0.57575757575757569</v>
      </c>
      <c r="J67">
        <f>SMALL(SimData!$C$9:$C$108,58)</f>
        <v>94958.043708401034</v>
      </c>
      <c r="K67">
        <f>1/(COUNT(SimData!$C$9:$C$108)-1)+$K$66</f>
        <v>0.57575757575757569</v>
      </c>
    </row>
    <row r="68" spans="1:11">
      <c r="A68">
        <v>60</v>
      </c>
      <c r="B68">
        <v>451.18339474916615</v>
      </c>
      <c r="C68">
        <v>94045.070185146047</v>
      </c>
      <c r="G68">
        <f>SMALL(SimData!$B$9:$B$108,59)</f>
        <v>504.5157881495611</v>
      </c>
      <c r="H68">
        <f>1/(COUNT(SimData!$B$9:$B$108)-1)+$H$67</f>
        <v>0.58585858585858575</v>
      </c>
      <c r="J68">
        <f>SMALL(SimData!$C$9:$C$108,59)</f>
        <v>95629.465681153641</v>
      </c>
      <c r="K68">
        <f>1/(COUNT(SimData!$C$9:$C$108)-1)+$K$67</f>
        <v>0.58585858585858575</v>
      </c>
    </row>
    <row r="69" spans="1:11">
      <c r="A69">
        <v>61</v>
      </c>
      <c r="B69">
        <v>476.76265965612743</v>
      </c>
      <c r="C69">
        <v>76399.848866136512</v>
      </c>
      <c r="G69">
        <f>SMALL(SimData!$B$9:$B$108,60)</f>
        <v>507.27406201729139</v>
      </c>
      <c r="H69">
        <f>1/(COUNT(SimData!$B$9:$B$108)-1)+$H$68</f>
        <v>0.5959595959595958</v>
      </c>
      <c r="J69">
        <f>SMALL(SimData!$C$9:$C$108,60)</f>
        <v>95636.777827797545</v>
      </c>
      <c r="K69">
        <f>1/(COUNT(SimData!$C$9:$C$108)-1)+$K$68</f>
        <v>0.5959595959595958</v>
      </c>
    </row>
    <row r="70" spans="1:11">
      <c r="A70">
        <v>62</v>
      </c>
      <c r="B70">
        <v>569.83897630635545</v>
      </c>
      <c r="C70">
        <v>96697.434575008985</v>
      </c>
      <c r="G70">
        <f>SMALL(SimData!$B$9:$B$108,61)</f>
        <v>508.10562569408643</v>
      </c>
      <c r="H70">
        <f>1/(COUNT(SimData!$B$9:$B$108)-1)+$H$69</f>
        <v>0.60606060606060586</v>
      </c>
      <c r="J70">
        <f>SMALL(SimData!$C$9:$C$108,61)</f>
        <v>96697.434575008985</v>
      </c>
      <c r="K70">
        <f>1/(COUNT(SimData!$C$9:$C$108)-1)+$K$69</f>
        <v>0.60606060606060586</v>
      </c>
    </row>
    <row r="71" spans="1:11">
      <c r="A71">
        <v>63</v>
      </c>
      <c r="B71">
        <v>471.61330022557269</v>
      </c>
      <c r="C71">
        <v>90588.110673536008</v>
      </c>
      <c r="G71">
        <f>SMALL(SimData!$B$9:$B$108,62)</f>
        <v>509.86357394910544</v>
      </c>
      <c r="H71">
        <f>1/(COUNT(SimData!$B$9:$B$108)-1)+$H$70</f>
        <v>0.61616161616161591</v>
      </c>
      <c r="J71">
        <f>SMALL(SimData!$C$9:$C$108,62)</f>
        <v>97045.431104348841</v>
      </c>
      <c r="K71">
        <f>1/(COUNT(SimData!$C$9:$C$108)-1)+$K$70</f>
        <v>0.61616161616161591</v>
      </c>
    </row>
    <row r="72" spans="1:11">
      <c r="A72">
        <v>64</v>
      </c>
      <c r="B72">
        <v>511.69922446131613</v>
      </c>
      <c r="C72">
        <v>88199.456397348535</v>
      </c>
      <c r="G72">
        <f>SMALL(SimData!$B$9:$B$108,63)</f>
        <v>510.15349839087969</v>
      </c>
      <c r="H72">
        <f>1/(COUNT(SimData!$B$9:$B$108)-1)+$H$71</f>
        <v>0.62626262626262597</v>
      </c>
      <c r="J72">
        <f>SMALL(SimData!$C$9:$C$108,63)</f>
        <v>97077.599390116957</v>
      </c>
      <c r="K72">
        <f>1/(COUNT(SimData!$C$9:$C$108)-1)+$K$71</f>
        <v>0.62626262626262597</v>
      </c>
    </row>
    <row r="73" spans="1:11">
      <c r="A73">
        <v>65</v>
      </c>
      <c r="B73">
        <v>432.73781053318226</v>
      </c>
      <c r="C73">
        <v>91540.637296884248</v>
      </c>
      <c r="G73">
        <f>SMALL(SimData!$B$9:$B$108,64)</f>
        <v>511.69922446131613</v>
      </c>
      <c r="H73">
        <f>1/(COUNT(SimData!$B$9:$B$108)-1)+$H$72</f>
        <v>0.63636363636363602</v>
      </c>
      <c r="J73">
        <f>SMALL(SimData!$C$9:$C$108,64)</f>
        <v>97178.281388581221</v>
      </c>
      <c r="K73">
        <f>1/(COUNT(SimData!$C$9:$C$108)-1)+$K$72</f>
        <v>0.63636363636363602</v>
      </c>
    </row>
    <row r="74" spans="1:11">
      <c r="A74">
        <v>66</v>
      </c>
      <c r="B74">
        <v>411.86739231632953</v>
      </c>
      <c r="C74">
        <v>79272.118278763053</v>
      </c>
      <c r="G74">
        <f>SMALL(SimData!$B$9:$B$108,65)</f>
        <v>521.63834690893714</v>
      </c>
      <c r="H74">
        <f>1/(COUNT(SimData!$B$9:$B$108)-1)+$H$73</f>
        <v>0.64646464646464608</v>
      </c>
      <c r="J74">
        <f>SMALL(SimData!$C$9:$C$108,65)</f>
        <v>97245.880203844892</v>
      </c>
      <c r="K74">
        <f>1/(COUNT(SimData!$C$9:$C$108)-1)+$K$73</f>
        <v>0.64646464646464608</v>
      </c>
    </row>
    <row r="75" spans="1:11">
      <c r="A75">
        <v>67</v>
      </c>
      <c r="B75">
        <v>603.1055063869826</v>
      </c>
      <c r="C75">
        <v>103234.97934455874</v>
      </c>
      <c r="G75">
        <f>SMALL(SimData!$B$9:$B$108,66)</f>
        <v>526.70325375791367</v>
      </c>
      <c r="H75">
        <f>1/(COUNT(SimData!$B$9:$B$108)-1)+$H$74</f>
        <v>0.65656565656565613</v>
      </c>
      <c r="J75">
        <f>SMALL(SimData!$C$9:$C$108,66)</f>
        <v>97251.254284889015</v>
      </c>
      <c r="K75">
        <f>1/(COUNT(SimData!$C$9:$C$108)-1)+$K$74</f>
        <v>0.65656565656565613</v>
      </c>
    </row>
    <row r="76" spans="1:11">
      <c r="A76">
        <v>68</v>
      </c>
      <c r="B76">
        <v>347.16918283083487</v>
      </c>
      <c r="C76">
        <v>83567.655785342446</v>
      </c>
      <c r="G76">
        <f>SMALL(SimData!$B$9:$B$108,67)</f>
        <v>530.26109320018145</v>
      </c>
      <c r="H76">
        <f>1/(COUNT(SimData!$B$9:$B$108)-1)+$H$75</f>
        <v>0.66666666666666619</v>
      </c>
      <c r="J76">
        <f>SMALL(SimData!$C$9:$C$108,67)</f>
        <v>97436.610976421856</v>
      </c>
      <c r="K76">
        <f>1/(COUNT(SimData!$C$9:$C$108)-1)+$K$75</f>
        <v>0.66666666666666619</v>
      </c>
    </row>
    <row r="77" spans="1:11">
      <c r="A77">
        <v>69</v>
      </c>
      <c r="B77">
        <v>609.0598978063291</v>
      </c>
      <c r="C77">
        <v>104397.07152788958</v>
      </c>
      <c r="G77">
        <f>SMALL(SimData!$B$9:$B$108,68)</f>
        <v>530.97463002290101</v>
      </c>
      <c r="H77">
        <f>1/(COUNT(SimData!$B$9:$B$108)-1)+$H$76</f>
        <v>0.67676767676767624</v>
      </c>
      <c r="J77">
        <f>SMALL(SimData!$C$9:$C$108,68)</f>
        <v>98067.617948915751</v>
      </c>
      <c r="K77">
        <f>1/(COUNT(SimData!$C$9:$C$108)-1)+$K$76</f>
        <v>0.67676767676767624</v>
      </c>
    </row>
    <row r="78" spans="1:11">
      <c r="A78">
        <v>70</v>
      </c>
      <c r="B78">
        <v>504.3601616045508</v>
      </c>
      <c r="C78">
        <v>89741.259327824475</v>
      </c>
      <c r="G78">
        <f>SMALL(SimData!$B$9:$B$108,69)</f>
        <v>531.46544826768445</v>
      </c>
      <c r="H78">
        <f>1/(COUNT(SimData!$B$9:$B$108)-1)+$H$77</f>
        <v>0.6868686868686863</v>
      </c>
      <c r="J78">
        <f>SMALL(SimData!$C$9:$C$108,69)</f>
        <v>98399.801547093142</v>
      </c>
      <c r="K78">
        <f>1/(COUNT(SimData!$C$9:$C$108)-1)+$K$77</f>
        <v>0.6868686868686863</v>
      </c>
    </row>
    <row r="79" spans="1:11">
      <c r="A79">
        <v>71</v>
      </c>
      <c r="B79">
        <v>532.9843490985545</v>
      </c>
      <c r="C79">
        <v>109303.09231783199</v>
      </c>
      <c r="G79">
        <f>SMALL(SimData!$B$9:$B$108,70)</f>
        <v>532.9843490985545</v>
      </c>
      <c r="H79">
        <f>1/(COUNT(SimData!$B$9:$B$108)-1)+$H$78</f>
        <v>0.69696969696969635</v>
      </c>
      <c r="J79">
        <f>SMALL(SimData!$C$9:$C$108,70)</f>
        <v>98494.562499428081</v>
      </c>
      <c r="K79">
        <f>1/(COUNT(SimData!$C$9:$C$108)-1)+$K$78</f>
        <v>0.69696969696969635</v>
      </c>
    </row>
    <row r="80" spans="1:11">
      <c r="A80">
        <v>72</v>
      </c>
      <c r="B80">
        <v>427.03691899423723</v>
      </c>
      <c r="C80">
        <v>78174.115045589846</v>
      </c>
      <c r="G80">
        <f>SMALL(SimData!$B$9:$B$108,71)</f>
        <v>533.65609679933755</v>
      </c>
      <c r="H80">
        <f>1/(COUNT(SimData!$B$9:$B$108)-1)+$H$79</f>
        <v>0.70707070707070641</v>
      </c>
      <c r="J80">
        <f>SMALL(SimData!$C$9:$C$108,71)</f>
        <v>99119.045240109408</v>
      </c>
      <c r="K80">
        <f>1/(COUNT(SimData!$C$9:$C$108)-1)+$K$79</f>
        <v>0.70707070707070641</v>
      </c>
    </row>
    <row r="81" spans="1:11">
      <c r="A81">
        <v>73</v>
      </c>
      <c r="B81">
        <v>556.31732826569885</v>
      </c>
      <c r="C81">
        <v>118318.60610955484</v>
      </c>
      <c r="G81">
        <f>SMALL(SimData!$B$9:$B$108,72)</f>
        <v>534.65979283642332</v>
      </c>
      <c r="H81">
        <f>1/(COUNT(SimData!$B$9:$B$108)-1)+$H$80</f>
        <v>0.71717171717171646</v>
      </c>
      <c r="J81">
        <f>SMALL(SimData!$C$9:$C$108,72)</f>
        <v>99144.2219653832</v>
      </c>
      <c r="K81">
        <f>1/(COUNT(SimData!$C$9:$C$108)-1)+$K$80</f>
        <v>0.71717171717171646</v>
      </c>
    </row>
    <row r="82" spans="1:11">
      <c r="A82">
        <v>74</v>
      </c>
      <c r="B82">
        <v>459.17941762606677</v>
      </c>
      <c r="C82">
        <v>83336.62630413835</v>
      </c>
      <c r="G82">
        <f>SMALL(SimData!$B$9:$B$108,73)</f>
        <v>536.33880666439825</v>
      </c>
      <c r="H82">
        <f>1/(COUNT(SimData!$B$9:$B$108)-1)+$H$81</f>
        <v>0.72727272727272652</v>
      </c>
      <c r="J82">
        <f>SMALL(SimData!$C$9:$C$108,73)</f>
        <v>99753.959410835931</v>
      </c>
      <c r="K82">
        <f>1/(COUNT(SimData!$C$9:$C$108)-1)+$K$81</f>
        <v>0.72727272727272652</v>
      </c>
    </row>
    <row r="83" spans="1:11">
      <c r="A83">
        <v>75</v>
      </c>
      <c r="B83">
        <v>434.96323324773539</v>
      </c>
      <c r="C83">
        <v>82083.682417443037</v>
      </c>
      <c r="G83">
        <f>SMALL(SimData!$B$9:$B$108,74)</f>
        <v>541.04323275846991</v>
      </c>
      <c r="H83">
        <f>1/(COUNT(SimData!$B$9:$B$108)-1)+$H$82</f>
        <v>0.73737373737373657</v>
      </c>
      <c r="J83">
        <f>SMALL(SimData!$C$9:$C$108,74)</f>
        <v>100171.09746729283</v>
      </c>
      <c r="K83">
        <f>1/(COUNT(SimData!$C$9:$C$108)-1)+$K$82</f>
        <v>0.73737373737373657</v>
      </c>
    </row>
    <row r="84" spans="1:11">
      <c r="A84">
        <v>76</v>
      </c>
      <c r="B84">
        <v>604.94532622913403</v>
      </c>
      <c r="C84">
        <v>92757.502237652967</v>
      </c>
      <c r="G84">
        <f>SMALL(SimData!$B$9:$B$108,75)</f>
        <v>542.97949647549501</v>
      </c>
      <c r="H84">
        <f>1/(COUNT(SimData!$B$9:$B$108)-1)+$H$83</f>
        <v>0.74747474747474663</v>
      </c>
      <c r="J84">
        <f>SMALL(SimData!$C$9:$C$108,75)</f>
        <v>100531.92612067923</v>
      </c>
      <c r="K84">
        <f>1/(COUNT(SimData!$C$9:$C$108)-1)+$K$83</f>
        <v>0.74747474747474663</v>
      </c>
    </row>
    <row r="85" spans="1:11">
      <c r="A85">
        <v>77</v>
      </c>
      <c r="B85">
        <v>555.43546376067775</v>
      </c>
      <c r="C85">
        <v>80281.470529987841</v>
      </c>
      <c r="G85">
        <f>SMALL(SimData!$B$9:$B$108,76)</f>
        <v>544.47255805476311</v>
      </c>
      <c r="H85">
        <f>1/(COUNT(SimData!$B$9:$B$108)-1)+$H$84</f>
        <v>0.75757575757575668</v>
      </c>
      <c r="J85">
        <f>SMALL(SimData!$C$9:$C$108,76)</f>
        <v>101083.03430283058</v>
      </c>
      <c r="K85">
        <f>1/(COUNT(SimData!$C$9:$C$108)-1)+$K$84</f>
        <v>0.75757575757575668</v>
      </c>
    </row>
    <row r="86" spans="1:11">
      <c r="A86">
        <v>78</v>
      </c>
      <c r="B86">
        <v>717.10863707055103</v>
      </c>
      <c r="C86">
        <v>149778.58146806309</v>
      </c>
      <c r="G86">
        <f>SMALL(SimData!$B$9:$B$108,77)</f>
        <v>548.77159197111678</v>
      </c>
      <c r="H86">
        <f>1/(COUNT(SimData!$B$9:$B$108)-1)+$H$85</f>
        <v>0.76767676767676674</v>
      </c>
      <c r="J86">
        <f>SMALL(SimData!$C$9:$C$108,77)</f>
        <v>102013.17443904559</v>
      </c>
      <c r="K86">
        <f>1/(COUNT(SimData!$C$9:$C$108)-1)+$K$85</f>
        <v>0.76767676767676674</v>
      </c>
    </row>
    <row r="87" spans="1:11">
      <c r="A87">
        <v>79</v>
      </c>
      <c r="B87">
        <v>435.88531032446321</v>
      </c>
      <c r="C87">
        <v>89689.358337405967</v>
      </c>
      <c r="G87">
        <f>SMALL(SimData!$B$9:$B$108,78)</f>
        <v>549.1479331605093</v>
      </c>
      <c r="H87">
        <f>1/(COUNT(SimData!$B$9:$B$108)-1)+$H$86</f>
        <v>0.77777777777777679</v>
      </c>
      <c r="J87">
        <f>SMALL(SimData!$C$9:$C$108,78)</f>
        <v>102123.59620946083</v>
      </c>
      <c r="K87">
        <f>1/(COUNT(SimData!$C$9:$C$108)-1)+$K$86</f>
        <v>0.77777777777777679</v>
      </c>
    </row>
    <row r="88" spans="1:11">
      <c r="A88">
        <v>80</v>
      </c>
      <c r="B88">
        <v>348.21489908641939</v>
      </c>
      <c r="C88">
        <v>85940.431605382342</v>
      </c>
      <c r="G88">
        <f>SMALL(SimData!$B$9:$B$108,79)</f>
        <v>553.95540376369172</v>
      </c>
      <c r="H88">
        <f>1/(COUNT(SimData!$B$9:$B$108)-1)+$H$87</f>
        <v>0.78787878787878685</v>
      </c>
      <c r="J88">
        <f>SMALL(SimData!$C$9:$C$108,79)</f>
        <v>102157.69728138925</v>
      </c>
      <c r="K88">
        <f>1/(COUNT(SimData!$C$9:$C$108)-1)+$K$87</f>
        <v>0.78787878787878685</v>
      </c>
    </row>
    <row r="89" spans="1:11">
      <c r="A89">
        <v>81</v>
      </c>
      <c r="B89">
        <v>463.78103012392404</v>
      </c>
      <c r="C89">
        <v>83988.411202784686</v>
      </c>
      <c r="G89">
        <f>SMALL(SimData!$B$9:$B$108,80)</f>
        <v>555.18838041978324</v>
      </c>
      <c r="H89">
        <f>1/(COUNT(SimData!$B$9:$B$108)-1)+$H$88</f>
        <v>0.7979797979797969</v>
      </c>
      <c r="J89">
        <f>SMALL(SimData!$C$9:$C$108,80)</f>
        <v>103129.1295286464</v>
      </c>
      <c r="K89">
        <f>1/(COUNT(SimData!$C$9:$C$108)-1)+$K$88</f>
        <v>0.7979797979797969</v>
      </c>
    </row>
    <row r="90" spans="1:11">
      <c r="A90">
        <v>82</v>
      </c>
      <c r="B90">
        <v>414.36062028897589</v>
      </c>
      <c r="C90">
        <v>82409.696209968388</v>
      </c>
      <c r="G90">
        <f>SMALL(SimData!$B$9:$B$108,81)</f>
        <v>555.40285324392914</v>
      </c>
      <c r="H90">
        <f>1/(COUNT(SimData!$B$9:$B$108)-1)+$H$89</f>
        <v>0.80808080808080696</v>
      </c>
      <c r="J90">
        <f>SMALL(SimData!$C$9:$C$108,81)</f>
        <v>103234.97934455874</v>
      </c>
      <c r="K90">
        <f>1/(COUNT(SimData!$C$9:$C$108)-1)+$K$89</f>
        <v>0.80808080808080696</v>
      </c>
    </row>
    <row r="91" spans="1:11">
      <c r="A91">
        <v>83</v>
      </c>
      <c r="B91">
        <v>541.04323275846991</v>
      </c>
      <c r="C91">
        <v>101083.03430283058</v>
      </c>
      <c r="G91">
        <f>SMALL(SimData!$B$9:$B$108,82)</f>
        <v>555.43546376067775</v>
      </c>
      <c r="H91">
        <f>1/(COUNT(SimData!$B$9:$B$108)-1)+$H$90</f>
        <v>0.81818181818181701</v>
      </c>
      <c r="J91">
        <f>SMALL(SimData!$C$9:$C$108,82)</f>
        <v>103361.01385575134</v>
      </c>
      <c r="K91">
        <f>1/(COUNT(SimData!$C$9:$C$108)-1)+$K$90</f>
        <v>0.81818181818181701</v>
      </c>
    </row>
    <row r="92" spans="1:11">
      <c r="A92">
        <v>84</v>
      </c>
      <c r="B92">
        <v>423.46894653449988</v>
      </c>
      <c r="C92">
        <v>87145.529299981514</v>
      </c>
      <c r="G92">
        <f>SMALL(SimData!$B$9:$B$108,83)</f>
        <v>556.31732826569885</v>
      </c>
      <c r="H92">
        <f>1/(COUNT(SimData!$B$9:$B$108)-1)+$H$91</f>
        <v>0.82828282828282707</v>
      </c>
      <c r="J92">
        <f>SMALL(SimData!$C$9:$C$108,83)</f>
        <v>104320.17300671271</v>
      </c>
      <c r="K92">
        <f>1/(COUNT(SimData!$C$9:$C$108)-1)+$K$91</f>
        <v>0.82828282828282707</v>
      </c>
    </row>
    <row r="93" spans="1:11">
      <c r="A93">
        <v>85</v>
      </c>
      <c r="B93">
        <v>479.99969527444591</v>
      </c>
      <c r="C93">
        <v>97077.599390116957</v>
      </c>
      <c r="G93">
        <f>SMALL(SimData!$B$9:$B$108,84)</f>
        <v>560.96158503870993</v>
      </c>
      <c r="H93">
        <f>1/(COUNT(SimData!$B$9:$B$108)-1)+$H$92</f>
        <v>0.83838383838383712</v>
      </c>
      <c r="J93">
        <f>SMALL(SimData!$C$9:$C$108,84)</f>
        <v>104397.07152788958</v>
      </c>
      <c r="K93">
        <f>1/(COUNT(SimData!$C$9:$C$108)-1)+$K$92</f>
        <v>0.83838383838383712</v>
      </c>
    </row>
    <row r="94" spans="1:11">
      <c r="A94">
        <v>86</v>
      </c>
      <c r="B94">
        <v>460.31684263239538</v>
      </c>
      <c r="C94">
        <v>76026.694952497695</v>
      </c>
      <c r="G94">
        <f>SMALL(SimData!$B$9:$B$108,85)</f>
        <v>563.29175680257583</v>
      </c>
      <c r="H94">
        <f>1/(COUNT(SimData!$B$9:$B$108)-1)+$H$93</f>
        <v>0.84848484848484718</v>
      </c>
      <c r="J94">
        <f>SMALL(SimData!$C$9:$C$108,85)</f>
        <v>104981.98603906619</v>
      </c>
      <c r="K94">
        <f>1/(COUNT(SimData!$C$9:$C$108)-1)+$K$93</f>
        <v>0.84848484848484718</v>
      </c>
    </row>
    <row r="95" spans="1:11">
      <c r="A95">
        <v>87</v>
      </c>
      <c r="B95">
        <v>549.1479331605093</v>
      </c>
      <c r="C95">
        <v>94104.742909732842</v>
      </c>
      <c r="G95">
        <f>SMALL(SimData!$B$9:$B$108,86)</f>
        <v>563.40622541709149</v>
      </c>
      <c r="H95">
        <f>1/(COUNT(SimData!$B$9:$B$108)-1)+$H$94</f>
        <v>0.85858585858585723</v>
      </c>
      <c r="J95">
        <f>SMALL(SimData!$C$9:$C$108,86)</f>
        <v>105543.46954707</v>
      </c>
      <c r="K95">
        <f>1/(COUNT(SimData!$C$9:$C$108)-1)+$K$94</f>
        <v>0.85858585858585723</v>
      </c>
    </row>
    <row r="96" spans="1:11">
      <c r="A96">
        <v>88</v>
      </c>
      <c r="B96">
        <v>425.54930374861988</v>
      </c>
      <c r="C96">
        <v>94874.535340129296</v>
      </c>
      <c r="G96">
        <f>SMALL(SimData!$B$9:$B$108,87)</f>
        <v>569.83897630635545</v>
      </c>
      <c r="H96">
        <f>1/(COUNT(SimData!$B$9:$B$108)-1)+$H$95</f>
        <v>0.86868686868686729</v>
      </c>
      <c r="J96">
        <f>SMALL(SimData!$C$9:$C$108,87)</f>
        <v>105644.65796978287</v>
      </c>
      <c r="K96">
        <f>1/(COUNT(SimData!$C$9:$C$108)-1)+$K$95</f>
        <v>0.86868686868686729</v>
      </c>
    </row>
    <row r="97" spans="1:11">
      <c r="A97">
        <v>89</v>
      </c>
      <c r="B97">
        <v>639.04021923468838</v>
      </c>
      <c r="C97">
        <v>122589.77054327134</v>
      </c>
      <c r="G97">
        <f>SMALL(SimData!$B$9:$B$108,88)</f>
        <v>578.40411100988547</v>
      </c>
      <c r="H97">
        <f>1/(COUNT(SimData!$B$9:$B$108)-1)+$H$96</f>
        <v>0.87878787878787734</v>
      </c>
      <c r="J97">
        <f>SMALL(SimData!$C$9:$C$108,88)</f>
        <v>106261.5277220689</v>
      </c>
      <c r="K97">
        <f>1/(COUNT(SimData!$C$9:$C$108)-1)+$K$96</f>
        <v>0.87878787878787734</v>
      </c>
    </row>
    <row r="98" spans="1:11">
      <c r="A98">
        <v>90</v>
      </c>
      <c r="B98">
        <v>460.41784147438875</v>
      </c>
      <c r="C98">
        <v>91279.801851152937</v>
      </c>
      <c r="G98">
        <f>SMALL(SimData!$B$9:$B$108,89)</f>
        <v>578.95641006423273</v>
      </c>
      <c r="H98">
        <f>1/(COUNT(SimData!$B$9:$B$108)-1)+$H$97</f>
        <v>0.8888888888888874</v>
      </c>
      <c r="J98">
        <f>SMALL(SimData!$C$9:$C$108,89)</f>
        <v>106790.64412283267</v>
      </c>
      <c r="K98">
        <f>1/(COUNT(SimData!$C$9:$C$108)-1)+$K$97</f>
        <v>0.8888888888888874</v>
      </c>
    </row>
    <row r="99" spans="1:11">
      <c r="A99">
        <v>91</v>
      </c>
      <c r="B99">
        <v>488.05388477514509</v>
      </c>
      <c r="C99">
        <v>89781.40015699256</v>
      </c>
      <c r="G99">
        <f>SMALL(SimData!$B$9:$B$108,90)</f>
        <v>584.37670104483982</v>
      </c>
      <c r="H99">
        <f>1/(COUNT(SimData!$B$9:$B$108)-1)+$H$98</f>
        <v>0.89898989898989745</v>
      </c>
      <c r="J99">
        <f>SMALL(SimData!$C$9:$C$108,90)</f>
        <v>106880.60447235916</v>
      </c>
      <c r="K99">
        <f>1/(COUNT(SimData!$C$9:$C$108)-1)+$K$98</f>
        <v>0.89898989898989745</v>
      </c>
    </row>
    <row r="100" spans="1:11">
      <c r="A100">
        <v>92</v>
      </c>
      <c r="B100">
        <v>526.70325375791367</v>
      </c>
      <c r="C100">
        <v>107901.5952623582</v>
      </c>
      <c r="G100">
        <f>SMALL(SimData!$B$9:$B$108,91)</f>
        <v>589.1372571692159</v>
      </c>
      <c r="H100">
        <f>1/(COUNT(SimData!$B$9:$B$108)-1)+$H$99</f>
        <v>0.90909090909090751</v>
      </c>
      <c r="J100">
        <f>SMALL(SimData!$C$9:$C$108,91)</f>
        <v>107044.24982715535</v>
      </c>
      <c r="K100">
        <f>1/(COUNT(SimData!$C$9:$C$108)-1)+$K$99</f>
        <v>0.90909090909090751</v>
      </c>
    </row>
    <row r="101" spans="1:11">
      <c r="A101">
        <v>93</v>
      </c>
      <c r="B101">
        <v>428.55884841603233</v>
      </c>
      <c r="C101">
        <v>84211.115753503051</v>
      </c>
      <c r="G101">
        <f>SMALL(SimData!$B$9:$B$108,92)</f>
        <v>590.53898315285346</v>
      </c>
      <c r="H101">
        <f>1/(COUNT(SimData!$B$9:$B$108)-1)+$H$100</f>
        <v>0.91919191919191756</v>
      </c>
      <c r="J101">
        <f>SMALL(SimData!$C$9:$C$108,92)</f>
        <v>107901.5952623582</v>
      </c>
      <c r="K101">
        <f>1/(COUNT(SimData!$C$9:$C$108)-1)+$K$100</f>
        <v>0.91919191919191756</v>
      </c>
    </row>
    <row r="102" spans="1:11">
      <c r="A102">
        <v>94</v>
      </c>
      <c r="B102">
        <v>414.39952569413265</v>
      </c>
      <c r="C102">
        <v>76002.604942988764</v>
      </c>
      <c r="G102">
        <f>SMALL(SimData!$B$9:$B$108,93)</f>
        <v>597.98296331797769</v>
      </c>
      <c r="H102">
        <f>1/(COUNT(SimData!$B$9:$B$108)-1)+$H$101</f>
        <v>0.92929292929292762</v>
      </c>
      <c r="J102">
        <f>SMALL(SimData!$C$9:$C$108,93)</f>
        <v>109303.09231783199</v>
      </c>
      <c r="K102">
        <f>1/(COUNT(SimData!$C$9:$C$108)-1)+$K$101</f>
        <v>0.92929292929292762</v>
      </c>
    </row>
    <row r="103" spans="1:11">
      <c r="A103">
        <v>95</v>
      </c>
      <c r="B103">
        <v>322.04048264245819</v>
      </c>
      <c r="C103">
        <v>75838.1448174822</v>
      </c>
      <c r="G103">
        <f>SMALL(SimData!$B$9:$B$108,94)</f>
        <v>603.1055063869826</v>
      </c>
      <c r="H103">
        <f>1/(COUNT(SimData!$B$9:$B$108)-1)+$H$102</f>
        <v>0.93939393939393767</v>
      </c>
      <c r="J103">
        <f>SMALL(SimData!$C$9:$C$108,94)</f>
        <v>109796.77716487602</v>
      </c>
      <c r="K103">
        <f>1/(COUNT(SimData!$C$9:$C$108)-1)+$K$102</f>
        <v>0.93939393939393767</v>
      </c>
    </row>
    <row r="104" spans="1:11">
      <c r="A104">
        <v>96</v>
      </c>
      <c r="B104">
        <v>578.40411100988547</v>
      </c>
      <c r="C104">
        <v>97045.431104348841</v>
      </c>
      <c r="G104">
        <f>SMALL(SimData!$B$9:$B$108,95)</f>
        <v>604.94532622913403</v>
      </c>
      <c r="H104">
        <f>1/(COUNT(SimData!$B$9:$B$108)-1)+$H$103</f>
        <v>0.94949494949494773</v>
      </c>
      <c r="J104">
        <f>SMALL(SimData!$C$9:$C$108,95)</f>
        <v>115649.5917672738</v>
      </c>
      <c r="K104">
        <f>1/(COUNT(SimData!$C$9:$C$108)-1)+$K$103</f>
        <v>0.94949494949494773</v>
      </c>
    </row>
    <row r="105" spans="1:11">
      <c r="A105">
        <v>97</v>
      </c>
      <c r="B105">
        <v>584.37670104483982</v>
      </c>
      <c r="C105">
        <v>93993.916930402178</v>
      </c>
      <c r="G105">
        <f>SMALL(SimData!$B$9:$B$108,96)</f>
        <v>609.0598978063291</v>
      </c>
      <c r="H105">
        <f>1/(COUNT(SimData!$B$9:$B$108)-1)+$H$104</f>
        <v>0.95959595959595778</v>
      </c>
      <c r="J105">
        <f>SMALL(SimData!$C$9:$C$108,96)</f>
        <v>116401.63168005463</v>
      </c>
      <c r="K105">
        <f>1/(COUNT(SimData!$C$9:$C$108)-1)+$K$104</f>
        <v>0.95959595959595778</v>
      </c>
    </row>
    <row r="106" spans="1:11">
      <c r="A106">
        <v>98</v>
      </c>
      <c r="B106">
        <v>501.27547801684079</v>
      </c>
      <c r="C106">
        <v>80053.255299021635</v>
      </c>
      <c r="G106">
        <f>SMALL(SimData!$B$9:$B$108,97)</f>
        <v>639.04021923468838</v>
      </c>
      <c r="H106">
        <f>1/(COUNT(SimData!$B$9:$B$108)-1)+$H$105</f>
        <v>0.96969696969696784</v>
      </c>
      <c r="J106">
        <f>SMALL(SimData!$C$9:$C$108,97)</f>
        <v>118123.19715431335</v>
      </c>
      <c r="K106">
        <f>1/(COUNT(SimData!$C$9:$C$108)-1)+$K$105</f>
        <v>0.96969696969696784</v>
      </c>
    </row>
    <row r="107" spans="1:11">
      <c r="A107">
        <v>99</v>
      </c>
      <c r="B107">
        <v>521.63834690893714</v>
      </c>
      <c r="C107">
        <v>98494.562499428081</v>
      </c>
      <c r="G107">
        <f>SMALL(SimData!$B$9:$B$108,98)</f>
        <v>661.91291903134561</v>
      </c>
      <c r="H107">
        <f>1/(COUNT(SimData!$B$9:$B$108)-1)+$H$106</f>
        <v>0.97979797979797789</v>
      </c>
      <c r="J107">
        <f>SMALL(SimData!$C$9:$C$108,98)</f>
        <v>118318.60610955484</v>
      </c>
      <c r="K107">
        <f>1/(COUNT(SimData!$C$9:$C$108)-1)+$K$106</f>
        <v>0.97979797979797789</v>
      </c>
    </row>
    <row r="108" spans="1:11">
      <c r="A108">
        <v>100</v>
      </c>
      <c r="B108">
        <v>508.10562569408643</v>
      </c>
      <c r="C108">
        <v>90945.119034161791</v>
      </c>
      <c r="G108">
        <f>SMALL(SimData!$B$9:$B$108,99)</f>
        <v>673.75551573976168</v>
      </c>
      <c r="H108">
        <f>1/(COUNT(SimData!$B$9:$B$108)-1)+$H$107</f>
        <v>0.98989898989898795</v>
      </c>
      <c r="J108">
        <f>SMALL(SimData!$C$9:$C$108,99)</f>
        <v>122589.77054327134</v>
      </c>
      <c r="K108">
        <f>1/(COUNT(SimData!$C$9:$C$108)-1)+$K$107</f>
        <v>0.98989898989898795</v>
      </c>
    </row>
    <row r="109" spans="1:11">
      <c r="G109">
        <f>SMALL(SimData!$B$9:$B$108,100)</f>
        <v>717.10863707055103</v>
      </c>
      <c r="H109">
        <f>1/(COUNT(SimData!$B$9:$B$108)-1)+$H$108</f>
        <v>0.999999999999998</v>
      </c>
      <c r="J109">
        <f>SMALL(SimData!$C$9:$C$108,100)</f>
        <v>149778.58146806309</v>
      </c>
      <c r="K109">
        <f>1/(COUNT(SimData!$C$9:$C$108)-1)+$K$108</f>
        <v>0.999999999999998</v>
      </c>
    </row>
    <row r="110" spans="1:11">
      <c r="A110" t="s">
        <v>59</v>
      </c>
    </row>
    <row r="111" spans="1:11">
      <c r="A111" t="s">
        <v>60</v>
      </c>
      <c r="B111" t="str">
        <f>IF(ISBLANK($B110)=TRUE,"",_xll.EDF(B9:B108,$B110))</f>
        <v/>
      </c>
      <c r="C111" t="str">
        <f>IF(ISBLANK($C110)=TRUE,"",_xll.EDF(C9:C108,$C110))</f>
        <v/>
      </c>
    </row>
    <row r="112" spans="1:11">
      <c r="A112" t="s">
        <v>61</v>
      </c>
    </row>
    <row r="113" spans="1:3">
      <c r="A113" t="s">
        <v>62</v>
      </c>
      <c r="B113" t="str">
        <f>IF(ISBLANK($B112)=TRUE,"",_xll.EDF(B9:B108,$B112))</f>
        <v/>
      </c>
      <c r="C113" t="str">
        <f>IF(ISBLANK($C112)=TRUE,"",_xll.EDF(C9:C108,$C112))</f>
        <v/>
      </c>
    </row>
    <row r="114" spans="1:3">
      <c r="A114" t="s">
        <v>63</v>
      </c>
    </row>
    <row r="115" spans="1:3">
      <c r="A115" t="s">
        <v>64</v>
      </c>
      <c r="B115" t="str">
        <f>IF(ISBLANK($B114)=TRUE,"",_xll.EDF(B9:B108,$B114))</f>
        <v/>
      </c>
      <c r="C115" t="str">
        <f>IF(ISBLANK($C114)=TRUE,"",_xll.EDF(C9:C108,$C114))</f>
        <v/>
      </c>
    </row>
    <row r="116" spans="1:3">
      <c r="A116" t="s">
        <v>65</v>
      </c>
    </row>
    <row r="117" spans="1:3">
      <c r="A117" t="s">
        <v>66</v>
      </c>
      <c r="B117" t="str">
        <f>IF(ISBLANK($B116)=TRUE,"",_xll.EDF(B9:B108,$B116))</f>
        <v/>
      </c>
      <c r="C117" t="str">
        <f>IF(ISBLANK($C116)=TRUE,"",_xll.EDF(C9:C108,$C116))</f>
        <v/>
      </c>
    </row>
    <row r="118" spans="1:3">
      <c r="A118" t="s">
        <v>67</v>
      </c>
    </row>
    <row r="119" spans="1:3">
      <c r="A119" t="s">
        <v>68</v>
      </c>
      <c r="B119" t="str">
        <f>IF(ISBLANK($B118)=TRUE,"",_xll.EDF(B9:B108,$B118))</f>
        <v/>
      </c>
      <c r="C119" t="str">
        <f>IF(ISBLANK($C118)=TRUE,"",_xll.EDF(C9:C108,$C118))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SimData</vt:lpstr>
      <vt:lpstr>CDF of Days to Completion</vt:lpstr>
      <vt:lpstr>CDF of Total Costs</vt:lpstr>
      <vt:lpstr>Sheet1!Print_Area</vt:lpstr>
    </vt:vector>
  </TitlesOfParts>
  <Company>Dept. Ag. Eco. at TAMU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Agricultural and Food Policy Center</dc:creator>
  <cp:lastModifiedBy>James W. Richardson</cp:lastModifiedBy>
  <cp:lastPrinted>2002-11-23T03:46:49Z</cp:lastPrinted>
  <dcterms:created xsi:type="dcterms:W3CDTF">2000-12-06T11:08:07Z</dcterms:created>
  <dcterms:modified xsi:type="dcterms:W3CDTF">2011-02-07T04:47:08Z</dcterms:modified>
</cp:coreProperties>
</file>