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14085" windowHeight="8580" tabRatio="821" activeTab="1"/>
  </bookViews>
  <sheets>
    <sheet name="SimData" sheetId="15" r:id="rId1"/>
    <sheet name="Model" sheetId="1" r:id="rId2"/>
  </sheets>
  <definedNames>
    <definedName name="_xlnm.Print_Area" localSheetId="1">Model!$A$1:$M$74</definedName>
  </definedNames>
  <calcPr calcId="125725"/>
</workbook>
</file>

<file path=xl/calcChain.xml><?xml version="1.0" encoding="utf-8"?>
<calcChain xmlns="http://schemas.openxmlformats.org/spreadsheetml/2006/main">
  <c r="A55" i="1"/>
  <c r="M519" i="15"/>
  <c r="M517"/>
  <c r="M515"/>
  <c r="M513"/>
  <c r="M511"/>
  <c r="M8"/>
  <c r="M7"/>
  <c r="M6"/>
  <c r="M4"/>
  <c r="M5" s="1"/>
  <c r="M3"/>
  <c r="L519"/>
  <c r="L517"/>
  <c r="L515"/>
  <c r="L513"/>
  <c r="L511"/>
  <c r="L8"/>
  <c r="L7"/>
  <c r="L6"/>
  <c r="L4"/>
  <c r="L5" s="1"/>
  <c r="L3"/>
  <c r="K519"/>
  <c r="K517"/>
  <c r="K515"/>
  <c r="K513"/>
  <c r="K511"/>
  <c r="K8"/>
  <c r="K7"/>
  <c r="K6"/>
  <c r="K4"/>
  <c r="K5" s="1"/>
  <c r="K3"/>
  <c r="J519"/>
  <c r="J517"/>
  <c r="J515"/>
  <c r="J513"/>
  <c r="J511"/>
  <c r="J8"/>
  <c r="J7"/>
  <c r="J6"/>
  <c r="J4"/>
  <c r="J5" s="1"/>
  <c r="J3"/>
  <c r="I519"/>
  <c r="I517"/>
  <c r="I515"/>
  <c r="I513"/>
  <c r="I511"/>
  <c r="I8"/>
  <c r="I7"/>
  <c r="I6"/>
  <c r="I4"/>
  <c r="I5" s="1"/>
  <c r="I3"/>
  <c r="H519"/>
  <c r="H517"/>
  <c r="H515"/>
  <c r="H513"/>
  <c r="H511"/>
  <c r="H8"/>
  <c r="H7"/>
  <c r="H6"/>
  <c r="H4"/>
  <c r="H5" s="1"/>
  <c r="H3"/>
  <c r="G519"/>
  <c r="G517"/>
  <c r="G515"/>
  <c r="G513"/>
  <c r="G511"/>
  <c r="G8"/>
  <c r="G7"/>
  <c r="G6"/>
  <c r="G4"/>
  <c r="G5" s="1"/>
  <c r="G3"/>
  <c r="F519"/>
  <c r="F517"/>
  <c r="F515"/>
  <c r="F513"/>
  <c r="F511"/>
  <c r="F8"/>
  <c r="F7"/>
  <c r="F6"/>
  <c r="F4"/>
  <c r="F5" s="1"/>
  <c r="F3"/>
  <c r="E519"/>
  <c r="E517"/>
  <c r="E515"/>
  <c r="E513"/>
  <c r="E511"/>
  <c r="E8"/>
  <c r="E7"/>
  <c r="E6"/>
  <c r="E4"/>
  <c r="E5" s="1"/>
  <c r="E3"/>
  <c r="D519"/>
  <c r="D517"/>
  <c r="D515"/>
  <c r="D513"/>
  <c r="D511"/>
  <c r="D8"/>
  <c r="D7"/>
  <c r="D6"/>
  <c r="D4"/>
  <c r="D5" s="1"/>
  <c r="D3"/>
  <c r="C519"/>
  <c r="C517"/>
  <c r="C515"/>
  <c r="C513"/>
  <c r="C511"/>
  <c r="C8"/>
  <c r="C7"/>
  <c r="C6"/>
  <c r="C4"/>
  <c r="C5" s="1"/>
  <c r="C3"/>
  <c r="B519"/>
  <c r="B517"/>
  <c r="B515"/>
  <c r="B513"/>
  <c r="B511"/>
  <c r="B8"/>
  <c r="B7"/>
  <c r="B6"/>
  <c r="B4"/>
  <c r="B5" s="1"/>
  <c r="B3"/>
  <c r="AD4"/>
  <c r="AD5" s="1"/>
  <c r="AD6" s="1"/>
  <c r="AD7" s="1"/>
  <c r="AD8" s="1"/>
  <c r="AD9" s="1"/>
  <c r="AD10" s="1"/>
  <c r="AD11" s="1"/>
  <c r="AD12" s="1"/>
  <c r="AD13" s="1"/>
  <c r="AD14" s="1"/>
  <c r="AD15" s="1"/>
  <c r="AD16" s="1"/>
  <c r="AD17" s="1"/>
  <c r="AD18" s="1"/>
  <c r="AD19" s="1"/>
  <c r="AD20" s="1"/>
  <c r="AD21" s="1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D50" s="1"/>
  <c r="AD51" s="1"/>
  <c r="AD52" s="1"/>
  <c r="AD53" s="1"/>
  <c r="AD54" s="1"/>
  <c r="AD55" s="1"/>
  <c r="AD56" s="1"/>
  <c r="AD57" s="1"/>
  <c r="AD58" s="1"/>
  <c r="AD59" s="1"/>
  <c r="AD60" s="1"/>
  <c r="AD61" s="1"/>
  <c r="AD62" s="1"/>
  <c r="AD63" s="1"/>
  <c r="AD64" s="1"/>
  <c r="AD65" s="1"/>
  <c r="AD66" s="1"/>
  <c r="AD67" s="1"/>
  <c r="AD68" s="1"/>
  <c r="AD69" s="1"/>
  <c r="AD70" s="1"/>
  <c r="AD71" s="1"/>
  <c r="AD72" s="1"/>
  <c r="AD73" s="1"/>
  <c r="AD74" s="1"/>
  <c r="AD75" s="1"/>
  <c r="AD76" s="1"/>
  <c r="AD77" s="1"/>
  <c r="AD78" s="1"/>
  <c r="AD79" s="1"/>
  <c r="AD80" s="1"/>
  <c r="AD81" s="1"/>
  <c r="AD82" s="1"/>
  <c r="AD83" s="1"/>
  <c r="AD84" s="1"/>
  <c r="AD85" s="1"/>
  <c r="AD86" s="1"/>
  <c r="AD87" s="1"/>
  <c r="AD88" s="1"/>
  <c r="AD89" s="1"/>
  <c r="AD90" s="1"/>
  <c r="AD91" s="1"/>
  <c r="AD92" s="1"/>
  <c r="AD93" s="1"/>
  <c r="AD94" s="1"/>
  <c r="AD95" s="1"/>
  <c r="AD96" s="1"/>
  <c r="AD97" s="1"/>
  <c r="AD98" s="1"/>
  <c r="AD99" s="1"/>
  <c r="AD100" s="1"/>
  <c r="AD101" s="1"/>
  <c r="AD102" s="1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U8"/>
  <c r="AC2" s="1"/>
  <c r="AB4"/>
  <c r="AB5" s="1"/>
  <c r="AB6" s="1"/>
  <c r="AB7" s="1"/>
  <c r="AB8" s="1"/>
  <c r="AB9" s="1"/>
  <c r="AB10" s="1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B62" s="1"/>
  <c r="AB63" s="1"/>
  <c r="AB64" s="1"/>
  <c r="AB65" s="1"/>
  <c r="AB66" s="1"/>
  <c r="AB67" s="1"/>
  <c r="AB68" s="1"/>
  <c r="AB69" s="1"/>
  <c r="AB70" s="1"/>
  <c r="AB71" s="1"/>
  <c r="AB72" s="1"/>
  <c r="AB73" s="1"/>
  <c r="AB74" s="1"/>
  <c r="AB75" s="1"/>
  <c r="AB76" s="1"/>
  <c r="AB77" s="1"/>
  <c r="AB78" s="1"/>
  <c r="AB79" s="1"/>
  <c r="AB80" s="1"/>
  <c r="AB81" s="1"/>
  <c r="AB82" s="1"/>
  <c r="AB83" s="1"/>
  <c r="AB84" s="1"/>
  <c r="AB85" s="1"/>
  <c r="AB86" s="1"/>
  <c r="AB87" s="1"/>
  <c r="AB88" s="1"/>
  <c r="AB89" s="1"/>
  <c r="AB90" s="1"/>
  <c r="AB91" s="1"/>
  <c r="AB92" s="1"/>
  <c r="AB93" s="1"/>
  <c r="AB94" s="1"/>
  <c r="AB95" s="1"/>
  <c r="AB96" s="1"/>
  <c r="AB97" s="1"/>
  <c r="AB98" s="1"/>
  <c r="AB99" s="1"/>
  <c r="AB100" s="1"/>
  <c r="AB101" s="1"/>
  <c r="AB102" s="1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T8"/>
  <c r="AA2" s="1"/>
  <c r="Z4"/>
  <c r="Z5" s="1"/>
  <c r="Z6" s="1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S8"/>
  <c r="Y2" s="1"/>
  <c r="X4"/>
  <c r="X5" s="1"/>
  <c r="X6" s="1"/>
  <c r="X7" s="1"/>
  <c r="X8" s="1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X101" s="1"/>
  <c r="X102" s="1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R8"/>
  <c r="W2" s="1"/>
  <c r="U119"/>
  <c r="U117"/>
  <c r="U115"/>
  <c r="U113"/>
  <c r="U111"/>
  <c r="U7"/>
  <c r="U6"/>
  <c r="U4"/>
  <c r="U3"/>
  <c r="U5" s="1"/>
  <c r="T119"/>
  <c r="T117"/>
  <c r="T115"/>
  <c r="T113"/>
  <c r="T111"/>
  <c r="T7"/>
  <c r="T6"/>
  <c r="T4"/>
  <c r="T3"/>
  <c r="T5"/>
  <c r="S119"/>
  <c r="S117"/>
  <c r="S115"/>
  <c r="S113"/>
  <c r="S111"/>
  <c r="S7"/>
  <c r="S6"/>
  <c r="S4"/>
  <c r="S5" s="1"/>
  <c r="S3"/>
  <c r="R119"/>
  <c r="R117"/>
  <c r="R115"/>
  <c r="R113"/>
  <c r="R111"/>
  <c r="R7"/>
  <c r="R6"/>
  <c r="R4"/>
  <c r="R5" s="1"/>
  <c r="R3"/>
  <c r="Q119"/>
  <c r="Q117"/>
  <c r="Q115"/>
  <c r="Q113"/>
  <c r="Q111"/>
  <c r="Q8"/>
  <c r="Q7"/>
  <c r="Q6"/>
  <c r="Q4"/>
  <c r="Q5" s="1"/>
  <c r="Q3"/>
  <c r="P119"/>
  <c r="P117"/>
  <c r="P115"/>
  <c r="P113"/>
  <c r="P111"/>
  <c r="P8"/>
  <c r="P7"/>
  <c r="P6"/>
  <c r="P4"/>
  <c r="P5" s="1"/>
  <c r="P3"/>
  <c r="O119"/>
  <c r="O117"/>
  <c r="O115"/>
  <c r="O113"/>
  <c r="O111"/>
  <c r="O8"/>
  <c r="O7"/>
  <c r="O6"/>
  <c r="O4"/>
  <c r="O5" s="1"/>
  <c r="O3"/>
  <c r="N119"/>
  <c r="N117"/>
  <c r="N115"/>
  <c r="N113"/>
  <c r="N111"/>
  <c r="N8"/>
  <c r="N7"/>
  <c r="N6"/>
  <c r="N4"/>
  <c r="N5" s="1"/>
  <c r="N3"/>
  <c r="U2"/>
  <c r="T2"/>
  <c r="B24" i="1"/>
  <c r="C9"/>
  <c r="B25"/>
  <c r="M2" i="15"/>
  <c r="L2"/>
  <c r="K2"/>
  <c r="J2"/>
  <c r="I2"/>
  <c r="H2"/>
  <c r="G2"/>
  <c r="F2"/>
  <c r="E2"/>
  <c r="D2"/>
  <c r="C2"/>
  <c r="B2"/>
  <c r="R2"/>
  <c r="Q2"/>
  <c r="P2"/>
  <c r="O2"/>
  <c r="N2"/>
  <c r="F19" i="1"/>
  <c r="E9"/>
  <c r="F20"/>
  <c r="F16"/>
  <c r="C8"/>
  <c r="F24"/>
  <c r="F17"/>
  <c r="A1"/>
  <c r="F25"/>
  <c r="S2" i="15"/>
  <c r="E8" i="1"/>
  <c r="F18"/>
  <c r="K9" l="1"/>
  <c r="B18"/>
  <c r="K10"/>
  <c r="B16"/>
  <c r="B17" s="1"/>
  <c r="B19" l="1"/>
  <c r="B20" s="1"/>
  <c r="K8" s="1"/>
</calcChain>
</file>

<file path=xl/sharedStrings.xml><?xml version="1.0" encoding="utf-8"?>
<sst xmlns="http://schemas.openxmlformats.org/spreadsheetml/2006/main" count="78" uniqueCount="54">
  <si>
    <t>James W. Richardson</t>
  </si>
  <si>
    <t>Input Data</t>
  </si>
  <si>
    <t>Variable Cost</t>
  </si>
  <si>
    <t>Fixed Costs</t>
  </si>
  <si>
    <t>PDF for Q</t>
  </si>
  <si>
    <t>Mean</t>
  </si>
  <si>
    <t>Std Dev</t>
  </si>
  <si>
    <t>PDF for P</t>
  </si>
  <si>
    <t>Model</t>
  </si>
  <si>
    <t>Stochastic Variables</t>
  </si>
  <si>
    <t>Q</t>
  </si>
  <si>
    <t>P</t>
  </si>
  <si>
    <t>Production</t>
  </si>
  <si>
    <t>Receipts</t>
  </si>
  <si>
    <t>Profit</t>
  </si>
  <si>
    <t>Scenario 1</t>
  </si>
  <si>
    <t>StDev</t>
  </si>
  <si>
    <t>CV</t>
  </si>
  <si>
    <t>Min</t>
  </si>
  <si>
    <t>Max</t>
  </si>
  <si>
    <t>Iteration</t>
  </si>
  <si>
    <t>Key Output Variable</t>
  </si>
  <si>
    <t>Equations for the Model in Column C</t>
  </si>
  <si>
    <t>Equations for the Stochastic Variables</t>
  </si>
  <si>
    <t>Fixed Cost</t>
  </si>
  <si>
    <t>Var Cost</t>
  </si>
  <si>
    <t>Scenario</t>
  </si>
  <si>
    <t>Formulas for Scenario Change Variables</t>
  </si>
  <si>
    <t>Scenario 2</t>
  </si>
  <si>
    <t>Scenario 3</t>
  </si>
  <si>
    <t>Scenario 4</t>
  </si>
  <si>
    <t>KOV</t>
  </si>
  <si>
    <t>VC</t>
  </si>
  <si>
    <t>FC</t>
  </si>
  <si>
    <t>Model is simulated for 4 scenarios</t>
  </si>
  <si>
    <t>The Simulation results are for 4 scenarios with three output variables analyzed by Simetar.</t>
  </si>
  <si>
    <t>The VC and FC variables changed each scenario, as indicated by their values being constant across all iterations in a scenario.</t>
  </si>
  <si>
    <t>The KOV variable is different by scenario, as indicated by the means ranging from 199.45 to 216.95.</t>
  </si>
  <si>
    <t>Chapter 10</t>
  </si>
  <si>
    <t>A Scenario Table specifies the alternative values for each of the variables that are supposed to change.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</si>
  <si>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</si>
  <si>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</si>
  <si>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</si>
  <si>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</si>
  <si>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</si>
  <si>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</si>
  <si>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</si>
  <si>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</si>
  <si>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</si>
  <si>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</si>
  <si>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</si>
  <si>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CDFProb.</t>
  </si>
  <si>
    <t>Simetar Simulation Results for 4 Scenarios, 500 Iterations.  11:06:16 PM 12/21/2005 (4.14 sec.).  © 2005.</t>
  </si>
  <si>
    <t>© November 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</si>
</sst>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9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165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1" fillId="0" borderId="3" xfId="0" applyFont="1" applyFill="1" applyBorder="1" applyAlignment="1">
      <alignment horizontal="left" indent="2"/>
    </xf>
    <xf numFmtId="165" fontId="0" fillId="0" borderId="4" xfId="0" applyNumberFormat="1" applyFill="1" applyBorder="1"/>
    <xf numFmtId="0" fontId="1" fillId="0" borderId="5" xfId="0" applyFont="1" applyFill="1" applyBorder="1" applyAlignment="1">
      <alignment horizontal="left" indent="3"/>
    </xf>
    <xf numFmtId="0" fontId="0" fillId="0" borderId="6" xfId="0" applyFill="1" applyBorder="1"/>
    <xf numFmtId="0" fontId="1" fillId="0" borderId="7" xfId="0" applyFont="1" applyFill="1" applyBorder="1" applyAlignment="1">
      <alignment horizontal="left" indent="3"/>
    </xf>
    <xf numFmtId="0" fontId="0" fillId="0" borderId="8" xfId="0" applyFill="1" applyBorder="1"/>
    <xf numFmtId="165" fontId="0" fillId="0" borderId="0" xfId="0" applyNumberFormat="1" applyFill="1" applyBorder="1"/>
    <xf numFmtId="165" fontId="0" fillId="0" borderId="9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3" xfId="0" applyNumberFormat="1" applyFill="1" applyBorder="1"/>
    <xf numFmtId="2" fontId="0" fillId="0" borderId="13" xfId="0" applyNumberFormat="1" applyFill="1" applyBorder="1"/>
    <xf numFmtId="164" fontId="0" fillId="0" borderId="4" xfId="0" applyNumberFormat="1" applyFill="1" applyBorder="1"/>
    <xf numFmtId="0" fontId="0" fillId="0" borderId="4" xfId="0" applyFill="1" applyBorder="1"/>
    <xf numFmtId="0" fontId="0" fillId="0" borderId="3" xfId="0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5" xfId="0" applyFill="1" applyBorder="1"/>
    <xf numFmtId="164" fontId="1" fillId="0" borderId="5" xfId="0" applyNumberFormat="1" applyFont="1" applyFill="1" applyBorder="1"/>
    <xf numFmtId="2" fontId="1" fillId="0" borderId="0" xfId="0" applyNumberFormat="1" applyFont="1" applyFill="1" applyBorder="1"/>
    <xf numFmtId="164" fontId="1" fillId="0" borderId="6" xfId="0" applyNumberFormat="1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164" fontId="0" fillId="0" borderId="7" xfId="0" applyNumberFormat="1" applyFill="1" applyBorder="1"/>
    <xf numFmtId="2" fontId="0" fillId="0" borderId="14" xfId="0" applyNumberFormat="1" applyFill="1" applyBorder="1"/>
    <xf numFmtId="164" fontId="0" fillId="0" borderId="8" xfId="0" applyNumberFormat="1" applyFill="1" applyBorder="1"/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6661973517787714"/>
          <c:y val="2.94209092448270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13281416590963"/>
          <c:y val="0.1744239619514748"/>
          <c:w val="0.83154029730416568"/>
          <c:h val="0.65566597745614619"/>
        </c:manualLayout>
      </c:layout>
      <c:scatterChart>
        <c:scatterStyle val="smoothMarker"/>
        <c:ser>
          <c:idx val="0"/>
          <c:order val="0"/>
          <c:tx>
            <c:strRef>
              <c:f>SimData!$W$2</c:f>
              <c:strCache>
                <c:ptCount val="1"/>
                <c:pt idx="0">
                  <c:v>Profit: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SimData!$W$3:$W$102</c:f>
              <c:numCache>
                <c:formatCode>General</c:formatCode>
                <c:ptCount val="100"/>
                <c:pt idx="0">
                  <c:v>31.339483906894429</c:v>
                </c:pt>
                <c:pt idx="1">
                  <c:v>48.657858986575533</c:v>
                </c:pt>
                <c:pt idx="2">
                  <c:v>65.887058831385986</c:v>
                </c:pt>
                <c:pt idx="3">
                  <c:v>70.227491740279163</c:v>
                </c:pt>
                <c:pt idx="4">
                  <c:v>74.944778593614927</c:v>
                </c:pt>
                <c:pt idx="5">
                  <c:v>76.07765410531789</c:v>
                </c:pt>
                <c:pt idx="6">
                  <c:v>80.485128044667533</c:v>
                </c:pt>
                <c:pt idx="7">
                  <c:v>85.86439780072763</c:v>
                </c:pt>
                <c:pt idx="8">
                  <c:v>88.955769993073602</c:v>
                </c:pt>
                <c:pt idx="9">
                  <c:v>98.702104473658963</c:v>
                </c:pt>
                <c:pt idx="10">
                  <c:v>99.214777680078214</c:v>
                </c:pt>
                <c:pt idx="11">
                  <c:v>105.26593572734383</c:v>
                </c:pt>
                <c:pt idx="12">
                  <c:v>110.95860588992721</c:v>
                </c:pt>
                <c:pt idx="13">
                  <c:v>116.85866967657782</c:v>
                </c:pt>
                <c:pt idx="14">
                  <c:v>120.9692466638688</c:v>
                </c:pt>
                <c:pt idx="15">
                  <c:v>126.15874828512381</c:v>
                </c:pt>
                <c:pt idx="16">
                  <c:v>126.61020439949591</c:v>
                </c:pt>
                <c:pt idx="17">
                  <c:v>131.36665693311818</c:v>
                </c:pt>
                <c:pt idx="18">
                  <c:v>135.18715537378961</c:v>
                </c:pt>
                <c:pt idx="19">
                  <c:v>135.40636934928327</c:v>
                </c:pt>
                <c:pt idx="20">
                  <c:v>145.47570854495396</c:v>
                </c:pt>
                <c:pt idx="21">
                  <c:v>146.52449821282849</c:v>
                </c:pt>
                <c:pt idx="22">
                  <c:v>150.33952414328934</c:v>
                </c:pt>
                <c:pt idx="23">
                  <c:v>151.1869362418372</c:v>
                </c:pt>
                <c:pt idx="24">
                  <c:v>152.49701247460303</c:v>
                </c:pt>
                <c:pt idx="25">
                  <c:v>152.6421429825217</c:v>
                </c:pt>
                <c:pt idx="26">
                  <c:v>153.53058805457192</c:v>
                </c:pt>
                <c:pt idx="27">
                  <c:v>156.48085069920216</c:v>
                </c:pt>
                <c:pt idx="28">
                  <c:v>156.51676687394604</c:v>
                </c:pt>
                <c:pt idx="29">
                  <c:v>158.18985065273728</c:v>
                </c:pt>
                <c:pt idx="30">
                  <c:v>159.36389697336841</c:v>
                </c:pt>
                <c:pt idx="31">
                  <c:v>161.94363415311722</c:v>
                </c:pt>
                <c:pt idx="32">
                  <c:v>170.20825816770451</c:v>
                </c:pt>
                <c:pt idx="33">
                  <c:v>170.48407867271683</c:v>
                </c:pt>
                <c:pt idx="34">
                  <c:v>174.33917138823853</c:v>
                </c:pt>
                <c:pt idx="35">
                  <c:v>179.07356522423407</c:v>
                </c:pt>
                <c:pt idx="36">
                  <c:v>187.0706778404903</c:v>
                </c:pt>
                <c:pt idx="37">
                  <c:v>187.46958846117673</c:v>
                </c:pt>
                <c:pt idx="38">
                  <c:v>188.75254167666532</c:v>
                </c:pt>
                <c:pt idx="39">
                  <c:v>189.53878335347954</c:v>
                </c:pt>
                <c:pt idx="40">
                  <c:v>194.70423870576761</c:v>
                </c:pt>
                <c:pt idx="41">
                  <c:v>195.42975692102959</c:v>
                </c:pt>
                <c:pt idx="42">
                  <c:v>195.71801878619254</c:v>
                </c:pt>
                <c:pt idx="43">
                  <c:v>197.65695132770514</c:v>
                </c:pt>
                <c:pt idx="44">
                  <c:v>202.91849916048477</c:v>
                </c:pt>
                <c:pt idx="45">
                  <c:v>203.3634896376027</c:v>
                </c:pt>
                <c:pt idx="46">
                  <c:v>206.47008152622703</c:v>
                </c:pt>
                <c:pt idx="47">
                  <c:v>213.38358612311103</c:v>
                </c:pt>
                <c:pt idx="48">
                  <c:v>213.68046481475278</c:v>
                </c:pt>
                <c:pt idx="49">
                  <c:v>213.92282733641068</c:v>
                </c:pt>
                <c:pt idx="50">
                  <c:v>215.52632299418963</c:v>
                </c:pt>
                <c:pt idx="51">
                  <c:v>217.04580573388847</c:v>
                </c:pt>
                <c:pt idx="52">
                  <c:v>217.57832364462578</c:v>
                </c:pt>
                <c:pt idx="53">
                  <c:v>219.13090942139874</c:v>
                </c:pt>
                <c:pt idx="54">
                  <c:v>222.15513691217279</c:v>
                </c:pt>
                <c:pt idx="55">
                  <c:v>224.42656092140152</c:v>
                </c:pt>
                <c:pt idx="56">
                  <c:v>227.03092787014697</c:v>
                </c:pt>
                <c:pt idx="57">
                  <c:v>231.90128155534563</c:v>
                </c:pt>
                <c:pt idx="58">
                  <c:v>233.22049498851425</c:v>
                </c:pt>
                <c:pt idx="59">
                  <c:v>235.80424195473648</c:v>
                </c:pt>
                <c:pt idx="60">
                  <c:v>242.4618290804288</c:v>
                </c:pt>
                <c:pt idx="61">
                  <c:v>242.97309561552976</c:v>
                </c:pt>
                <c:pt idx="62">
                  <c:v>245.61598625434465</c:v>
                </c:pt>
                <c:pt idx="63">
                  <c:v>248.89705949912272</c:v>
                </c:pt>
                <c:pt idx="64">
                  <c:v>250.58280861025469</c:v>
                </c:pt>
                <c:pt idx="65">
                  <c:v>256.06542914088413</c:v>
                </c:pt>
                <c:pt idx="66">
                  <c:v>259.07305540219681</c:v>
                </c:pt>
                <c:pt idx="67">
                  <c:v>262.01058102782662</c:v>
                </c:pt>
                <c:pt idx="68">
                  <c:v>264.38765329786213</c:v>
                </c:pt>
                <c:pt idx="69">
                  <c:v>265.73060733389104</c:v>
                </c:pt>
                <c:pt idx="70">
                  <c:v>271.24142308084663</c:v>
                </c:pt>
                <c:pt idx="71">
                  <c:v>272.75210012403397</c:v>
                </c:pt>
                <c:pt idx="72">
                  <c:v>274.811811814875</c:v>
                </c:pt>
                <c:pt idx="73">
                  <c:v>275.36272310997492</c:v>
                </c:pt>
                <c:pt idx="74">
                  <c:v>277.91217212087236</c:v>
                </c:pt>
                <c:pt idx="75">
                  <c:v>278.41192609185714</c:v>
                </c:pt>
                <c:pt idx="76">
                  <c:v>279.78341369371492</c:v>
                </c:pt>
                <c:pt idx="77">
                  <c:v>281.67502819712251</c:v>
                </c:pt>
                <c:pt idx="78">
                  <c:v>282.2026637969866</c:v>
                </c:pt>
                <c:pt idx="79">
                  <c:v>284.4256959626934</c:v>
                </c:pt>
                <c:pt idx="80">
                  <c:v>305.84476672138237</c:v>
                </c:pt>
                <c:pt idx="81">
                  <c:v>308.99949266156551</c:v>
                </c:pt>
                <c:pt idx="82">
                  <c:v>313.94195263499194</c:v>
                </c:pt>
                <c:pt idx="83">
                  <c:v>315.49825254300947</c:v>
                </c:pt>
                <c:pt idx="84">
                  <c:v>316.8925284991297</c:v>
                </c:pt>
                <c:pt idx="85">
                  <c:v>322.73877440835264</c:v>
                </c:pt>
                <c:pt idx="86">
                  <c:v>327.05562971620856</c:v>
                </c:pt>
                <c:pt idx="87">
                  <c:v>335.5582234084419</c:v>
                </c:pt>
                <c:pt idx="88">
                  <c:v>339.22628565023069</c:v>
                </c:pt>
                <c:pt idx="89">
                  <c:v>340.58449809926753</c:v>
                </c:pt>
                <c:pt idx="90">
                  <c:v>345.87867487069417</c:v>
                </c:pt>
                <c:pt idx="91">
                  <c:v>347.89113732990552</c:v>
                </c:pt>
                <c:pt idx="92">
                  <c:v>356.79239879683962</c:v>
                </c:pt>
                <c:pt idx="93">
                  <c:v>358.62083498639265</c:v>
                </c:pt>
                <c:pt idx="94">
                  <c:v>368.93122130767949</c:v>
                </c:pt>
                <c:pt idx="95">
                  <c:v>377.6914328684345</c:v>
                </c:pt>
                <c:pt idx="96">
                  <c:v>384.94762043473224</c:v>
                </c:pt>
                <c:pt idx="97">
                  <c:v>385.02307457408369</c:v>
                </c:pt>
                <c:pt idx="98">
                  <c:v>406.2885862740859</c:v>
                </c:pt>
                <c:pt idx="99">
                  <c:v>420.95674930359797</c:v>
                </c:pt>
              </c:numCache>
            </c:numRef>
          </c:xVal>
          <c:yVal>
            <c:numRef>
              <c:f>SimData!$X$3:$X$102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SimData!$Y$2</c:f>
              <c:strCache>
                <c:ptCount val="1"/>
                <c:pt idx="0">
                  <c:v>Profit: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SimData!$Y$3:$Y$102</c:f>
              <c:numCache>
                <c:formatCode>General</c:formatCode>
                <c:ptCount val="100"/>
                <c:pt idx="0">
                  <c:v>18.932499113818565</c:v>
                </c:pt>
                <c:pt idx="1">
                  <c:v>38.796836482175195</c:v>
                </c:pt>
                <c:pt idx="2">
                  <c:v>55.472315499145481</c:v>
                </c:pt>
                <c:pt idx="3">
                  <c:v>58.494626820713933</c:v>
                </c:pt>
                <c:pt idx="4">
                  <c:v>58.877664731559832</c:v>
                </c:pt>
                <c:pt idx="5">
                  <c:v>63.154930112947653</c:v>
                </c:pt>
                <c:pt idx="6">
                  <c:v>66.923958105939292</c:v>
                </c:pt>
                <c:pt idx="7">
                  <c:v>73.05099743336902</c:v>
                </c:pt>
                <c:pt idx="8">
                  <c:v>75.430329564762843</c:v>
                </c:pt>
                <c:pt idx="9">
                  <c:v>85.104030994192698</c:v>
                </c:pt>
                <c:pt idx="10">
                  <c:v>86.02518135389046</c:v>
                </c:pt>
                <c:pt idx="11">
                  <c:v>95.010566781075511</c:v>
                </c:pt>
                <c:pt idx="12">
                  <c:v>97.928157732434826</c:v>
                </c:pt>
                <c:pt idx="13">
                  <c:v>107.83307315002683</c:v>
                </c:pt>
                <c:pt idx="14">
                  <c:v>108.44902084028523</c:v>
                </c:pt>
                <c:pt idx="15">
                  <c:v>113.88891025355856</c:v>
                </c:pt>
                <c:pt idx="16">
                  <c:v>115.26407816132301</c:v>
                </c:pt>
                <c:pt idx="17">
                  <c:v>119.54709007601537</c:v>
                </c:pt>
                <c:pt idx="18">
                  <c:v>120.61152344056919</c:v>
                </c:pt>
                <c:pt idx="19">
                  <c:v>122.1029849615051</c:v>
                </c:pt>
                <c:pt idx="20">
                  <c:v>131.74634264501344</c:v>
                </c:pt>
                <c:pt idx="21">
                  <c:v>133.26282082739269</c:v>
                </c:pt>
                <c:pt idx="22">
                  <c:v>137.82419944747733</c:v>
                </c:pt>
                <c:pt idx="23">
                  <c:v>138.27237085914334</c:v>
                </c:pt>
                <c:pt idx="24">
                  <c:v>138.72617219172577</c:v>
                </c:pt>
                <c:pt idx="25">
                  <c:v>140.06194101366088</c:v>
                </c:pt>
                <c:pt idx="26">
                  <c:v>140.58424942226054</c:v>
                </c:pt>
                <c:pt idx="27">
                  <c:v>142.43643494154563</c:v>
                </c:pt>
                <c:pt idx="28">
                  <c:v>142.46871617655245</c:v>
                </c:pt>
                <c:pt idx="29">
                  <c:v>145.60514896239096</c:v>
                </c:pt>
                <c:pt idx="30">
                  <c:v>145.65368639897932</c:v>
                </c:pt>
                <c:pt idx="31">
                  <c:v>146.04391282873922</c:v>
                </c:pt>
                <c:pt idx="32">
                  <c:v>149.24618956131789</c:v>
                </c:pt>
                <c:pt idx="33">
                  <c:v>155.11502952578959</c:v>
                </c:pt>
                <c:pt idx="34">
                  <c:v>158.91455181965236</c:v>
                </c:pt>
                <c:pt idx="35">
                  <c:v>165.37987000599259</c:v>
                </c:pt>
                <c:pt idx="36">
                  <c:v>168.67656454239346</c:v>
                </c:pt>
                <c:pt idx="37">
                  <c:v>172.00059998840791</c:v>
                </c:pt>
                <c:pt idx="38">
                  <c:v>174.90808434227074</c:v>
                </c:pt>
                <c:pt idx="39">
                  <c:v>177.59595060571621</c:v>
                </c:pt>
                <c:pt idx="40">
                  <c:v>178.55258780519347</c:v>
                </c:pt>
                <c:pt idx="41">
                  <c:v>181.00693645852874</c:v>
                </c:pt>
                <c:pt idx="42">
                  <c:v>181.80164836140671</c:v>
                </c:pt>
                <c:pt idx="43">
                  <c:v>184.25578968711756</c:v>
                </c:pt>
                <c:pt idx="44">
                  <c:v>187.6767657268289</c:v>
                </c:pt>
                <c:pt idx="45">
                  <c:v>188.03154313498857</c:v>
                </c:pt>
                <c:pt idx="46">
                  <c:v>190.25171751581769</c:v>
                </c:pt>
                <c:pt idx="47">
                  <c:v>197.223794565275</c:v>
                </c:pt>
                <c:pt idx="48">
                  <c:v>197.56844296304993</c:v>
                </c:pt>
                <c:pt idx="49">
                  <c:v>200.85108325093501</c:v>
                </c:pt>
                <c:pt idx="50">
                  <c:v>200.95833943336748</c:v>
                </c:pt>
                <c:pt idx="51">
                  <c:v>201.19681883135019</c:v>
                </c:pt>
                <c:pt idx="52">
                  <c:v>202.69044825339529</c:v>
                </c:pt>
                <c:pt idx="53">
                  <c:v>203.56081710480686</c:v>
                </c:pt>
                <c:pt idx="54">
                  <c:v>206.02652730071514</c:v>
                </c:pt>
                <c:pt idx="55">
                  <c:v>207.17298576504169</c:v>
                </c:pt>
                <c:pt idx="56">
                  <c:v>212.48719173144372</c:v>
                </c:pt>
                <c:pt idx="57">
                  <c:v>216.1613181015301</c:v>
                </c:pt>
                <c:pt idx="58">
                  <c:v>218.66989633392214</c:v>
                </c:pt>
                <c:pt idx="59">
                  <c:v>219.29882248403837</c:v>
                </c:pt>
                <c:pt idx="60">
                  <c:v>225.26367503926275</c:v>
                </c:pt>
                <c:pt idx="61">
                  <c:v>226.93854316866441</c:v>
                </c:pt>
                <c:pt idx="62">
                  <c:v>231.67000075039499</c:v>
                </c:pt>
                <c:pt idx="63">
                  <c:v>233.89223711628068</c:v>
                </c:pt>
                <c:pt idx="64">
                  <c:v>237.50431320859531</c:v>
                </c:pt>
                <c:pt idx="65">
                  <c:v>239.01738020258267</c:v>
                </c:pt>
                <c:pt idx="66">
                  <c:v>242.74445489354468</c:v>
                </c:pt>
                <c:pt idx="67">
                  <c:v>246.51031706245328</c:v>
                </c:pt>
                <c:pt idx="68">
                  <c:v>250.12111596238844</c:v>
                </c:pt>
                <c:pt idx="69">
                  <c:v>250.58792388551484</c:v>
                </c:pt>
                <c:pt idx="70">
                  <c:v>253.62360519677668</c:v>
                </c:pt>
                <c:pt idx="71">
                  <c:v>256.31685992876646</c:v>
                </c:pt>
                <c:pt idx="72">
                  <c:v>259.61794735564138</c:v>
                </c:pt>
                <c:pt idx="73">
                  <c:v>260.32622692058794</c:v>
                </c:pt>
                <c:pt idx="74">
                  <c:v>261.87613638441235</c:v>
                </c:pt>
                <c:pt idx="75">
                  <c:v>262.39489257502726</c:v>
                </c:pt>
                <c:pt idx="76">
                  <c:v>262.81299920631125</c:v>
                </c:pt>
                <c:pt idx="77">
                  <c:v>263.98365306865225</c:v>
                </c:pt>
                <c:pt idx="78">
                  <c:v>264.76351918285695</c:v>
                </c:pt>
                <c:pt idx="79">
                  <c:v>267.79073865506786</c:v>
                </c:pt>
                <c:pt idx="80">
                  <c:v>290.55951215446095</c:v>
                </c:pt>
                <c:pt idx="81">
                  <c:v>291.7903448073626</c:v>
                </c:pt>
                <c:pt idx="82">
                  <c:v>297.47966507620981</c:v>
                </c:pt>
                <c:pt idx="83">
                  <c:v>299.75997297677299</c:v>
                </c:pt>
                <c:pt idx="84">
                  <c:v>300.9806847119703</c:v>
                </c:pt>
                <c:pt idx="85">
                  <c:v>305.9504906252875</c:v>
                </c:pt>
                <c:pt idx="86">
                  <c:v>311.42740931213081</c:v>
                </c:pt>
                <c:pt idx="87">
                  <c:v>319.54873935570635</c:v>
                </c:pt>
                <c:pt idx="88">
                  <c:v>321.34787300544212</c:v>
                </c:pt>
                <c:pt idx="89">
                  <c:v>324.73859403150163</c:v>
                </c:pt>
                <c:pt idx="90">
                  <c:v>325.28929162641259</c:v>
                </c:pt>
                <c:pt idx="91">
                  <c:v>330.58762787044998</c:v>
                </c:pt>
                <c:pt idx="92">
                  <c:v>338.44075345080074</c:v>
                </c:pt>
                <c:pt idx="93">
                  <c:v>339.59157590179376</c:v>
                </c:pt>
                <c:pt idx="94">
                  <c:v>352.6865726056887</c:v>
                </c:pt>
                <c:pt idx="95">
                  <c:v>360.80712573344363</c:v>
                </c:pt>
                <c:pt idx="96">
                  <c:v>365.12487683958818</c:v>
                </c:pt>
                <c:pt idx="97">
                  <c:v>367.84138958304999</c:v>
                </c:pt>
                <c:pt idx="98">
                  <c:v>389.69863003680865</c:v>
                </c:pt>
                <c:pt idx="99">
                  <c:v>405.70905497607572</c:v>
                </c:pt>
              </c:numCache>
            </c:numRef>
          </c:xVal>
          <c:yVal>
            <c:numRef>
              <c:f>SimData!$Z$3:$Z$102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SimData!$AA$2</c:f>
              <c:strCache>
                <c:ptCount val="1"/>
                <c:pt idx="0">
                  <c:v>Profit: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SimData!$AA$3:$AA$102</c:f>
              <c:numCache>
                <c:formatCode>General</c:formatCode>
                <c:ptCount val="100"/>
                <c:pt idx="0">
                  <c:v>32.729006717280626</c:v>
                </c:pt>
                <c:pt idx="1">
                  <c:v>53.866325229975004</c:v>
                </c:pt>
                <c:pt idx="2">
                  <c:v>69.70311317841194</c:v>
                </c:pt>
                <c:pt idx="3">
                  <c:v>70.264943833025214</c:v>
                </c:pt>
                <c:pt idx="4">
                  <c:v>73.202751227200167</c:v>
                </c:pt>
                <c:pt idx="5">
                  <c:v>77.260005872614016</c:v>
                </c:pt>
                <c:pt idx="6">
                  <c:v>80.14337313657515</c:v>
                </c:pt>
                <c:pt idx="7">
                  <c:v>86.644297249689714</c:v>
                </c:pt>
                <c:pt idx="8">
                  <c:v>88.667609350607449</c:v>
                </c:pt>
                <c:pt idx="9">
                  <c:v>98.048657651249925</c:v>
                </c:pt>
                <c:pt idx="10">
                  <c:v>99.686719794006194</c:v>
                </c:pt>
                <c:pt idx="11">
                  <c:v>109.88288230794136</c:v>
                </c:pt>
                <c:pt idx="12">
                  <c:v>111.41293365368861</c:v>
                </c:pt>
                <c:pt idx="13">
                  <c:v>121.26498639310583</c:v>
                </c:pt>
                <c:pt idx="14">
                  <c:v>124.24419642213893</c:v>
                </c:pt>
                <c:pt idx="15">
                  <c:v>127.52826318058987</c:v>
                </c:pt>
                <c:pt idx="16">
                  <c:v>129.81674309942261</c:v>
                </c:pt>
                <c:pt idx="17">
                  <c:v>133.32370747395896</c:v>
                </c:pt>
                <c:pt idx="18">
                  <c:v>133.63730664746396</c:v>
                </c:pt>
                <c:pt idx="19">
                  <c:v>135.451292767616</c:v>
                </c:pt>
                <c:pt idx="20">
                  <c:v>144.35726486110593</c:v>
                </c:pt>
                <c:pt idx="21">
                  <c:v>147.15637696861205</c:v>
                </c:pt>
                <c:pt idx="22">
                  <c:v>150.41522767995511</c:v>
                </c:pt>
                <c:pt idx="23">
                  <c:v>151.84075205028711</c:v>
                </c:pt>
                <c:pt idx="24">
                  <c:v>152.23879421707031</c:v>
                </c:pt>
                <c:pt idx="25">
                  <c:v>152.68283533575979</c:v>
                </c:pt>
                <c:pt idx="26">
                  <c:v>154.11108010610479</c:v>
                </c:pt>
                <c:pt idx="27">
                  <c:v>154.49944339957273</c:v>
                </c:pt>
                <c:pt idx="28">
                  <c:v>155.4446908278556</c:v>
                </c:pt>
                <c:pt idx="29">
                  <c:v>158.76515525812457</c:v>
                </c:pt>
                <c:pt idx="30">
                  <c:v>159.31279811721777</c:v>
                </c:pt>
                <c:pt idx="31">
                  <c:v>159.38392075642463</c:v>
                </c:pt>
                <c:pt idx="32">
                  <c:v>160.24010424886791</c:v>
                </c:pt>
                <c:pt idx="33">
                  <c:v>167.43050495232595</c:v>
                </c:pt>
                <c:pt idx="34">
                  <c:v>171.20224203535926</c:v>
                </c:pt>
                <c:pt idx="35">
                  <c:v>178.53302239687184</c:v>
                </c:pt>
                <c:pt idx="36">
                  <c:v>179.28005258300183</c:v>
                </c:pt>
                <c:pt idx="37">
                  <c:v>184.4655610623667</c:v>
                </c:pt>
                <c:pt idx="38">
                  <c:v>187.98585567507348</c:v>
                </c:pt>
                <c:pt idx="39">
                  <c:v>190.47676235490638</c:v>
                </c:pt>
                <c:pt idx="40">
                  <c:v>191.62453423183456</c:v>
                </c:pt>
                <c:pt idx="41">
                  <c:v>193.65139529469684</c:v>
                </c:pt>
                <c:pt idx="42">
                  <c:v>194.98759408159526</c:v>
                </c:pt>
                <c:pt idx="43">
                  <c:v>197.55520886682373</c:v>
                </c:pt>
                <c:pt idx="44">
                  <c:v>199.83340377144199</c:v>
                </c:pt>
                <c:pt idx="45">
                  <c:v>200.58806512224047</c:v>
                </c:pt>
                <c:pt idx="46">
                  <c:v>202.14253551061302</c:v>
                </c:pt>
                <c:pt idx="47">
                  <c:v>208.87427817970718</c:v>
                </c:pt>
                <c:pt idx="48">
                  <c:v>209.66087138301938</c:v>
                </c:pt>
                <c:pt idx="49">
                  <c:v>211.87205443935184</c:v>
                </c:pt>
                <c:pt idx="50">
                  <c:v>213.51346337930767</c:v>
                </c:pt>
                <c:pt idx="51">
                  <c:v>214.95499583964892</c:v>
                </c:pt>
                <c:pt idx="52">
                  <c:v>215.51276951314867</c:v>
                </c:pt>
                <c:pt idx="53">
                  <c:v>216.55206383489735</c:v>
                </c:pt>
                <c:pt idx="54">
                  <c:v>216.82651049037196</c:v>
                </c:pt>
                <c:pt idx="55">
                  <c:v>219.68191019147611</c:v>
                </c:pt>
                <c:pt idx="56">
                  <c:v>225.21532366209212</c:v>
                </c:pt>
                <c:pt idx="57">
                  <c:v>227.63172965803801</c:v>
                </c:pt>
                <c:pt idx="58">
                  <c:v>231.0461127486893</c:v>
                </c:pt>
                <c:pt idx="59">
                  <c:v>232.05420372321038</c:v>
                </c:pt>
                <c:pt idx="60">
                  <c:v>236.40896475112925</c:v>
                </c:pt>
                <c:pt idx="61">
                  <c:v>239.17690021278221</c:v>
                </c:pt>
                <c:pt idx="62">
                  <c:v>244.69700799842013</c:v>
                </c:pt>
                <c:pt idx="63">
                  <c:v>246.38982592485965</c:v>
                </c:pt>
                <c:pt idx="64">
                  <c:v>248.22375524245089</c:v>
                </c:pt>
                <c:pt idx="65">
                  <c:v>253.23466599874664</c:v>
                </c:pt>
                <c:pt idx="66">
                  <c:v>254.58015463921859</c:v>
                </c:pt>
                <c:pt idx="67">
                  <c:v>258.76018507976659</c:v>
                </c:pt>
                <c:pt idx="68">
                  <c:v>262.9878472946516</c:v>
                </c:pt>
                <c:pt idx="69">
                  <c:v>263.01658216132671</c:v>
                </c:pt>
                <c:pt idx="70">
                  <c:v>264.8146962547417</c:v>
                </c:pt>
                <c:pt idx="71">
                  <c:v>268.09923983113276</c:v>
                </c:pt>
                <c:pt idx="72">
                  <c:v>271.74555947847455</c:v>
                </c:pt>
                <c:pt idx="73">
                  <c:v>272.75482476397968</c:v>
                </c:pt>
                <c:pt idx="74">
                  <c:v>273.08343447344441</c:v>
                </c:pt>
                <c:pt idx="75">
                  <c:v>273.85811851618229</c:v>
                </c:pt>
                <c:pt idx="76">
                  <c:v>274.32779196260935</c:v>
                </c:pt>
                <c:pt idx="77">
                  <c:v>276.04394687579213</c:v>
                </c:pt>
                <c:pt idx="78">
                  <c:v>276.76951655704983</c:v>
                </c:pt>
                <c:pt idx="79">
                  <c:v>279.47326000125508</c:v>
                </c:pt>
                <c:pt idx="80">
                  <c:v>302.91688487100021</c:v>
                </c:pt>
                <c:pt idx="81">
                  <c:v>303.18577088026109</c:v>
                </c:pt>
                <c:pt idx="82">
                  <c:v>308.47037134281004</c:v>
                </c:pt>
                <c:pt idx="83">
                  <c:v>312.66898314766348</c:v>
                </c:pt>
                <c:pt idx="84">
                  <c:v>313.02476281839057</c:v>
                </c:pt>
                <c:pt idx="85">
                  <c:v>317.55634873375493</c:v>
                </c:pt>
                <c:pt idx="86">
                  <c:v>323.61329911009193</c:v>
                </c:pt>
                <c:pt idx="87">
                  <c:v>331.54399732933859</c:v>
                </c:pt>
                <c:pt idx="88">
                  <c:v>332.40866668304778</c:v>
                </c:pt>
                <c:pt idx="89">
                  <c:v>334.99460000427183</c:v>
                </c:pt>
                <c:pt idx="90">
                  <c:v>336.81564199761863</c:v>
                </c:pt>
                <c:pt idx="91">
                  <c:v>341.93587314072221</c:v>
                </c:pt>
                <c:pt idx="92">
                  <c:v>349.26493077778127</c:v>
                </c:pt>
                <c:pt idx="93">
                  <c:v>350.07694635949429</c:v>
                </c:pt>
                <c:pt idx="94">
                  <c:v>364.56424825469333</c:v>
                </c:pt>
                <c:pt idx="95">
                  <c:v>372.36497216594825</c:v>
                </c:pt>
                <c:pt idx="96">
                  <c:v>375.17577797234037</c:v>
                </c:pt>
                <c:pt idx="97">
                  <c:v>379.28827415720889</c:v>
                </c:pt>
                <c:pt idx="98">
                  <c:v>401.40365191817</c:v>
                </c:pt>
                <c:pt idx="99">
                  <c:v>418.08520781231459</c:v>
                </c:pt>
              </c:numCache>
            </c:numRef>
          </c:xVal>
          <c:yVal>
            <c:numRef>
              <c:f>SimData!$AB$3:$AB$102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SimData!$AC$2</c:f>
              <c:strCache>
                <c:ptCount val="1"/>
                <c:pt idx="0">
                  <c:v>Profit: 4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SimData!$AC$3:$AC$102</c:f>
              <c:numCache>
                <c:formatCode>General</c:formatCode>
                <c:ptCount val="100"/>
                <c:pt idx="0">
                  <c:v>20.322021924204762</c:v>
                </c:pt>
                <c:pt idx="1">
                  <c:v>44.005302725574666</c:v>
                </c:pt>
                <c:pt idx="2">
                  <c:v>52.120085893807982</c:v>
                </c:pt>
                <c:pt idx="3">
                  <c:v>59.850200500784709</c:v>
                </c:pt>
                <c:pt idx="4">
                  <c:v>61.852924218480837</c:v>
                </c:pt>
                <c:pt idx="5">
                  <c:v>65.470157391946742</c:v>
                </c:pt>
                <c:pt idx="6">
                  <c:v>66.582203197846894</c:v>
                </c:pt>
                <c:pt idx="7">
                  <c:v>73.830896882331103</c:v>
                </c:pt>
                <c:pt idx="8">
                  <c:v>75.14216892229669</c:v>
                </c:pt>
                <c:pt idx="9">
                  <c:v>83.937910965364409</c:v>
                </c:pt>
                <c:pt idx="10">
                  <c:v>87.009796674237677</c:v>
                </c:pt>
                <c:pt idx="11">
                  <c:v>98.38248549619621</c:v>
                </c:pt>
                <c:pt idx="12">
                  <c:v>99.627513361673039</c:v>
                </c:pt>
                <c:pt idx="13">
                  <c:v>108.12881287926385</c:v>
                </c:pt>
                <c:pt idx="14">
                  <c:v>114.80696903465252</c:v>
                </c:pt>
                <c:pt idx="15">
                  <c:v>115.83454758584634</c:v>
                </c:pt>
                <c:pt idx="16">
                  <c:v>118.74807554073854</c:v>
                </c:pt>
                <c:pt idx="17">
                  <c:v>118.92207297562183</c:v>
                </c:pt>
                <c:pt idx="18">
                  <c:v>121.81773979036113</c:v>
                </c:pt>
                <c:pt idx="19">
                  <c:v>122.14790837983784</c:v>
                </c:pt>
                <c:pt idx="20">
                  <c:v>129.57910929329091</c:v>
                </c:pt>
                <c:pt idx="21">
                  <c:v>133.1756361241882</c:v>
                </c:pt>
                <c:pt idx="22">
                  <c:v>134.94348925105078</c:v>
                </c:pt>
                <c:pt idx="23">
                  <c:v>135.5972841449107</c:v>
                </c:pt>
                <c:pt idx="24">
                  <c:v>137.80308665173794</c:v>
                </c:pt>
                <c:pt idx="25">
                  <c:v>138.06991176740982</c:v>
                </c:pt>
                <c:pt idx="26">
                  <c:v>140.1716409329243</c:v>
                </c:pt>
                <c:pt idx="27">
                  <c:v>141.16474147379341</c:v>
                </c:pt>
                <c:pt idx="28">
                  <c:v>141.396640130462</c:v>
                </c:pt>
                <c:pt idx="29">
                  <c:v>143.37444817139638</c:v>
                </c:pt>
                <c:pt idx="30">
                  <c:v>146.06393661179547</c:v>
                </c:pt>
                <c:pt idx="31">
                  <c:v>146.72809642687145</c:v>
                </c:pt>
                <c:pt idx="32">
                  <c:v>149.41293994864506</c:v>
                </c:pt>
                <c:pt idx="33">
                  <c:v>152.06145580539871</c:v>
                </c:pt>
                <c:pt idx="34">
                  <c:v>155.7776224667731</c:v>
                </c:pt>
                <c:pt idx="35">
                  <c:v>160.4870286642186</c:v>
                </c:pt>
                <c:pt idx="36">
                  <c:v>164.83932717863036</c:v>
                </c:pt>
                <c:pt idx="37">
                  <c:v>169.39548321028428</c:v>
                </c:pt>
                <c:pt idx="38">
                  <c:v>174.1413983406789</c:v>
                </c:pt>
                <c:pt idx="39">
                  <c:v>174.32511145433224</c:v>
                </c:pt>
                <c:pt idx="40">
                  <c:v>178.94031296703304</c:v>
                </c:pt>
                <c:pt idx="41">
                  <c:v>179.68170148407123</c:v>
                </c:pt>
                <c:pt idx="42">
                  <c:v>181.35948552197237</c:v>
                </c:pt>
                <c:pt idx="43">
                  <c:v>184.1466798606682</c:v>
                </c:pt>
                <c:pt idx="44">
                  <c:v>184.15404722623612</c:v>
                </c:pt>
                <c:pt idx="45">
                  <c:v>185.70110909674426</c:v>
                </c:pt>
                <c:pt idx="46">
                  <c:v>185.92417150020367</c:v>
                </c:pt>
                <c:pt idx="47">
                  <c:v>192.1752454085715</c:v>
                </c:pt>
                <c:pt idx="48">
                  <c:v>193.69948445132056</c:v>
                </c:pt>
                <c:pt idx="49">
                  <c:v>193.84572822295829</c:v>
                </c:pt>
                <c:pt idx="50">
                  <c:v>198.42647686968559</c:v>
                </c:pt>
                <c:pt idx="51">
                  <c:v>198.83822363605304</c:v>
                </c:pt>
                <c:pt idx="52">
                  <c:v>201.15741203265549</c:v>
                </c:pt>
                <c:pt idx="53">
                  <c:v>202.47134985624632</c:v>
                </c:pt>
                <c:pt idx="54">
                  <c:v>202.53455729507843</c:v>
                </c:pt>
                <c:pt idx="55">
                  <c:v>204.699759044345</c:v>
                </c:pt>
                <c:pt idx="56">
                  <c:v>210.57255277105384</c:v>
                </c:pt>
                <c:pt idx="57">
                  <c:v>210.67158752338887</c:v>
                </c:pt>
                <c:pt idx="58">
                  <c:v>214.54069327799118</c:v>
                </c:pt>
                <c:pt idx="59">
                  <c:v>218.69954417486224</c:v>
                </c:pt>
                <c:pt idx="60">
                  <c:v>218.82281850178686</c:v>
                </c:pt>
                <c:pt idx="61">
                  <c:v>223.65361430101785</c:v>
                </c:pt>
                <c:pt idx="62">
                  <c:v>229.66263931016204</c:v>
                </c:pt>
                <c:pt idx="63">
                  <c:v>230.75102249447048</c:v>
                </c:pt>
                <c:pt idx="64">
                  <c:v>231.38500354201761</c:v>
                </c:pt>
                <c:pt idx="65">
                  <c:v>238.25155413056646</c:v>
                </c:pt>
                <c:pt idx="66">
                  <c:v>241.66923759107459</c:v>
                </c:pt>
                <c:pt idx="67">
                  <c:v>243.25992111439325</c:v>
                </c:pt>
                <c:pt idx="68">
                  <c:v>247.19687837067175</c:v>
                </c:pt>
                <c:pt idx="69">
                  <c:v>247.87389871295051</c:v>
                </c:pt>
                <c:pt idx="70">
                  <c:v>248.72130995917792</c:v>
                </c:pt>
                <c:pt idx="71">
                  <c:v>251.66399963586525</c:v>
                </c:pt>
                <c:pt idx="72">
                  <c:v>253.47468914188448</c:v>
                </c:pt>
                <c:pt idx="73">
                  <c:v>256.000783724141</c:v>
                </c:pt>
                <c:pt idx="74">
                  <c:v>257.35737747520568</c:v>
                </c:pt>
                <c:pt idx="75">
                  <c:v>257.82208277972228</c:v>
                </c:pt>
                <c:pt idx="76">
                  <c:v>258.59784957915736</c:v>
                </c:pt>
                <c:pt idx="77">
                  <c:v>258.60480226166248</c:v>
                </c:pt>
                <c:pt idx="78">
                  <c:v>262.34124353384493</c:v>
                </c:pt>
                <c:pt idx="79">
                  <c:v>262.83830269362954</c:v>
                </c:pt>
                <c:pt idx="80">
                  <c:v>285.97662302605818</c:v>
                </c:pt>
                <c:pt idx="81">
                  <c:v>287.63163030407873</c:v>
                </c:pt>
                <c:pt idx="82">
                  <c:v>290.45178387601038</c:v>
                </c:pt>
                <c:pt idx="83">
                  <c:v>297.11291903123117</c:v>
                </c:pt>
                <c:pt idx="84">
                  <c:v>298.48700348944453</c:v>
                </c:pt>
                <c:pt idx="85">
                  <c:v>300.76806495068979</c:v>
                </c:pt>
                <c:pt idx="86">
                  <c:v>307.98507870601412</c:v>
                </c:pt>
                <c:pt idx="87">
                  <c:v>314.40521675999025</c:v>
                </c:pt>
                <c:pt idx="88">
                  <c:v>314.53025403825916</c:v>
                </c:pt>
                <c:pt idx="89">
                  <c:v>315.53451327660298</c:v>
                </c:pt>
                <c:pt idx="90">
                  <c:v>320.96973792985273</c:v>
                </c:pt>
                <c:pt idx="91">
                  <c:v>324.63236368126661</c:v>
                </c:pt>
                <c:pt idx="92">
                  <c:v>330.91328543174234</c:v>
                </c:pt>
                <c:pt idx="93">
                  <c:v>331.04768727489545</c:v>
                </c:pt>
                <c:pt idx="94">
                  <c:v>348.31959955270247</c:v>
                </c:pt>
                <c:pt idx="95">
                  <c:v>355.27758023784486</c:v>
                </c:pt>
                <c:pt idx="96">
                  <c:v>355.48066503095743</c:v>
                </c:pt>
                <c:pt idx="97">
                  <c:v>362.18204330552658</c:v>
                </c:pt>
                <c:pt idx="98">
                  <c:v>384.81369568089275</c:v>
                </c:pt>
                <c:pt idx="99">
                  <c:v>402.83751348479234</c:v>
                </c:pt>
              </c:numCache>
            </c:numRef>
          </c:xVal>
          <c:yVal>
            <c:numRef>
              <c:f>SimData!$AD$3:$AD$102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axId val="50289280"/>
        <c:axId val="50303360"/>
      </c:scatterChart>
      <c:valAx>
        <c:axId val="50289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03360"/>
        <c:crosses val="autoZero"/>
        <c:crossBetween val="midCat"/>
      </c:valAx>
      <c:valAx>
        <c:axId val="503033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2.3929217188609086E-2"/>
              <c:y val="0.458125586812307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892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322138907469994"/>
          <c:y val="0.92886013472954043"/>
          <c:w val="0.55186757141229703"/>
          <c:h val="5.67403249721664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314325</xdr:colOff>
      <xdr:row>0</xdr:row>
      <xdr:rowOff>57150</xdr:rowOff>
    </xdr:from>
    <xdr:to>
      <xdr:col>33</xdr:col>
      <xdr:colOff>190500</xdr:colOff>
      <xdr:row>32</xdr:row>
      <xdr:rowOff>28575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9525</xdr:rowOff>
    </xdr:from>
    <xdr:to>
      <xdr:col>7</xdr:col>
      <xdr:colOff>28575</xdr:colOff>
      <xdr:row>54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381625"/>
          <a:ext cx="4448175" cy="28956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9"/>
  <sheetViews>
    <sheetView workbookViewId="0"/>
  </sheetViews>
  <sheetFormatPr defaultRowHeight="12"/>
  <cols>
    <col min="2" max="21" width="13.28515625" customWidth="1"/>
  </cols>
  <sheetData>
    <row r="1" spans="1:30">
      <c r="A1" t="s">
        <v>52</v>
      </c>
    </row>
    <row r="2" spans="1:30">
      <c r="A2" t="s">
        <v>40</v>
      </c>
      <c r="B2" t="str">
        <f ca="1">ADDRESS(ROW(Model!$K$8),COLUMN(Model!$K$8),4,,_xll.WSNAME(Model!$K$8))</f>
        <v>Model!K8</v>
      </c>
      <c r="C2" t="str">
        <f ca="1">ADDRESS(ROW(Model!$K$9),COLUMN(Model!$K$9),4,,_xll.WSNAME(Model!$K$9))</f>
        <v>Model!K9</v>
      </c>
      <c r="D2" t="str">
        <f ca="1">ADDRESS(ROW(Model!$K$10),COLUMN(Model!$K$10),4,,_xll.WSNAME(Model!$K$10))</f>
        <v>Model!K10</v>
      </c>
      <c r="E2" t="str">
        <f ca="1">ADDRESS(ROW(Model!$K$8),COLUMN(Model!$K$8),4,,_xll.WSNAME(Model!$K$8))</f>
        <v>Model!K8</v>
      </c>
      <c r="F2" t="str">
        <f ca="1">ADDRESS(ROW(Model!$K$9),COLUMN(Model!$K$9),4,,_xll.WSNAME(Model!$K$9))</f>
        <v>Model!K9</v>
      </c>
      <c r="G2" t="str">
        <f ca="1">ADDRESS(ROW(Model!$K$10),COLUMN(Model!$K$10),4,,_xll.WSNAME(Model!$K$10))</f>
        <v>Model!K10</v>
      </c>
      <c r="H2" t="str">
        <f ca="1">ADDRESS(ROW(Model!$K$8),COLUMN(Model!$K$8),4,,_xll.WSNAME(Model!$K$8))</f>
        <v>Model!K8</v>
      </c>
      <c r="I2" t="str">
        <f ca="1">ADDRESS(ROW(Model!$K$9),COLUMN(Model!$K$9),4,,_xll.WSNAME(Model!$K$9))</f>
        <v>Model!K9</v>
      </c>
      <c r="J2" t="str">
        <f ca="1">ADDRESS(ROW(Model!$K$10),COLUMN(Model!$K$10),4,,_xll.WSNAME(Model!$K$10))</f>
        <v>Model!K10</v>
      </c>
      <c r="K2" t="str">
        <f ca="1">ADDRESS(ROW(Model!$K$8),COLUMN(Model!$K$8),4,,_xll.WSNAME(Model!$K$8))</f>
        <v>Model!K8</v>
      </c>
      <c r="L2" t="str">
        <f ca="1">ADDRESS(ROW(Model!$K$9),COLUMN(Model!$K$9),4,,_xll.WSNAME(Model!$K$9))</f>
        <v>Model!K9</v>
      </c>
      <c r="M2" t="str">
        <f ca="1">ADDRESS(ROW(Model!$K$10),COLUMN(Model!$K$10),4,,_xll.WSNAME(Model!$K$10))</f>
        <v>Model!K10</v>
      </c>
      <c r="N2" t="str">
        <f ca="1">ADDRESS(ROW(Model!$B$19),COLUMN(Model!$B$19),4,,_xll.WSNAME(Model!$B$19))</f>
        <v>Model!B19</v>
      </c>
      <c r="O2" t="str">
        <f ca="1">ADDRESS(ROW(Model!$B$19),COLUMN(Model!$B$19),4,,_xll.WSNAME(Model!$B$19))</f>
        <v>Model!B19</v>
      </c>
      <c r="P2" t="str">
        <f ca="1">ADDRESS(ROW(Model!$B$19),COLUMN(Model!$B$19),4,,_xll.WSNAME(Model!$B$19))</f>
        <v>Model!B19</v>
      </c>
      <c r="Q2" t="str">
        <f ca="1">ADDRESS(ROW(Model!$B$19),COLUMN(Model!$B$19),4,,_xll.WSNAME(Model!$B$19))</f>
        <v>Model!B19</v>
      </c>
      <c r="R2" t="str">
        <f ca="1">ADDRESS(ROW(Model!$B$20),COLUMN(Model!$B$20),4,,_xll.WSNAME(Model!$B$20))</f>
        <v>Model!B20</v>
      </c>
      <c r="S2" t="str">
        <f ca="1">ADDRESS(ROW(Model!$B$20),COLUMN(Model!$B$20),4,,_xll.WSNAME(Model!$B$20))</f>
        <v>Model!B20</v>
      </c>
      <c r="T2" t="str">
        <f ca="1">ADDRESS(ROW(Model!$B$20),COLUMN(Model!$B$20),4,,_xll.WSNAME(Model!$B$20))</f>
        <v>Model!B20</v>
      </c>
      <c r="U2" t="str">
        <f ca="1">ADDRESS(ROW(Model!$B$20),COLUMN(Model!$B$20),4,,_xll.WSNAME(Model!$B$20))</f>
        <v>Model!B20</v>
      </c>
      <c r="W2" t="str">
        <f>SimData!$R$8</f>
        <v>Profit: 1</v>
      </c>
      <c r="X2" t="s">
        <v>51</v>
      </c>
      <c r="Y2" t="str">
        <f>SimData!$S$8</f>
        <v>Profit: 2</v>
      </c>
      <c r="Z2" t="s">
        <v>51</v>
      </c>
      <c r="AA2" t="str">
        <f>SimData!$T$8</f>
        <v>Profit: 3</v>
      </c>
      <c r="AB2" t="s">
        <v>51</v>
      </c>
      <c r="AC2" t="str">
        <f>SimData!$U$8</f>
        <v>Profit: 4</v>
      </c>
      <c r="AD2" t="s">
        <v>51</v>
      </c>
    </row>
    <row r="3" spans="1:30">
      <c r="A3" t="s">
        <v>5</v>
      </c>
      <c r="B3">
        <f t="shared" ref="B3:M3" si="0">AVERAGE(B9:B508)</f>
        <v>216.83600064356725</v>
      </c>
      <c r="C3">
        <f t="shared" si="0"/>
        <v>0.75</v>
      </c>
      <c r="D3">
        <f t="shared" si="0"/>
        <v>120</v>
      </c>
      <c r="E3">
        <f t="shared" si="0"/>
        <v>201.83714683540555</v>
      </c>
      <c r="F3">
        <f t="shared" si="0"/>
        <v>0.85000000000000664</v>
      </c>
      <c r="G3">
        <f t="shared" si="0"/>
        <v>120</v>
      </c>
      <c r="H3">
        <f t="shared" si="0"/>
        <v>214.33771993132476</v>
      </c>
      <c r="I3">
        <f t="shared" si="0"/>
        <v>0.89999999999999247</v>
      </c>
      <c r="J3">
        <f t="shared" si="0"/>
        <v>100</v>
      </c>
      <c r="K3">
        <f t="shared" si="0"/>
        <v>199.33886612316277</v>
      </c>
      <c r="L3">
        <f t="shared" si="0"/>
        <v>1</v>
      </c>
      <c r="M3">
        <f t="shared" si="0"/>
        <v>100</v>
      </c>
      <c r="N3">
        <f t="shared" ref="N3:U3" si="1">AVERAGE(N9:N108)</f>
        <v>450.44509382106384</v>
      </c>
      <c r="O3">
        <f t="shared" si="1"/>
        <v>450.44509382106384</v>
      </c>
      <c r="P3">
        <f t="shared" si="1"/>
        <v>450.44509382106384</v>
      </c>
      <c r="Q3">
        <f t="shared" si="1"/>
        <v>450.44509382106384</v>
      </c>
      <c r="R3">
        <f t="shared" si="1"/>
        <v>217.97573289926538</v>
      </c>
      <c r="S3">
        <f t="shared" si="1"/>
        <v>202.97981810969216</v>
      </c>
      <c r="T3">
        <f t="shared" si="1"/>
        <v>215.48186071490562</v>
      </c>
      <c r="U3">
        <f t="shared" si="1"/>
        <v>200.48594592533252</v>
      </c>
      <c r="W3">
        <f>SMALL(SimData!$R$9:$R$108,1)</f>
        <v>31.339483906894429</v>
      </c>
      <c r="X3">
        <v>0</v>
      </c>
      <c r="Y3">
        <f>SMALL(SimData!$S$9:$S$108,1)</f>
        <v>18.932499113818565</v>
      </c>
      <c r="Z3">
        <v>0</v>
      </c>
      <c r="AA3">
        <f>SMALL(SimData!$T$9:$T$108,1)</f>
        <v>32.729006717280626</v>
      </c>
      <c r="AB3">
        <v>0</v>
      </c>
      <c r="AC3">
        <f>SMALL(SimData!$U$9:$U$108,1)</f>
        <v>20.322021924204762</v>
      </c>
      <c r="AD3">
        <v>0</v>
      </c>
    </row>
    <row r="4" spans="1:30">
      <c r="A4" t="s">
        <v>16</v>
      </c>
      <c r="B4">
        <f t="shared" ref="B4:M4" si="2">STDEV(B9:B508)</f>
        <v>86.599825329820206</v>
      </c>
      <c r="C4">
        <f t="shared" si="2"/>
        <v>0</v>
      </c>
      <c r="D4">
        <f t="shared" si="2"/>
        <v>0</v>
      </c>
      <c r="E4">
        <f t="shared" si="2"/>
        <v>85.077774018240092</v>
      </c>
      <c r="F4">
        <f t="shared" si="2"/>
        <v>6.668009494588453E-15</v>
      </c>
      <c r="G4">
        <f t="shared" si="2"/>
        <v>0</v>
      </c>
      <c r="H4">
        <f t="shared" si="2"/>
        <v>84.334223245980041</v>
      </c>
      <c r="I4">
        <f t="shared" si="2"/>
        <v>7.5570774272002465E-15</v>
      </c>
      <c r="J4">
        <f t="shared" si="2"/>
        <v>0</v>
      </c>
      <c r="K4">
        <f t="shared" si="2"/>
        <v>82.883639158619985</v>
      </c>
      <c r="L4">
        <f t="shared" si="2"/>
        <v>0</v>
      </c>
      <c r="M4">
        <f t="shared" si="2"/>
        <v>0</v>
      </c>
      <c r="N4">
        <f t="shared" ref="N4:U4" si="3">STDEV(N9:N108)</f>
        <v>102.12914570023052</v>
      </c>
      <c r="O4">
        <f t="shared" si="3"/>
        <v>102.12914570023052</v>
      </c>
      <c r="P4">
        <f t="shared" si="3"/>
        <v>102.12914570023052</v>
      </c>
      <c r="Q4">
        <f t="shared" si="3"/>
        <v>102.12914570023052</v>
      </c>
      <c r="R4">
        <f t="shared" si="3"/>
        <v>89.355234390500385</v>
      </c>
      <c r="S4">
        <f t="shared" si="3"/>
        <v>87.811488006914573</v>
      </c>
      <c r="T4">
        <f t="shared" si="3"/>
        <v>87.056023972926909</v>
      </c>
      <c r="U4">
        <f t="shared" si="3"/>
        <v>85.579362774637204</v>
      </c>
      <c r="W4">
        <f>SMALL(SimData!$R$9:$R$108,2)</f>
        <v>48.657858986575533</v>
      </c>
      <c r="X4">
        <f>1/(COUNT(SimData!$R$9:$R$108)-1)+$X$3</f>
        <v>1.0101010101010102E-2</v>
      </c>
      <c r="Y4">
        <f>SMALL(SimData!$S$9:$S$108,2)</f>
        <v>38.796836482175195</v>
      </c>
      <c r="Z4">
        <f>1/(COUNT(SimData!$S$9:$S$108)-1)+$Z$3</f>
        <v>1.0101010101010102E-2</v>
      </c>
      <c r="AA4">
        <f>SMALL(SimData!$T$9:$T$108,2)</f>
        <v>53.866325229975004</v>
      </c>
      <c r="AB4">
        <f>1/(COUNT(SimData!$T$9:$T$108)-1)+$AB$3</f>
        <v>1.0101010101010102E-2</v>
      </c>
      <c r="AC4">
        <f>SMALL(SimData!$U$9:$U$108,2)</f>
        <v>44.005302725574666</v>
      </c>
      <c r="AD4">
        <f>1/(COUNT(SimData!$U$9:$U$108)-1)+$AD$3</f>
        <v>1.0101010101010102E-2</v>
      </c>
    </row>
    <row r="5" spans="1:30">
      <c r="A5" t="s">
        <v>17</v>
      </c>
      <c r="B5">
        <f t="shared" ref="B5:U5" si="4">100*B4/B3</f>
        <v>39.937936999756836</v>
      </c>
      <c r="C5">
        <f t="shared" si="4"/>
        <v>0</v>
      </c>
      <c r="D5">
        <f t="shared" si="4"/>
        <v>0</v>
      </c>
      <c r="E5">
        <f t="shared" si="4"/>
        <v>42.151692764275666</v>
      </c>
      <c r="F5">
        <f t="shared" si="4"/>
        <v>7.8447170524569425E-13</v>
      </c>
      <c r="G5">
        <f t="shared" si="4"/>
        <v>0</v>
      </c>
      <c r="H5">
        <f t="shared" si="4"/>
        <v>39.346421746485547</v>
      </c>
      <c r="I5">
        <f t="shared" si="4"/>
        <v>8.3967526968892331E-13</v>
      </c>
      <c r="J5">
        <f t="shared" si="4"/>
        <v>0</v>
      </c>
      <c r="K5">
        <f t="shared" si="4"/>
        <v>41.579266888881477</v>
      </c>
      <c r="L5">
        <f t="shared" si="4"/>
        <v>0</v>
      </c>
      <c r="M5">
        <f t="shared" si="4"/>
        <v>0</v>
      </c>
      <c r="N5">
        <f t="shared" si="4"/>
        <v>22.672939965642211</v>
      </c>
      <c r="O5">
        <f t="shared" si="4"/>
        <v>22.672939965642211</v>
      </c>
      <c r="P5">
        <f t="shared" si="4"/>
        <v>22.672939965642211</v>
      </c>
      <c r="Q5">
        <f t="shared" si="4"/>
        <v>22.672939965642211</v>
      </c>
      <c r="R5">
        <f t="shared" si="4"/>
        <v>40.993202868043454</v>
      </c>
      <c r="S5">
        <f t="shared" si="4"/>
        <v>43.261191592683581</v>
      </c>
      <c r="T5">
        <f t="shared" si="4"/>
        <v>40.400627544286351</v>
      </c>
      <c r="U5">
        <f t="shared" si="4"/>
        <v>42.685966031010345</v>
      </c>
      <c r="W5">
        <f>SMALL(SimData!$R$9:$R$108,3)</f>
        <v>65.887058831385986</v>
      </c>
      <c r="X5">
        <f>1/(COUNT(SimData!$R$9:$R$108)-1)+$X$4</f>
        <v>2.0202020202020204E-2</v>
      </c>
      <c r="Y5">
        <f>SMALL(SimData!$S$9:$S$108,3)</f>
        <v>55.472315499145481</v>
      </c>
      <c r="Z5">
        <f>1/(COUNT(SimData!$S$9:$S$108)-1)+$Z$4</f>
        <v>2.0202020202020204E-2</v>
      </c>
      <c r="AA5">
        <f>SMALL(SimData!$T$9:$T$108,3)</f>
        <v>69.70311317841194</v>
      </c>
      <c r="AB5">
        <f>1/(COUNT(SimData!$T$9:$T$108)-1)+$AB$4</f>
        <v>2.0202020202020204E-2</v>
      </c>
      <c r="AC5">
        <f>SMALL(SimData!$U$9:$U$108,3)</f>
        <v>52.120085893807982</v>
      </c>
      <c r="AD5">
        <f>1/(COUNT(SimData!$U$9:$U$108)-1)+$AD$4</f>
        <v>2.0202020202020204E-2</v>
      </c>
    </row>
    <row r="6" spans="1:30">
      <c r="A6" t="s">
        <v>18</v>
      </c>
      <c r="B6">
        <f t="shared" ref="B6:M6" si="5">MIN(B9:B508)</f>
        <v>3.2762072955402317</v>
      </c>
      <c r="C6">
        <f t="shared" si="5"/>
        <v>0.75</v>
      </c>
      <c r="D6">
        <f t="shared" si="5"/>
        <v>120</v>
      </c>
      <c r="E6">
        <f t="shared" si="5"/>
        <v>-8.2392655858157866</v>
      </c>
      <c r="F6">
        <f t="shared" si="5"/>
        <v>0.85</v>
      </c>
      <c r="G6">
        <f t="shared" si="5"/>
        <v>120</v>
      </c>
      <c r="H6">
        <f t="shared" si="5"/>
        <v>6.0029979735061971</v>
      </c>
      <c r="I6">
        <f t="shared" si="5"/>
        <v>0.9</v>
      </c>
      <c r="J6">
        <f t="shared" si="5"/>
        <v>100</v>
      </c>
      <c r="K6">
        <f t="shared" si="5"/>
        <v>-5.5124749078498354</v>
      </c>
      <c r="L6">
        <f t="shared" si="5"/>
        <v>1</v>
      </c>
      <c r="M6">
        <f t="shared" si="5"/>
        <v>100</v>
      </c>
      <c r="N6">
        <f t="shared" ref="N6:U6" si="6">MIN(N9:N108)</f>
        <v>242.61552776957814</v>
      </c>
      <c r="O6">
        <f t="shared" si="6"/>
        <v>242.61552776957814</v>
      </c>
      <c r="P6">
        <f t="shared" si="6"/>
        <v>242.61552776957814</v>
      </c>
      <c r="Q6">
        <f t="shared" si="6"/>
        <v>242.61552776957814</v>
      </c>
      <c r="R6">
        <f t="shared" si="6"/>
        <v>31.339483906894429</v>
      </c>
      <c r="S6">
        <f t="shared" si="6"/>
        <v>18.932499113818565</v>
      </c>
      <c r="T6">
        <f t="shared" si="6"/>
        <v>32.729006717280626</v>
      </c>
      <c r="U6">
        <f t="shared" si="6"/>
        <v>20.322021924204762</v>
      </c>
      <c r="W6">
        <f>SMALL(SimData!$R$9:$R$108,4)</f>
        <v>70.227491740279163</v>
      </c>
      <c r="X6">
        <f>1/(COUNT(SimData!$R$9:$R$108)-1)+$X$5</f>
        <v>3.0303030303030304E-2</v>
      </c>
      <c r="Y6">
        <f>SMALL(SimData!$S$9:$S$108,4)</f>
        <v>58.494626820713933</v>
      </c>
      <c r="Z6">
        <f>1/(COUNT(SimData!$S$9:$S$108)-1)+$Z$5</f>
        <v>3.0303030303030304E-2</v>
      </c>
      <c r="AA6">
        <f>SMALL(SimData!$T$9:$T$108,4)</f>
        <v>70.264943833025214</v>
      </c>
      <c r="AB6">
        <f>1/(COUNT(SimData!$T$9:$T$108)-1)+$AB$5</f>
        <v>3.0303030303030304E-2</v>
      </c>
      <c r="AC6">
        <f>SMALL(SimData!$U$9:$U$108,4)</f>
        <v>59.850200500784709</v>
      </c>
      <c r="AD6">
        <f>1/(COUNT(SimData!$U$9:$U$108)-1)+$AD$5</f>
        <v>3.0303030303030304E-2</v>
      </c>
    </row>
    <row r="7" spans="1:30">
      <c r="A7" t="s">
        <v>19</v>
      </c>
      <c r="B7">
        <f t="shared" ref="B7:M7" si="7">MAX(B9:B508)</f>
        <v>491.38948259059799</v>
      </c>
      <c r="C7">
        <f t="shared" si="7"/>
        <v>0.75</v>
      </c>
      <c r="D7">
        <f t="shared" si="7"/>
        <v>120</v>
      </c>
      <c r="E7">
        <f t="shared" si="7"/>
        <v>471.8788672930138</v>
      </c>
      <c r="F7">
        <f t="shared" si="7"/>
        <v>0.85</v>
      </c>
      <c r="G7">
        <f t="shared" si="7"/>
        <v>120</v>
      </c>
      <c r="H7">
        <f t="shared" si="7"/>
        <v>482.1235596442217</v>
      </c>
      <c r="I7">
        <f t="shared" si="7"/>
        <v>0.9</v>
      </c>
      <c r="J7">
        <f t="shared" si="7"/>
        <v>100</v>
      </c>
      <c r="K7">
        <f t="shared" si="7"/>
        <v>462.61294434663751</v>
      </c>
      <c r="L7">
        <f t="shared" si="7"/>
        <v>1</v>
      </c>
      <c r="M7">
        <f t="shared" si="7"/>
        <v>100</v>
      </c>
      <c r="N7">
        <f t="shared" ref="N7:U7" si="8">MAX(N9:N108)</f>
        <v>655.31445676001476</v>
      </c>
      <c r="O7">
        <f t="shared" si="8"/>
        <v>655.31445676001476</v>
      </c>
      <c r="P7">
        <f t="shared" si="8"/>
        <v>655.31445676001476</v>
      </c>
      <c r="Q7">
        <f t="shared" si="8"/>
        <v>655.31445676001476</v>
      </c>
      <c r="R7">
        <f t="shared" si="8"/>
        <v>420.95674930359797</v>
      </c>
      <c r="S7">
        <f t="shared" si="8"/>
        <v>405.70905497607572</v>
      </c>
      <c r="T7">
        <f t="shared" si="8"/>
        <v>418.08520781231459</v>
      </c>
      <c r="U7">
        <f t="shared" si="8"/>
        <v>402.83751348479234</v>
      </c>
      <c r="W7">
        <f>SMALL(SimData!$R$9:$R$108,5)</f>
        <v>74.944778593614927</v>
      </c>
      <c r="X7">
        <f>1/(COUNT(SimData!$R$9:$R$108)-1)+$X$6</f>
        <v>4.0404040404040407E-2</v>
      </c>
      <c r="Y7">
        <f>SMALL(SimData!$S$9:$S$108,5)</f>
        <v>58.877664731559832</v>
      </c>
      <c r="Z7">
        <f>1/(COUNT(SimData!$S$9:$S$108)-1)+$Z$6</f>
        <v>4.0404040404040407E-2</v>
      </c>
      <c r="AA7">
        <f>SMALL(SimData!$T$9:$T$108,5)</f>
        <v>73.202751227200167</v>
      </c>
      <c r="AB7">
        <f>1/(COUNT(SimData!$T$9:$T$108)-1)+$AB$6</f>
        <v>4.0404040404040407E-2</v>
      </c>
      <c r="AC7">
        <f>SMALL(SimData!$U$9:$U$108,5)</f>
        <v>61.852924218480837</v>
      </c>
      <c r="AD7">
        <f>1/(COUNT(SimData!$U$9:$U$108)-1)+$AD$6</f>
        <v>4.0404040404040407E-2</v>
      </c>
    </row>
    <row r="8" spans="1:30">
      <c r="A8" t="s">
        <v>20</v>
      </c>
      <c r="B8" t="str">
        <f>Model!$J$8&amp;": "&amp;1</f>
        <v>Profit: 1</v>
      </c>
      <c r="C8" t="str">
        <f>Model!$J$9&amp;": "&amp;1</f>
        <v>VC: 1</v>
      </c>
      <c r="D8" t="str">
        <f>Model!$J$10&amp;": "&amp;1</f>
        <v>FC: 1</v>
      </c>
      <c r="E8" t="str">
        <f>Model!$J$8&amp;": "&amp;2</f>
        <v>Profit: 2</v>
      </c>
      <c r="F8" t="str">
        <f>Model!$J$9&amp;": "&amp;2</f>
        <v>VC: 2</v>
      </c>
      <c r="G8" t="str">
        <f>Model!$J$10&amp;": "&amp;2</f>
        <v>FC: 2</v>
      </c>
      <c r="H8" t="str">
        <f>Model!$J$8&amp;": "&amp;3</f>
        <v>Profit: 3</v>
      </c>
      <c r="I8" t="str">
        <f>Model!$J$9&amp;": "&amp;3</f>
        <v>VC: 3</v>
      </c>
      <c r="J8" t="str">
        <f>Model!$J$10&amp;": "&amp;3</f>
        <v>FC: 3</v>
      </c>
      <c r="K8" t="str">
        <f>Model!$J$8&amp;": "&amp;4</f>
        <v>Profit: 4</v>
      </c>
      <c r="L8" t="str">
        <f>Model!$J$9&amp;": "&amp;4</f>
        <v>VC: 4</v>
      </c>
      <c r="M8" t="str">
        <f>Model!$J$10&amp;": "&amp;4</f>
        <v>FC: 4</v>
      </c>
      <c r="N8" t="str">
        <f>Model!$A$19&amp;": "&amp;1</f>
        <v>Receipts: 1</v>
      </c>
      <c r="O8" t="str">
        <f>Model!$A$19&amp;": "&amp;2</f>
        <v>Receipts: 2</v>
      </c>
      <c r="P8" t="str">
        <f>Model!$A$19&amp;": "&amp;3</f>
        <v>Receipts: 3</v>
      </c>
      <c r="Q8" t="str">
        <f>Model!$A$19&amp;": "&amp;4</f>
        <v>Receipts: 4</v>
      </c>
      <c r="R8" t="str">
        <f>Model!$A$20&amp;": "&amp;1</f>
        <v>Profit: 1</v>
      </c>
      <c r="S8" t="str">
        <f>Model!$A$20&amp;": "&amp;2</f>
        <v>Profit: 2</v>
      </c>
      <c r="T8" t="str">
        <f>Model!$A$20&amp;": "&amp;3</f>
        <v>Profit: 3</v>
      </c>
      <c r="U8" t="str">
        <f>Model!$A$20&amp;": "&amp;4</f>
        <v>Profit: 4</v>
      </c>
      <c r="W8">
        <f>SMALL(SimData!$R$9:$R$108,6)</f>
        <v>76.07765410531789</v>
      </c>
      <c r="X8">
        <f>1/(COUNT(SimData!$R$9:$R$108)-1)+$X$7</f>
        <v>5.0505050505050511E-2</v>
      </c>
      <c r="Y8">
        <f>SMALL(SimData!$S$9:$S$108,6)</f>
        <v>63.154930112947653</v>
      </c>
      <c r="Z8">
        <f>1/(COUNT(SimData!$S$9:$S$108)-1)+$Z$7</f>
        <v>5.0505050505050511E-2</v>
      </c>
      <c r="AA8">
        <f>SMALL(SimData!$T$9:$T$108,6)</f>
        <v>77.260005872614016</v>
      </c>
      <c r="AB8">
        <f>1/(COUNT(SimData!$T$9:$T$108)-1)+$AB$7</f>
        <v>5.0505050505050511E-2</v>
      </c>
      <c r="AC8">
        <f>SMALL(SimData!$U$9:$U$108,6)</f>
        <v>65.470157391946742</v>
      </c>
      <c r="AD8">
        <f>1/(COUNT(SimData!$U$9:$U$108)-1)+$AD$7</f>
        <v>5.0505050505050511E-2</v>
      </c>
    </row>
    <row r="9" spans="1:30">
      <c r="A9">
        <v>1</v>
      </c>
      <c r="B9">
        <v>109.58736921739091</v>
      </c>
      <c r="C9">
        <v>0.75</v>
      </c>
      <c r="D9">
        <v>120</v>
      </c>
      <c r="E9">
        <v>99.448520266420388</v>
      </c>
      <c r="F9">
        <v>0.85</v>
      </c>
      <c r="G9">
        <v>120</v>
      </c>
      <c r="H9">
        <v>114.37909579093511</v>
      </c>
      <c r="I9">
        <v>0.9</v>
      </c>
      <c r="J9">
        <v>100</v>
      </c>
      <c r="K9">
        <v>104.24024683996457</v>
      </c>
      <c r="L9">
        <v>1</v>
      </c>
      <c r="M9">
        <v>100</v>
      </c>
      <c r="N9">
        <v>620.2990492028058</v>
      </c>
      <c r="O9">
        <v>620.2990492028058</v>
      </c>
      <c r="P9">
        <v>620.2990492028058</v>
      </c>
      <c r="Q9">
        <v>620.2990492028058</v>
      </c>
      <c r="R9">
        <v>345.87867487069417</v>
      </c>
      <c r="S9">
        <v>325.28929162641259</v>
      </c>
      <c r="T9">
        <v>334.99460000427183</v>
      </c>
      <c r="U9">
        <v>314.40521675999025</v>
      </c>
      <c r="W9">
        <f>SMALL(SimData!$R$9:$R$108,7)</f>
        <v>80.485128044667533</v>
      </c>
      <c r="X9">
        <f>1/(COUNT(SimData!$R$9:$R$108)-1)+$X$8</f>
        <v>6.0606060606060615E-2</v>
      </c>
      <c r="Y9">
        <f>SMALL(SimData!$S$9:$S$108,7)</f>
        <v>66.923958105939292</v>
      </c>
      <c r="Z9">
        <f>1/(COUNT(SimData!$S$9:$S$108)-1)+$Z$8</f>
        <v>6.0606060606060615E-2</v>
      </c>
      <c r="AA9">
        <f>SMALL(SimData!$T$9:$T$108,7)</f>
        <v>80.14337313657515</v>
      </c>
      <c r="AB9">
        <f>1/(COUNT(SimData!$T$9:$T$108)-1)+$AB$8</f>
        <v>6.0606060606060615E-2</v>
      </c>
      <c r="AC9">
        <f>SMALL(SimData!$U$9:$U$108,7)</f>
        <v>66.582203197846894</v>
      </c>
      <c r="AD9">
        <f>1/(COUNT(SimData!$U$9:$U$108)-1)+$AD$8</f>
        <v>6.0606060606060615E-2</v>
      </c>
    </row>
    <row r="10" spans="1:30">
      <c r="A10">
        <v>2</v>
      </c>
      <c r="B10">
        <v>128.17244867188592</v>
      </c>
      <c r="C10">
        <v>0.75</v>
      </c>
      <c r="D10">
        <v>120</v>
      </c>
      <c r="E10">
        <v>115.90755566307034</v>
      </c>
      <c r="F10">
        <v>0.85</v>
      </c>
      <c r="G10">
        <v>120</v>
      </c>
      <c r="H10">
        <v>129.77510915866253</v>
      </c>
      <c r="I10">
        <v>0.9</v>
      </c>
      <c r="J10">
        <v>100</v>
      </c>
      <c r="K10">
        <v>117.51021614984697</v>
      </c>
      <c r="L10">
        <v>1</v>
      </c>
      <c r="M10">
        <v>100</v>
      </c>
      <c r="N10">
        <v>420.09626173110843</v>
      </c>
      <c r="O10">
        <v>420.09626173110843</v>
      </c>
      <c r="P10">
        <v>420.09626173110843</v>
      </c>
      <c r="Q10">
        <v>420.09626173110843</v>
      </c>
      <c r="R10">
        <v>187.0706778404903</v>
      </c>
      <c r="S10">
        <v>172.00059998840791</v>
      </c>
      <c r="T10">
        <v>184.4655610623667</v>
      </c>
      <c r="U10">
        <v>169.39548321028428</v>
      </c>
      <c r="W10">
        <f>SMALL(SimData!$R$9:$R$108,8)</f>
        <v>85.86439780072763</v>
      </c>
      <c r="X10">
        <f>1/(COUNT(SimData!$R$9:$R$108)-1)+$X$9</f>
        <v>7.0707070707070718E-2</v>
      </c>
      <c r="Y10">
        <f>SMALL(SimData!$S$9:$S$108,8)</f>
        <v>73.05099743336902</v>
      </c>
      <c r="Z10">
        <f>1/(COUNT(SimData!$S$9:$S$108)-1)+$Z$9</f>
        <v>7.0707070707070718E-2</v>
      </c>
      <c r="AA10">
        <f>SMALL(SimData!$T$9:$T$108,8)</f>
        <v>86.644297249689714</v>
      </c>
      <c r="AB10">
        <f>1/(COUNT(SimData!$T$9:$T$108)-1)+$AB$9</f>
        <v>7.0707070707070718E-2</v>
      </c>
      <c r="AC10">
        <f>SMALL(SimData!$U$9:$U$108,8)</f>
        <v>73.830896882331103</v>
      </c>
      <c r="AD10">
        <f>1/(COUNT(SimData!$U$9:$U$108)-1)+$AD$9</f>
        <v>7.0707070707070718E-2</v>
      </c>
    </row>
    <row r="11" spans="1:30">
      <c r="A11">
        <v>3</v>
      </c>
      <c r="B11">
        <v>217.10379123987198</v>
      </c>
      <c r="C11">
        <v>0.75</v>
      </c>
      <c r="D11">
        <v>120</v>
      </c>
      <c r="E11">
        <v>202.71192832320367</v>
      </c>
      <c r="F11">
        <v>0.85</v>
      </c>
      <c r="G11">
        <v>120</v>
      </c>
      <c r="H11">
        <v>215.51599686486949</v>
      </c>
      <c r="I11">
        <v>0.9</v>
      </c>
      <c r="J11">
        <v>100</v>
      </c>
      <c r="K11">
        <v>201.12413394820115</v>
      </c>
      <c r="L11">
        <v>1</v>
      </c>
      <c r="M11">
        <v>100</v>
      </c>
      <c r="N11">
        <v>444.71098683758748</v>
      </c>
      <c r="O11">
        <v>444.71098683758748</v>
      </c>
      <c r="P11">
        <v>444.71098683758748</v>
      </c>
      <c r="Q11">
        <v>444.71098683758748</v>
      </c>
      <c r="R11">
        <v>217.04580573388847</v>
      </c>
      <c r="S11">
        <v>202.69044825339529</v>
      </c>
      <c r="T11">
        <v>215.51276951314867</v>
      </c>
      <c r="U11">
        <v>201.15741203265549</v>
      </c>
      <c r="W11">
        <f>SMALL(SimData!$R$9:$R$108,9)</f>
        <v>88.955769993073602</v>
      </c>
      <c r="X11">
        <f>1/(COUNT(SimData!$R$9:$R$108)-1)+$X$10</f>
        <v>8.0808080808080815E-2</v>
      </c>
      <c r="Y11">
        <f>SMALL(SimData!$S$9:$S$108,9)</f>
        <v>75.430329564762843</v>
      </c>
      <c r="Z11">
        <f>1/(COUNT(SimData!$S$9:$S$108)-1)+$Z$10</f>
        <v>8.0808080808080815E-2</v>
      </c>
      <c r="AA11">
        <f>SMALL(SimData!$T$9:$T$108,9)</f>
        <v>88.667609350607449</v>
      </c>
      <c r="AB11">
        <f>1/(COUNT(SimData!$T$9:$T$108)-1)+$AB$10</f>
        <v>8.0808080808080815E-2</v>
      </c>
      <c r="AC11">
        <f>SMALL(SimData!$U$9:$U$108,9)</f>
        <v>75.14216892229669</v>
      </c>
      <c r="AD11">
        <f>1/(COUNT(SimData!$U$9:$U$108)-1)+$AD$10</f>
        <v>8.0808080808080815E-2</v>
      </c>
    </row>
    <row r="12" spans="1:30">
      <c r="A12">
        <v>4</v>
      </c>
      <c r="B12">
        <v>248.40336676681014</v>
      </c>
      <c r="C12">
        <v>0.75</v>
      </c>
      <c r="D12">
        <v>120</v>
      </c>
      <c r="E12">
        <v>234.28283700090876</v>
      </c>
      <c r="F12">
        <v>0.85</v>
      </c>
      <c r="G12">
        <v>120</v>
      </c>
      <c r="H12">
        <v>247.22257211795807</v>
      </c>
      <c r="I12">
        <v>0.9</v>
      </c>
      <c r="J12">
        <v>100</v>
      </c>
      <c r="K12">
        <v>233.10204235205669</v>
      </c>
      <c r="L12">
        <v>1</v>
      </c>
      <c r="M12">
        <v>100</v>
      </c>
      <c r="N12">
        <v>470.21087753396711</v>
      </c>
      <c r="O12">
        <v>470.21087753396711</v>
      </c>
      <c r="P12">
        <v>470.21087753396711</v>
      </c>
      <c r="Q12">
        <v>470.21087753396711</v>
      </c>
      <c r="R12">
        <v>245.61598625434465</v>
      </c>
      <c r="S12">
        <v>231.67000075039499</v>
      </c>
      <c r="T12">
        <v>244.69700799842013</v>
      </c>
      <c r="U12">
        <v>230.75102249447048</v>
      </c>
      <c r="W12">
        <f>SMALL(SimData!$R$9:$R$108,10)</f>
        <v>98.702104473658963</v>
      </c>
      <c r="X12">
        <f>1/(COUNT(SimData!$R$9:$R$108)-1)+$X$11</f>
        <v>9.0909090909090912E-2</v>
      </c>
      <c r="Y12">
        <f>SMALL(SimData!$S$9:$S$108,10)</f>
        <v>85.104030994192698</v>
      </c>
      <c r="Z12">
        <f>1/(COUNT(SimData!$S$9:$S$108)-1)+$Z$11</f>
        <v>9.0909090909090912E-2</v>
      </c>
      <c r="AA12">
        <f>SMALL(SimData!$T$9:$T$108,10)</f>
        <v>98.048657651249925</v>
      </c>
      <c r="AB12">
        <f>1/(COUNT(SimData!$T$9:$T$108)-1)+$AB$11</f>
        <v>9.0909090909090912E-2</v>
      </c>
      <c r="AC12">
        <f>SMALL(SimData!$U$9:$U$108,10)</f>
        <v>83.937910965364409</v>
      </c>
      <c r="AD12">
        <f>1/(COUNT(SimData!$U$9:$U$108)-1)+$AD$11</f>
        <v>9.0909090909090912E-2</v>
      </c>
    </row>
    <row r="13" spans="1:30">
      <c r="A13">
        <v>5</v>
      </c>
      <c r="B13">
        <v>321.5702037169126</v>
      </c>
      <c r="C13">
        <v>0.75</v>
      </c>
      <c r="D13">
        <v>120</v>
      </c>
      <c r="E13">
        <v>306.6404507371596</v>
      </c>
      <c r="F13">
        <v>0.85</v>
      </c>
      <c r="G13">
        <v>120</v>
      </c>
      <c r="H13">
        <v>319.17557424728307</v>
      </c>
      <c r="I13">
        <v>0.9</v>
      </c>
      <c r="J13">
        <v>100</v>
      </c>
      <c r="K13">
        <v>304.24582126753006</v>
      </c>
      <c r="L13">
        <v>1</v>
      </c>
      <c r="M13">
        <v>100</v>
      </c>
      <c r="N13">
        <v>633.24435182234913</v>
      </c>
      <c r="O13">
        <v>633.24435182234913</v>
      </c>
      <c r="P13">
        <v>633.24435182234913</v>
      </c>
      <c r="Q13">
        <v>633.24435182234913</v>
      </c>
      <c r="R13">
        <v>384.94762043473224</v>
      </c>
      <c r="S13">
        <v>367.84138958304999</v>
      </c>
      <c r="T13">
        <v>379.28827415720889</v>
      </c>
      <c r="U13">
        <v>362.18204330552658</v>
      </c>
      <c r="W13">
        <f>SMALL(SimData!$R$9:$R$108,11)</f>
        <v>99.214777680078214</v>
      </c>
      <c r="X13">
        <f>1/(COUNT(SimData!$R$9:$R$108)-1)+$X$12</f>
        <v>0.10101010101010101</v>
      </c>
      <c r="Y13">
        <f>SMALL(SimData!$S$9:$S$108,11)</f>
        <v>86.02518135389046</v>
      </c>
      <c r="Z13">
        <f>1/(COUNT(SimData!$S$9:$S$108)-1)+$Z$12</f>
        <v>0.10101010101010101</v>
      </c>
      <c r="AA13">
        <f>SMALL(SimData!$T$9:$T$108,11)</f>
        <v>99.686719794006194</v>
      </c>
      <c r="AB13">
        <f>1/(COUNT(SimData!$T$9:$T$108)-1)+$AB$12</f>
        <v>0.10101010101010101</v>
      </c>
      <c r="AC13">
        <f>SMALL(SimData!$U$9:$U$108,11)</f>
        <v>87.009796674237677</v>
      </c>
      <c r="AD13">
        <f>1/(COUNT(SimData!$U$9:$U$108)-1)+$AD$12</f>
        <v>0.10101010101010101</v>
      </c>
    </row>
    <row r="14" spans="1:30">
      <c r="A14">
        <v>6</v>
      </c>
      <c r="B14">
        <v>172.92938481367742</v>
      </c>
      <c r="C14">
        <v>0.75</v>
      </c>
      <c r="D14">
        <v>120</v>
      </c>
      <c r="E14">
        <v>161.36914503204065</v>
      </c>
      <c r="F14">
        <v>0.85</v>
      </c>
      <c r="G14">
        <v>120</v>
      </c>
      <c r="H14">
        <v>175.58902514122224</v>
      </c>
      <c r="I14">
        <v>0.9</v>
      </c>
      <c r="J14">
        <v>100</v>
      </c>
      <c r="K14">
        <v>164.02878535958547</v>
      </c>
      <c r="L14">
        <v>1</v>
      </c>
      <c r="M14">
        <v>100</v>
      </c>
      <c r="N14">
        <v>499.30073319671266</v>
      </c>
      <c r="O14">
        <v>499.30073319671266</v>
      </c>
      <c r="P14">
        <v>499.30073319671266</v>
      </c>
      <c r="Q14">
        <v>499.30073319671266</v>
      </c>
      <c r="R14">
        <v>265.73060733389104</v>
      </c>
      <c r="S14">
        <v>250.58792388551484</v>
      </c>
      <c r="T14">
        <v>263.01658216132671</v>
      </c>
      <c r="U14">
        <v>247.87389871295051</v>
      </c>
      <c r="W14">
        <f>SMALL(SimData!$R$9:$R$108,12)</f>
        <v>105.26593572734383</v>
      </c>
      <c r="X14">
        <f>1/(COUNT(SimData!$R$9:$R$108)-1)+$X$13</f>
        <v>0.1111111111111111</v>
      </c>
      <c r="Y14">
        <f>SMALL(SimData!$S$9:$S$108,12)</f>
        <v>95.010566781075511</v>
      </c>
      <c r="Z14">
        <f>1/(COUNT(SimData!$S$9:$S$108)-1)+$Z$13</f>
        <v>0.1111111111111111</v>
      </c>
      <c r="AA14">
        <f>SMALL(SimData!$T$9:$T$108,12)</f>
        <v>109.88288230794136</v>
      </c>
      <c r="AB14">
        <f>1/(COUNT(SimData!$T$9:$T$108)-1)+$AB$13</f>
        <v>0.1111111111111111</v>
      </c>
      <c r="AC14">
        <f>SMALL(SimData!$U$9:$U$108,12)</f>
        <v>98.38248549619621</v>
      </c>
      <c r="AD14">
        <f>1/(COUNT(SimData!$U$9:$U$108)-1)+$AD$13</f>
        <v>0.1111111111111111</v>
      </c>
    </row>
    <row r="15" spans="1:30">
      <c r="A15">
        <v>7</v>
      </c>
      <c r="B15">
        <v>116.38964131112638</v>
      </c>
      <c r="C15">
        <v>0.75</v>
      </c>
      <c r="D15">
        <v>120</v>
      </c>
      <c r="E15">
        <v>100.68347200584526</v>
      </c>
      <c r="F15">
        <v>0.85</v>
      </c>
      <c r="G15">
        <v>120</v>
      </c>
      <c r="H15">
        <v>112.83038735320469</v>
      </c>
      <c r="I15">
        <v>0.9</v>
      </c>
      <c r="J15">
        <v>100</v>
      </c>
      <c r="K15">
        <v>97.124218047923563</v>
      </c>
      <c r="L15">
        <v>1</v>
      </c>
      <c r="M15">
        <v>100</v>
      </c>
      <c r="N15">
        <v>283.36864219861945</v>
      </c>
      <c r="O15">
        <v>283.36864219861945</v>
      </c>
      <c r="P15">
        <v>283.36864219861945</v>
      </c>
      <c r="Q15">
        <v>283.36864219861945</v>
      </c>
      <c r="R15">
        <v>74.944778593614927</v>
      </c>
      <c r="S15">
        <v>63.154930112947653</v>
      </c>
      <c r="T15">
        <v>77.260005872614016</v>
      </c>
      <c r="U15">
        <v>65.470157391946742</v>
      </c>
      <c r="W15">
        <f>SMALL(SimData!$R$9:$R$108,13)</f>
        <v>110.95860588992721</v>
      </c>
      <c r="X15">
        <f>1/(COUNT(SimData!$R$9:$R$108)-1)+$X$14</f>
        <v>0.1212121212121212</v>
      </c>
      <c r="Y15">
        <f>SMALL(SimData!$S$9:$S$108,13)</f>
        <v>97.928157732434826</v>
      </c>
      <c r="Z15">
        <f>1/(COUNT(SimData!$S$9:$S$108)-1)+$Z$14</f>
        <v>0.1212121212121212</v>
      </c>
      <c r="AA15">
        <f>SMALL(SimData!$T$9:$T$108,13)</f>
        <v>111.41293365368861</v>
      </c>
      <c r="AB15">
        <f>1/(COUNT(SimData!$T$9:$T$108)-1)+$AB$14</f>
        <v>0.1212121212121212</v>
      </c>
      <c r="AC15">
        <f>SMALL(SimData!$U$9:$U$108,13)</f>
        <v>99.627513361673039</v>
      </c>
      <c r="AD15">
        <f>1/(COUNT(SimData!$U$9:$U$108)-1)+$AD$14</f>
        <v>0.1212121212121212</v>
      </c>
    </row>
    <row r="16" spans="1:30">
      <c r="A16">
        <v>8</v>
      </c>
      <c r="B16">
        <v>236.02101936821984</v>
      </c>
      <c r="C16">
        <v>0.75</v>
      </c>
      <c r="D16">
        <v>120</v>
      </c>
      <c r="E16">
        <v>217.55794482911625</v>
      </c>
      <c r="F16">
        <v>0.85</v>
      </c>
      <c r="G16">
        <v>120</v>
      </c>
      <c r="H16">
        <v>228.32640755956447</v>
      </c>
      <c r="I16">
        <v>0.9</v>
      </c>
      <c r="J16">
        <v>100</v>
      </c>
      <c r="K16">
        <v>209.86333302046089</v>
      </c>
      <c r="L16">
        <v>1</v>
      </c>
      <c r="M16">
        <v>100</v>
      </c>
      <c r="N16">
        <v>459.16557311992824</v>
      </c>
      <c r="O16">
        <v>459.16557311992824</v>
      </c>
      <c r="P16">
        <v>459.16557311992824</v>
      </c>
      <c r="Q16">
        <v>459.16557311992824</v>
      </c>
      <c r="R16">
        <v>213.92282733641068</v>
      </c>
      <c r="S16">
        <v>197.223794565275</v>
      </c>
      <c r="T16">
        <v>208.87427817970718</v>
      </c>
      <c r="U16">
        <v>192.1752454085715</v>
      </c>
      <c r="W16">
        <f>SMALL(SimData!$R$9:$R$108,14)</f>
        <v>116.85866967657782</v>
      </c>
      <c r="X16">
        <f>1/(COUNT(SimData!$R$9:$R$108)-1)+$X$15</f>
        <v>0.1313131313131313</v>
      </c>
      <c r="Y16">
        <f>SMALL(SimData!$S$9:$S$108,14)</f>
        <v>107.83307315002683</v>
      </c>
      <c r="Z16">
        <f>1/(COUNT(SimData!$S$9:$S$108)-1)+$Z$15</f>
        <v>0.1313131313131313</v>
      </c>
      <c r="AA16">
        <f>SMALL(SimData!$T$9:$T$108,14)</f>
        <v>121.26498639310583</v>
      </c>
      <c r="AB16">
        <f>1/(COUNT(SimData!$T$9:$T$108)-1)+$AB$15</f>
        <v>0.1313131313131313</v>
      </c>
      <c r="AC16">
        <f>SMALL(SimData!$U$9:$U$108,14)</f>
        <v>108.12881287926385</v>
      </c>
      <c r="AD16">
        <f>1/(COUNT(SimData!$U$9:$U$108)-1)+$AD$15</f>
        <v>0.1313131313131313</v>
      </c>
    </row>
    <row r="17" spans="1:30">
      <c r="A17">
        <v>9</v>
      </c>
      <c r="B17">
        <v>345.61539009908404</v>
      </c>
      <c r="C17">
        <v>0.75</v>
      </c>
      <c r="D17">
        <v>120</v>
      </c>
      <c r="E17">
        <v>330.17535980584228</v>
      </c>
      <c r="F17">
        <v>0.85</v>
      </c>
      <c r="G17">
        <v>120</v>
      </c>
      <c r="H17">
        <v>342.4553446592214</v>
      </c>
      <c r="I17">
        <v>0.9</v>
      </c>
      <c r="J17">
        <v>100</v>
      </c>
      <c r="K17">
        <v>327.01531436597963</v>
      </c>
      <c r="L17">
        <v>1</v>
      </c>
      <c r="M17">
        <v>100</v>
      </c>
      <c r="N17">
        <v>610.76608657261045</v>
      </c>
      <c r="O17">
        <v>610.76608657261045</v>
      </c>
      <c r="P17">
        <v>610.76608657261045</v>
      </c>
      <c r="Q17">
        <v>610.76608657261045</v>
      </c>
      <c r="R17">
        <v>368.93122130767949</v>
      </c>
      <c r="S17">
        <v>352.6865726056887</v>
      </c>
      <c r="T17">
        <v>364.56424825469333</v>
      </c>
      <c r="U17">
        <v>348.31959955270247</v>
      </c>
      <c r="W17">
        <f>SMALL(SimData!$R$9:$R$108,15)</f>
        <v>120.9692466638688</v>
      </c>
      <c r="X17">
        <f>1/(COUNT(SimData!$R$9:$R$108)-1)+$X$16</f>
        <v>0.14141414141414141</v>
      </c>
      <c r="Y17">
        <f>SMALL(SimData!$S$9:$S$108,15)</f>
        <v>108.44902084028523</v>
      </c>
      <c r="Z17">
        <f>1/(COUNT(SimData!$S$9:$S$108)-1)+$Z$16</f>
        <v>0.14141414141414141</v>
      </c>
      <c r="AA17">
        <f>SMALL(SimData!$T$9:$T$108,15)</f>
        <v>124.24419642213893</v>
      </c>
      <c r="AB17">
        <f>1/(COUNT(SimData!$T$9:$T$108)-1)+$AB$16</f>
        <v>0.14141414141414141</v>
      </c>
      <c r="AC17">
        <f>SMALL(SimData!$U$9:$U$108,15)</f>
        <v>114.80696903465252</v>
      </c>
      <c r="AD17">
        <f>1/(COUNT(SimData!$U$9:$U$108)-1)+$AD$16</f>
        <v>0.14141414141414141</v>
      </c>
    </row>
    <row r="18" spans="1:30">
      <c r="A18">
        <v>10</v>
      </c>
      <c r="B18">
        <v>284.71744818170646</v>
      </c>
      <c r="C18">
        <v>0.75</v>
      </c>
      <c r="D18">
        <v>120</v>
      </c>
      <c r="E18">
        <v>267.88859311641806</v>
      </c>
      <c r="F18">
        <v>0.85</v>
      </c>
      <c r="G18">
        <v>120</v>
      </c>
      <c r="H18">
        <v>279.47416558377387</v>
      </c>
      <c r="I18">
        <v>0.9</v>
      </c>
      <c r="J18">
        <v>100</v>
      </c>
      <c r="K18">
        <v>262.64531051848547</v>
      </c>
      <c r="L18">
        <v>1</v>
      </c>
      <c r="M18">
        <v>100</v>
      </c>
      <c r="N18">
        <v>354.62440045315969</v>
      </c>
      <c r="O18">
        <v>354.62440045315969</v>
      </c>
      <c r="P18">
        <v>354.62440045315969</v>
      </c>
      <c r="Q18">
        <v>354.62440045315969</v>
      </c>
      <c r="R18">
        <v>151.1869362418372</v>
      </c>
      <c r="S18">
        <v>140.06194101366088</v>
      </c>
      <c r="T18">
        <v>154.49944339957273</v>
      </c>
      <c r="U18">
        <v>143.37444817139638</v>
      </c>
      <c r="W18">
        <f>SMALL(SimData!$R$9:$R$108,16)</f>
        <v>126.15874828512381</v>
      </c>
      <c r="X18">
        <f>1/(COUNT(SimData!$R$9:$R$108)-1)+$X$17</f>
        <v>0.15151515151515152</v>
      </c>
      <c r="Y18">
        <f>SMALL(SimData!$S$9:$S$108,16)</f>
        <v>113.88891025355856</v>
      </c>
      <c r="Z18">
        <f>1/(COUNT(SimData!$S$9:$S$108)-1)+$Z$17</f>
        <v>0.15151515151515152</v>
      </c>
      <c r="AA18">
        <f>SMALL(SimData!$T$9:$T$108,16)</f>
        <v>127.52826318058987</v>
      </c>
      <c r="AB18">
        <f>1/(COUNT(SimData!$T$9:$T$108)-1)+$AB$17</f>
        <v>0.15151515151515152</v>
      </c>
      <c r="AC18">
        <f>SMALL(SimData!$U$9:$U$108,16)</f>
        <v>115.83454758584634</v>
      </c>
      <c r="AD18">
        <f>1/(COUNT(SimData!$U$9:$U$108)-1)+$AD$17</f>
        <v>0.15151515151515152</v>
      </c>
    </row>
    <row r="19" spans="1:30">
      <c r="A19">
        <v>11</v>
      </c>
      <c r="B19">
        <v>235.39657564739736</v>
      </c>
      <c r="C19">
        <v>0.75</v>
      </c>
      <c r="D19">
        <v>120</v>
      </c>
      <c r="E19">
        <v>220.66094898771172</v>
      </c>
      <c r="F19">
        <v>0.85</v>
      </c>
      <c r="G19">
        <v>120</v>
      </c>
      <c r="H19">
        <v>233.29313565786887</v>
      </c>
      <c r="I19">
        <v>0.9</v>
      </c>
      <c r="J19">
        <v>100</v>
      </c>
      <c r="K19">
        <v>218.55750899818324</v>
      </c>
      <c r="L19">
        <v>1</v>
      </c>
      <c r="M19">
        <v>100</v>
      </c>
      <c r="N19">
        <v>481.43322737043803</v>
      </c>
      <c r="O19">
        <v>481.43322737043803</v>
      </c>
      <c r="P19">
        <v>481.43322737043803</v>
      </c>
      <c r="Q19">
        <v>481.43322737043803</v>
      </c>
      <c r="R19">
        <v>248.89705949912272</v>
      </c>
      <c r="S19">
        <v>233.89223711628068</v>
      </c>
      <c r="T19">
        <v>246.38982592485965</v>
      </c>
      <c r="U19">
        <v>231.38500354201761</v>
      </c>
      <c r="W19">
        <f>SMALL(SimData!$R$9:$R$108,17)</f>
        <v>126.61020439949591</v>
      </c>
      <c r="X19">
        <f>1/(COUNT(SimData!$R$9:$R$108)-1)+$X$18</f>
        <v>0.16161616161616163</v>
      </c>
      <c r="Y19">
        <f>SMALL(SimData!$S$9:$S$108,17)</f>
        <v>115.26407816132301</v>
      </c>
      <c r="Z19">
        <f>1/(COUNT(SimData!$S$9:$S$108)-1)+$Z$18</f>
        <v>0.16161616161616163</v>
      </c>
      <c r="AA19">
        <f>SMALL(SimData!$T$9:$T$108,17)</f>
        <v>129.81674309942261</v>
      </c>
      <c r="AB19">
        <f>1/(COUNT(SimData!$T$9:$T$108)-1)+$AB$18</f>
        <v>0.16161616161616163</v>
      </c>
      <c r="AC19">
        <f>SMALL(SimData!$U$9:$U$108,17)</f>
        <v>118.74807554073854</v>
      </c>
      <c r="AD19">
        <f>1/(COUNT(SimData!$U$9:$U$108)-1)+$AD$18</f>
        <v>0.16161616161616163</v>
      </c>
    </row>
    <row r="20" spans="1:30">
      <c r="A20">
        <v>12</v>
      </c>
      <c r="B20">
        <v>183.88189501842726</v>
      </c>
      <c r="C20">
        <v>0.75</v>
      </c>
      <c r="D20">
        <v>120</v>
      </c>
      <c r="E20">
        <v>167.16418317354587</v>
      </c>
      <c r="F20">
        <v>0.85</v>
      </c>
      <c r="G20">
        <v>120</v>
      </c>
      <c r="H20">
        <v>178.80532725110515</v>
      </c>
      <c r="I20">
        <v>0.9</v>
      </c>
      <c r="J20">
        <v>100</v>
      </c>
      <c r="K20">
        <v>162.08761540622376</v>
      </c>
      <c r="L20">
        <v>1</v>
      </c>
      <c r="M20">
        <v>100</v>
      </c>
      <c r="N20">
        <v>342.01991049402608</v>
      </c>
      <c r="O20">
        <v>342.01991049402608</v>
      </c>
      <c r="P20">
        <v>342.01991049402608</v>
      </c>
      <c r="Q20">
        <v>342.01991049402608</v>
      </c>
      <c r="R20">
        <v>126.61020439949591</v>
      </c>
      <c r="S20">
        <v>113.88891025355856</v>
      </c>
      <c r="T20">
        <v>127.52826318058987</v>
      </c>
      <c r="U20">
        <v>114.80696903465252</v>
      </c>
      <c r="W20">
        <f>SMALL(SimData!$R$9:$R$108,18)</f>
        <v>131.36665693311818</v>
      </c>
      <c r="X20">
        <f>1/(COUNT(SimData!$R$9:$R$108)-1)+$X$19</f>
        <v>0.17171717171717174</v>
      </c>
      <c r="Y20">
        <f>SMALL(SimData!$S$9:$S$108,18)</f>
        <v>119.54709007601537</v>
      </c>
      <c r="Z20">
        <f>1/(COUNT(SimData!$S$9:$S$108)-1)+$Z$19</f>
        <v>0.17171717171717174</v>
      </c>
      <c r="AA20">
        <f>SMALL(SimData!$T$9:$T$108,18)</f>
        <v>133.32370747395896</v>
      </c>
      <c r="AB20">
        <f>1/(COUNT(SimData!$T$9:$T$108)-1)+$AB$19</f>
        <v>0.17171717171717174</v>
      </c>
      <c r="AC20">
        <f>SMALL(SimData!$U$9:$U$108,18)</f>
        <v>118.92207297562183</v>
      </c>
      <c r="AD20">
        <f>1/(COUNT(SimData!$U$9:$U$108)-1)+$AD$19</f>
        <v>0.17171717171717174</v>
      </c>
    </row>
    <row r="21" spans="1:30">
      <c r="A21">
        <v>13</v>
      </c>
      <c r="B21">
        <v>377.90734850268444</v>
      </c>
      <c r="C21">
        <v>0.75</v>
      </c>
      <c r="D21">
        <v>120</v>
      </c>
      <c r="E21">
        <v>360.54845903397438</v>
      </c>
      <c r="F21">
        <v>0.85</v>
      </c>
      <c r="G21">
        <v>120</v>
      </c>
      <c r="H21">
        <v>371.86901429961938</v>
      </c>
      <c r="I21">
        <v>0.9</v>
      </c>
      <c r="J21">
        <v>100</v>
      </c>
      <c r="K21">
        <v>354.51012483090938</v>
      </c>
      <c r="L21">
        <v>1</v>
      </c>
      <c r="M21">
        <v>100</v>
      </c>
      <c r="N21">
        <v>579.42877860751173</v>
      </c>
      <c r="O21">
        <v>579.42877860751173</v>
      </c>
      <c r="P21">
        <v>579.42877860751173</v>
      </c>
      <c r="Q21">
        <v>579.42877860751173</v>
      </c>
      <c r="R21">
        <v>340.58449809926753</v>
      </c>
      <c r="S21">
        <v>324.73859403150163</v>
      </c>
      <c r="T21">
        <v>336.81564199761863</v>
      </c>
      <c r="U21">
        <v>320.96973792985273</v>
      </c>
      <c r="W21">
        <f>SMALL(SimData!$R$9:$R$108,19)</f>
        <v>135.18715537378961</v>
      </c>
      <c r="X21">
        <f>1/(COUNT(SimData!$R$9:$R$108)-1)+$X$20</f>
        <v>0.18181818181818185</v>
      </c>
      <c r="Y21">
        <f>SMALL(SimData!$S$9:$S$108,19)</f>
        <v>120.61152344056919</v>
      </c>
      <c r="Z21">
        <f>1/(COUNT(SimData!$S$9:$S$108)-1)+$Z$20</f>
        <v>0.18181818181818185</v>
      </c>
      <c r="AA21">
        <f>SMALL(SimData!$T$9:$T$108,19)</f>
        <v>133.63730664746396</v>
      </c>
      <c r="AB21">
        <f>1/(COUNT(SimData!$T$9:$T$108)-1)+$AB$20</f>
        <v>0.18181818181818185</v>
      </c>
      <c r="AC21">
        <f>SMALL(SimData!$U$9:$U$108,19)</f>
        <v>121.81773979036113</v>
      </c>
      <c r="AD21">
        <f>1/(COUNT(SimData!$U$9:$U$108)-1)+$AD$20</f>
        <v>0.18181818181818185</v>
      </c>
    </row>
    <row r="22" spans="1:30">
      <c r="A22">
        <v>14</v>
      </c>
      <c r="B22">
        <v>90.098913013437965</v>
      </c>
      <c r="C22">
        <v>0.75</v>
      </c>
      <c r="D22">
        <v>120</v>
      </c>
      <c r="E22">
        <v>75.843834614601334</v>
      </c>
      <c r="F22">
        <v>0.85</v>
      </c>
      <c r="G22">
        <v>120</v>
      </c>
      <c r="H22">
        <v>88.716295415182998</v>
      </c>
      <c r="I22">
        <v>0.9</v>
      </c>
      <c r="J22">
        <v>100</v>
      </c>
      <c r="K22">
        <v>74.461217016346382</v>
      </c>
      <c r="L22">
        <v>1</v>
      </c>
      <c r="M22">
        <v>100</v>
      </c>
      <c r="N22">
        <v>328.68696707112025</v>
      </c>
      <c r="O22">
        <v>328.68696707112025</v>
      </c>
      <c r="P22">
        <v>328.68696707112025</v>
      </c>
      <c r="Q22">
        <v>328.68696707112025</v>
      </c>
      <c r="R22">
        <v>110.95860588992721</v>
      </c>
      <c r="S22">
        <v>97.928157732434826</v>
      </c>
      <c r="T22">
        <v>111.41293365368861</v>
      </c>
      <c r="U22">
        <v>98.38248549619621</v>
      </c>
      <c r="W22">
        <f>SMALL(SimData!$R$9:$R$108,20)</f>
        <v>135.40636934928327</v>
      </c>
      <c r="X22">
        <f>1/(COUNT(SimData!$R$9:$R$108)-1)+$X$21</f>
        <v>0.19191919191919196</v>
      </c>
      <c r="Y22">
        <f>SMALL(SimData!$S$9:$S$108,20)</f>
        <v>122.1029849615051</v>
      </c>
      <c r="Z22">
        <f>1/(COUNT(SimData!$S$9:$S$108)-1)+$Z$21</f>
        <v>0.19191919191919196</v>
      </c>
      <c r="AA22">
        <f>SMALL(SimData!$T$9:$T$108,20)</f>
        <v>135.451292767616</v>
      </c>
      <c r="AB22">
        <f>1/(COUNT(SimData!$T$9:$T$108)-1)+$AB$21</f>
        <v>0.19191919191919196</v>
      </c>
      <c r="AC22">
        <f>SMALL(SimData!$U$9:$U$108,20)</f>
        <v>122.14790837983784</v>
      </c>
      <c r="AD22">
        <f>1/(COUNT(SimData!$U$9:$U$108)-1)+$AD$21</f>
        <v>0.19191919191919196</v>
      </c>
    </row>
    <row r="23" spans="1:30">
      <c r="A23">
        <v>15</v>
      </c>
      <c r="B23">
        <v>180.41534457179722</v>
      </c>
      <c r="C23">
        <v>0.75</v>
      </c>
      <c r="D23">
        <v>120</v>
      </c>
      <c r="E23">
        <v>164.42817470115273</v>
      </c>
      <c r="F23">
        <v>0.85</v>
      </c>
      <c r="G23">
        <v>120</v>
      </c>
      <c r="H23">
        <v>176.43458976583048</v>
      </c>
      <c r="I23">
        <v>0.9</v>
      </c>
      <c r="J23">
        <v>100</v>
      </c>
      <c r="K23">
        <v>160.44741989518599</v>
      </c>
      <c r="L23">
        <v>1</v>
      </c>
      <c r="M23">
        <v>100</v>
      </c>
      <c r="N23">
        <v>448.10781160429718</v>
      </c>
      <c r="O23">
        <v>448.10781160429718</v>
      </c>
      <c r="P23">
        <v>448.10781160429718</v>
      </c>
      <c r="Q23">
        <v>448.10781160429718</v>
      </c>
      <c r="R23">
        <v>206.47008152622703</v>
      </c>
      <c r="S23">
        <v>190.25171751581769</v>
      </c>
      <c r="T23">
        <v>202.14253551061302</v>
      </c>
      <c r="U23">
        <v>185.92417150020367</v>
      </c>
      <c r="W23">
        <f>SMALL(SimData!$R$9:$R$108,21)</f>
        <v>145.47570854495396</v>
      </c>
      <c r="X23">
        <f>1/(COUNT(SimData!$R$9:$R$108)-1)+$X$22</f>
        <v>0.20202020202020207</v>
      </c>
      <c r="Y23">
        <f>SMALL(SimData!$S$9:$S$108,21)</f>
        <v>131.74634264501344</v>
      </c>
      <c r="Z23">
        <f>1/(COUNT(SimData!$S$9:$S$108)-1)+$Z$22</f>
        <v>0.20202020202020207</v>
      </c>
      <c r="AA23">
        <f>SMALL(SimData!$T$9:$T$108,21)</f>
        <v>144.35726486110593</v>
      </c>
      <c r="AB23">
        <f>1/(COUNT(SimData!$T$9:$T$108)-1)+$AB$22</f>
        <v>0.20202020202020207</v>
      </c>
      <c r="AC23">
        <f>SMALL(SimData!$U$9:$U$108,21)</f>
        <v>129.57910929329091</v>
      </c>
      <c r="AD23">
        <f>1/(COUNT(SimData!$U$9:$U$108)-1)+$AD$22</f>
        <v>0.20202020202020207</v>
      </c>
    </row>
    <row r="24" spans="1:30">
      <c r="A24">
        <v>16</v>
      </c>
      <c r="B24">
        <v>178.12108343253672</v>
      </c>
      <c r="C24">
        <v>0.75</v>
      </c>
      <c r="D24">
        <v>120</v>
      </c>
      <c r="E24">
        <v>164.16049693784117</v>
      </c>
      <c r="F24">
        <v>0.85</v>
      </c>
      <c r="G24">
        <v>120</v>
      </c>
      <c r="H24">
        <v>177.18020369049341</v>
      </c>
      <c r="I24">
        <v>0.9</v>
      </c>
      <c r="J24">
        <v>100</v>
      </c>
      <c r="K24">
        <v>163.21961719579789</v>
      </c>
      <c r="L24">
        <v>1</v>
      </c>
      <c r="M24">
        <v>100</v>
      </c>
      <c r="N24">
        <v>523.37505721137131</v>
      </c>
      <c r="O24">
        <v>523.37505721137131</v>
      </c>
      <c r="P24">
        <v>523.37505721137131</v>
      </c>
      <c r="Q24">
        <v>523.37505721137131</v>
      </c>
      <c r="R24">
        <v>271.24142308084663</v>
      </c>
      <c r="S24">
        <v>253.62360519677668</v>
      </c>
      <c r="T24">
        <v>264.8146962547417</v>
      </c>
      <c r="U24">
        <v>247.19687837067175</v>
      </c>
      <c r="W24">
        <f>SMALL(SimData!$R$9:$R$108,22)</f>
        <v>146.52449821282849</v>
      </c>
      <c r="X24">
        <f>1/(COUNT(SimData!$R$9:$R$108)-1)+$X$23</f>
        <v>0.21212121212121218</v>
      </c>
      <c r="Y24">
        <f>SMALL(SimData!$S$9:$S$108,22)</f>
        <v>133.26282082739269</v>
      </c>
      <c r="Z24">
        <f>1/(COUNT(SimData!$S$9:$S$108)-1)+$Z$23</f>
        <v>0.21212121212121218</v>
      </c>
      <c r="AA24">
        <f>SMALL(SimData!$T$9:$T$108,22)</f>
        <v>147.15637696861205</v>
      </c>
      <c r="AB24">
        <f>1/(COUNT(SimData!$T$9:$T$108)-1)+$AB$23</f>
        <v>0.21212121212121218</v>
      </c>
      <c r="AC24">
        <f>SMALL(SimData!$U$9:$U$108,22)</f>
        <v>133.1756361241882</v>
      </c>
      <c r="AD24">
        <f>1/(COUNT(SimData!$U$9:$U$108)-1)+$AD$23</f>
        <v>0.21212121212121218</v>
      </c>
    </row>
    <row r="25" spans="1:30">
      <c r="A25">
        <v>17</v>
      </c>
      <c r="B25">
        <v>58.419793178573912</v>
      </c>
      <c r="C25">
        <v>0.75</v>
      </c>
      <c r="D25">
        <v>120</v>
      </c>
      <c r="E25">
        <v>43.031326877110899</v>
      </c>
      <c r="F25">
        <v>0.85</v>
      </c>
      <c r="G25">
        <v>120</v>
      </c>
      <c r="H25">
        <v>55.337093726379379</v>
      </c>
      <c r="I25">
        <v>0.9</v>
      </c>
      <c r="J25">
        <v>100</v>
      </c>
      <c r="K25">
        <v>39.948627424916339</v>
      </c>
      <c r="L25">
        <v>1</v>
      </c>
      <c r="M25">
        <v>100</v>
      </c>
      <c r="N25">
        <v>451.13667071602202</v>
      </c>
      <c r="O25">
        <v>451.13667071602202</v>
      </c>
      <c r="P25">
        <v>451.13667071602202</v>
      </c>
      <c r="Q25">
        <v>451.13667071602202</v>
      </c>
      <c r="R25">
        <v>231.90128155534563</v>
      </c>
      <c r="S25">
        <v>218.66989633392214</v>
      </c>
      <c r="T25">
        <v>232.05420372321038</v>
      </c>
      <c r="U25">
        <v>218.82281850178686</v>
      </c>
      <c r="W25">
        <f>SMALL(SimData!$R$9:$R$108,23)</f>
        <v>150.33952414328934</v>
      </c>
      <c r="X25">
        <f>1/(COUNT(SimData!$R$9:$R$108)-1)+$X$24</f>
        <v>0.22222222222222229</v>
      </c>
      <c r="Y25">
        <f>SMALL(SimData!$S$9:$S$108,23)</f>
        <v>137.82419944747733</v>
      </c>
      <c r="Z25">
        <f>1/(COUNT(SimData!$S$9:$S$108)-1)+$Z$24</f>
        <v>0.22222222222222229</v>
      </c>
      <c r="AA25">
        <f>SMALL(SimData!$T$9:$T$108,23)</f>
        <v>150.41522767995511</v>
      </c>
      <c r="AB25">
        <f>1/(COUNT(SimData!$T$9:$T$108)-1)+$AB$24</f>
        <v>0.22222222222222229</v>
      </c>
      <c r="AC25">
        <f>SMALL(SimData!$U$9:$U$108,23)</f>
        <v>134.94348925105078</v>
      </c>
      <c r="AD25">
        <f>1/(COUNT(SimData!$U$9:$U$108)-1)+$AD$24</f>
        <v>0.22222222222222229</v>
      </c>
    </row>
    <row r="26" spans="1:30">
      <c r="A26">
        <v>18</v>
      </c>
      <c r="B26">
        <v>250.8383802120558</v>
      </c>
      <c r="C26">
        <v>0.75</v>
      </c>
      <c r="D26">
        <v>120</v>
      </c>
      <c r="E26">
        <v>234.17792210885909</v>
      </c>
      <c r="F26">
        <v>0.85</v>
      </c>
      <c r="G26">
        <v>120</v>
      </c>
      <c r="H26">
        <v>245.84769305726073</v>
      </c>
      <c r="I26">
        <v>0.9</v>
      </c>
      <c r="J26">
        <v>100</v>
      </c>
      <c r="K26">
        <v>229.18723495406402</v>
      </c>
      <c r="L26">
        <v>1</v>
      </c>
      <c r="M26">
        <v>100</v>
      </c>
      <c r="N26">
        <v>417.64057111820119</v>
      </c>
      <c r="O26">
        <v>417.64057111820119</v>
      </c>
      <c r="P26">
        <v>417.64057111820119</v>
      </c>
      <c r="Q26">
        <v>417.64057111820119</v>
      </c>
      <c r="R26">
        <v>195.42975692102959</v>
      </c>
      <c r="S26">
        <v>181.80164836140671</v>
      </c>
      <c r="T26">
        <v>194.98759408159526</v>
      </c>
      <c r="U26">
        <v>181.35948552197237</v>
      </c>
      <c r="W26">
        <f>SMALL(SimData!$R$9:$R$108,24)</f>
        <v>151.1869362418372</v>
      </c>
      <c r="X26">
        <f>1/(COUNT(SimData!$R$9:$R$108)-1)+$X$25</f>
        <v>0.2323232323232324</v>
      </c>
      <c r="Y26">
        <f>SMALL(SimData!$S$9:$S$108,24)</f>
        <v>138.27237085914334</v>
      </c>
      <c r="Z26">
        <f>1/(COUNT(SimData!$S$9:$S$108)-1)+$Z$25</f>
        <v>0.2323232323232324</v>
      </c>
      <c r="AA26">
        <f>SMALL(SimData!$T$9:$T$108,24)</f>
        <v>151.84075205028711</v>
      </c>
      <c r="AB26">
        <f>1/(COUNT(SimData!$T$9:$T$108)-1)+$AB$25</f>
        <v>0.2323232323232324</v>
      </c>
      <c r="AC26">
        <f>SMALL(SimData!$U$9:$U$108,24)</f>
        <v>135.5972841449107</v>
      </c>
      <c r="AD26">
        <f>1/(COUNT(SimData!$U$9:$U$108)-1)+$AD$25</f>
        <v>0.2323232323232324</v>
      </c>
    </row>
    <row r="27" spans="1:30">
      <c r="A27">
        <v>19</v>
      </c>
      <c r="B27">
        <v>234.94051493071186</v>
      </c>
      <c r="C27">
        <v>0.75</v>
      </c>
      <c r="D27">
        <v>120</v>
      </c>
      <c r="E27">
        <v>220.89091084404956</v>
      </c>
      <c r="F27">
        <v>0.85</v>
      </c>
      <c r="G27">
        <v>120</v>
      </c>
      <c r="H27">
        <v>233.86610880071839</v>
      </c>
      <c r="I27">
        <v>0.9</v>
      </c>
      <c r="J27">
        <v>100</v>
      </c>
      <c r="K27">
        <v>219.81650471405607</v>
      </c>
      <c r="L27">
        <v>1</v>
      </c>
      <c r="M27">
        <v>100</v>
      </c>
      <c r="N27">
        <v>399.11002896170453</v>
      </c>
      <c r="O27">
        <v>399.11002896170453</v>
      </c>
      <c r="P27">
        <v>399.11002896170453</v>
      </c>
      <c r="Q27">
        <v>399.11002896170453</v>
      </c>
      <c r="R27">
        <v>189.53878335347954</v>
      </c>
      <c r="S27">
        <v>177.59595060571621</v>
      </c>
      <c r="T27">
        <v>191.62453423183456</v>
      </c>
      <c r="U27">
        <v>179.68170148407123</v>
      </c>
      <c r="W27">
        <f>SMALL(SimData!$R$9:$R$108,25)</f>
        <v>152.49701247460303</v>
      </c>
      <c r="X27">
        <f>1/(COUNT(SimData!$R$9:$R$108)-1)+$X$26</f>
        <v>0.24242424242424251</v>
      </c>
      <c r="Y27">
        <f>SMALL(SimData!$S$9:$S$108,25)</f>
        <v>138.72617219172577</v>
      </c>
      <c r="Z27">
        <f>1/(COUNT(SimData!$S$9:$S$108)-1)+$Z$26</f>
        <v>0.24242424242424251</v>
      </c>
      <c r="AA27">
        <f>SMALL(SimData!$T$9:$T$108,25)</f>
        <v>152.23879421707031</v>
      </c>
      <c r="AB27">
        <f>1/(COUNT(SimData!$T$9:$T$108)-1)+$AB$26</f>
        <v>0.24242424242424251</v>
      </c>
      <c r="AC27">
        <f>SMALL(SimData!$U$9:$U$108,25)</f>
        <v>137.80308665173794</v>
      </c>
      <c r="AD27">
        <f>1/(COUNT(SimData!$U$9:$U$108)-1)+$AD$26</f>
        <v>0.24242424242424251</v>
      </c>
    </row>
    <row r="28" spans="1:30">
      <c r="A28">
        <v>20</v>
      </c>
      <c r="B28">
        <v>243.69022490666467</v>
      </c>
      <c r="C28">
        <v>0.75</v>
      </c>
      <c r="D28">
        <v>120</v>
      </c>
      <c r="E28">
        <v>227.94264316394919</v>
      </c>
      <c r="F28">
        <v>0.85</v>
      </c>
      <c r="G28">
        <v>120</v>
      </c>
      <c r="H28">
        <v>240.06885229259146</v>
      </c>
      <c r="I28">
        <v>0.9</v>
      </c>
      <c r="J28">
        <v>100</v>
      </c>
      <c r="K28">
        <v>224.32127054987598</v>
      </c>
      <c r="L28">
        <v>1</v>
      </c>
      <c r="M28">
        <v>100</v>
      </c>
      <c r="N28">
        <v>516.01640158854002</v>
      </c>
      <c r="O28">
        <v>516.01640158854002</v>
      </c>
      <c r="P28">
        <v>516.01640158854002</v>
      </c>
      <c r="Q28">
        <v>516.01640158854002</v>
      </c>
      <c r="R28">
        <v>272.75210012403397</v>
      </c>
      <c r="S28">
        <v>256.31685992876646</v>
      </c>
      <c r="T28">
        <v>268.09923983113276</v>
      </c>
      <c r="U28">
        <v>251.66399963586525</v>
      </c>
      <c r="W28">
        <f>SMALL(SimData!$R$9:$R$108,26)</f>
        <v>152.6421429825217</v>
      </c>
      <c r="X28">
        <f>1/(COUNT(SimData!$R$9:$R$108)-1)+$X$27</f>
        <v>0.2525252525252526</v>
      </c>
      <c r="Y28">
        <f>SMALL(SimData!$S$9:$S$108,26)</f>
        <v>140.06194101366088</v>
      </c>
      <c r="Z28">
        <f>1/(COUNT(SimData!$S$9:$S$108)-1)+$Z$27</f>
        <v>0.2525252525252526</v>
      </c>
      <c r="AA28">
        <f>SMALL(SimData!$T$9:$T$108,26)</f>
        <v>152.68283533575979</v>
      </c>
      <c r="AB28">
        <f>1/(COUNT(SimData!$T$9:$T$108)-1)+$AB$27</f>
        <v>0.2525252525252526</v>
      </c>
      <c r="AC28">
        <f>SMALL(SimData!$U$9:$U$108,26)</f>
        <v>138.06991176740982</v>
      </c>
      <c r="AD28">
        <f>1/(COUNT(SimData!$U$9:$U$108)-1)+$AD$27</f>
        <v>0.2525252525252526</v>
      </c>
    </row>
    <row r="29" spans="1:30">
      <c r="A29">
        <v>21</v>
      </c>
      <c r="B29">
        <v>153.29517126098324</v>
      </c>
      <c r="C29">
        <v>0.75</v>
      </c>
      <c r="D29">
        <v>120</v>
      </c>
      <c r="E29">
        <v>138.43164566120487</v>
      </c>
      <c r="F29">
        <v>0.85</v>
      </c>
      <c r="G29">
        <v>120</v>
      </c>
      <c r="H29">
        <v>150.99988286131568</v>
      </c>
      <c r="I29">
        <v>0.9</v>
      </c>
      <c r="J29">
        <v>100</v>
      </c>
      <c r="K29">
        <v>136.13635726153731</v>
      </c>
      <c r="L29">
        <v>1</v>
      </c>
      <c r="M29">
        <v>100</v>
      </c>
      <c r="N29">
        <v>244.39186985496343</v>
      </c>
      <c r="O29">
        <v>244.39186985496343</v>
      </c>
      <c r="P29">
        <v>244.39186985496343</v>
      </c>
      <c r="Q29">
        <v>244.39186985496343</v>
      </c>
      <c r="R29">
        <v>31.339483906894429</v>
      </c>
      <c r="S29">
        <v>18.932499113818565</v>
      </c>
      <c r="T29">
        <v>32.729006717280626</v>
      </c>
      <c r="U29">
        <v>20.322021924204762</v>
      </c>
      <c r="W29">
        <f>SMALL(SimData!$R$9:$R$108,27)</f>
        <v>153.53058805457192</v>
      </c>
      <c r="X29">
        <f>1/(COUNT(SimData!$R$9:$R$108)-1)+$X$28</f>
        <v>0.26262626262626271</v>
      </c>
      <c r="Y29">
        <f>SMALL(SimData!$S$9:$S$108,27)</f>
        <v>140.58424942226054</v>
      </c>
      <c r="Z29">
        <f>1/(COUNT(SimData!$S$9:$S$108)-1)+$Z$28</f>
        <v>0.26262626262626271</v>
      </c>
      <c r="AA29">
        <f>SMALL(SimData!$T$9:$T$108,27)</f>
        <v>154.11108010610479</v>
      </c>
      <c r="AB29">
        <f>1/(COUNT(SimData!$T$9:$T$108)-1)+$AB$28</f>
        <v>0.26262626262626271</v>
      </c>
      <c r="AC29">
        <f>SMALL(SimData!$U$9:$U$108,27)</f>
        <v>140.1716409329243</v>
      </c>
      <c r="AD29">
        <f>1/(COUNT(SimData!$U$9:$U$108)-1)+$AD$28</f>
        <v>0.26262626262626271</v>
      </c>
    </row>
    <row r="30" spans="1:30">
      <c r="A30">
        <v>22</v>
      </c>
      <c r="B30">
        <v>262.3359084423688</v>
      </c>
      <c r="C30">
        <v>0.75</v>
      </c>
      <c r="D30">
        <v>120</v>
      </c>
      <c r="E30">
        <v>247.17780489464963</v>
      </c>
      <c r="F30">
        <v>0.85</v>
      </c>
      <c r="G30">
        <v>120</v>
      </c>
      <c r="H30">
        <v>259.59875312079004</v>
      </c>
      <c r="I30">
        <v>0.9</v>
      </c>
      <c r="J30">
        <v>100</v>
      </c>
      <c r="K30">
        <v>244.44064957307083</v>
      </c>
      <c r="L30">
        <v>1</v>
      </c>
      <c r="M30">
        <v>100</v>
      </c>
      <c r="N30">
        <v>383.77671949535477</v>
      </c>
      <c r="O30">
        <v>383.77671949535477</v>
      </c>
      <c r="P30">
        <v>383.77671949535477</v>
      </c>
      <c r="Q30">
        <v>383.77671949535477</v>
      </c>
      <c r="R30">
        <v>152.6421429825217</v>
      </c>
      <c r="S30">
        <v>137.82419944747733</v>
      </c>
      <c r="T30">
        <v>150.41522767995511</v>
      </c>
      <c r="U30">
        <v>135.5972841449107</v>
      </c>
      <c r="W30">
        <f>SMALL(SimData!$R$9:$R$108,28)</f>
        <v>156.48085069920216</v>
      </c>
      <c r="X30">
        <f>1/(COUNT(SimData!$R$9:$R$108)-1)+$X$29</f>
        <v>0.27272727272727282</v>
      </c>
      <c r="Y30">
        <f>SMALL(SimData!$S$9:$S$108,28)</f>
        <v>142.43643494154563</v>
      </c>
      <c r="Z30">
        <f>1/(COUNT(SimData!$S$9:$S$108)-1)+$Z$29</f>
        <v>0.27272727272727282</v>
      </c>
      <c r="AA30">
        <f>SMALL(SimData!$T$9:$T$108,28)</f>
        <v>154.49944339957273</v>
      </c>
      <c r="AB30">
        <f>1/(COUNT(SimData!$T$9:$T$108)-1)+$AB$29</f>
        <v>0.27272727272727282</v>
      </c>
      <c r="AC30">
        <f>SMALL(SimData!$U$9:$U$108,28)</f>
        <v>141.16474147379341</v>
      </c>
      <c r="AD30">
        <f>1/(COUNT(SimData!$U$9:$U$108)-1)+$AD$29</f>
        <v>0.27272727272727282</v>
      </c>
    </row>
    <row r="31" spans="1:30">
      <c r="A31">
        <v>23</v>
      </c>
      <c r="B31">
        <v>142.50127344357213</v>
      </c>
      <c r="C31">
        <v>0.75</v>
      </c>
      <c r="D31">
        <v>120</v>
      </c>
      <c r="E31">
        <v>124.47704452812809</v>
      </c>
      <c r="F31">
        <v>0.85</v>
      </c>
      <c r="G31">
        <v>120</v>
      </c>
      <c r="H31">
        <v>135.46493007040607</v>
      </c>
      <c r="I31">
        <v>0.9</v>
      </c>
      <c r="J31">
        <v>100</v>
      </c>
      <c r="K31">
        <v>117.44070115496203</v>
      </c>
      <c r="L31">
        <v>1</v>
      </c>
      <c r="M31">
        <v>100</v>
      </c>
      <c r="N31">
        <v>442.70962269326787</v>
      </c>
      <c r="O31">
        <v>442.70962269326787</v>
      </c>
      <c r="P31">
        <v>442.70962269326787</v>
      </c>
      <c r="Q31">
        <v>442.70962269326787</v>
      </c>
      <c r="R31">
        <v>217.57832364462578</v>
      </c>
      <c r="S31">
        <v>203.56081710480686</v>
      </c>
      <c r="T31">
        <v>216.55206383489735</v>
      </c>
      <c r="U31">
        <v>202.53455729507843</v>
      </c>
      <c r="W31">
        <f>SMALL(SimData!$R$9:$R$108,29)</f>
        <v>156.51676687394604</v>
      </c>
      <c r="X31">
        <f>1/(COUNT(SimData!$R$9:$R$108)-1)+$X$30</f>
        <v>0.28282828282828293</v>
      </c>
      <c r="Y31">
        <f>SMALL(SimData!$S$9:$S$108,29)</f>
        <v>142.46871617655245</v>
      </c>
      <c r="Z31">
        <f>1/(COUNT(SimData!$S$9:$S$108)-1)+$Z$30</f>
        <v>0.28282828282828293</v>
      </c>
      <c r="AA31">
        <f>SMALL(SimData!$T$9:$T$108,29)</f>
        <v>155.4446908278556</v>
      </c>
      <c r="AB31">
        <f>1/(COUNT(SimData!$T$9:$T$108)-1)+$AB$30</f>
        <v>0.28282828282828293</v>
      </c>
      <c r="AC31">
        <f>SMALL(SimData!$U$9:$U$108,29)</f>
        <v>141.396640130462</v>
      </c>
      <c r="AD31">
        <f>1/(COUNT(SimData!$U$9:$U$108)-1)+$AD$30</f>
        <v>0.28282828282828293</v>
      </c>
    </row>
    <row r="32" spans="1:30">
      <c r="A32">
        <v>24</v>
      </c>
      <c r="B32">
        <v>47.645828131323498</v>
      </c>
      <c r="C32">
        <v>0.75</v>
      </c>
      <c r="D32">
        <v>120</v>
      </c>
      <c r="E32">
        <v>37.996440360839259</v>
      </c>
      <c r="F32">
        <v>0.85</v>
      </c>
      <c r="G32">
        <v>120</v>
      </c>
      <c r="H32">
        <v>53.171746475597118</v>
      </c>
      <c r="I32">
        <v>0.9</v>
      </c>
      <c r="J32">
        <v>100</v>
      </c>
      <c r="K32">
        <v>43.522358705112879</v>
      </c>
      <c r="L32">
        <v>1</v>
      </c>
      <c r="M32">
        <v>100</v>
      </c>
      <c r="N32">
        <v>364.50439487294278</v>
      </c>
      <c r="O32">
        <v>364.50439487294278</v>
      </c>
      <c r="P32">
        <v>364.50439487294278</v>
      </c>
      <c r="Q32">
        <v>364.50439487294278</v>
      </c>
      <c r="R32">
        <v>135.18715537378961</v>
      </c>
      <c r="S32">
        <v>120.61152344056919</v>
      </c>
      <c r="T32">
        <v>133.32370747395896</v>
      </c>
      <c r="U32">
        <v>118.74807554073854</v>
      </c>
      <c r="W32">
        <f>SMALL(SimData!$R$9:$R$108,30)</f>
        <v>158.18985065273728</v>
      </c>
      <c r="X32">
        <f>1/(COUNT(SimData!$R$9:$R$108)-1)+$X$31</f>
        <v>0.29292929292929304</v>
      </c>
      <c r="Y32">
        <f>SMALL(SimData!$S$9:$S$108,30)</f>
        <v>145.60514896239096</v>
      </c>
      <c r="Z32">
        <f>1/(COUNT(SimData!$S$9:$S$108)-1)+$Z$31</f>
        <v>0.29292929292929304</v>
      </c>
      <c r="AA32">
        <f>SMALL(SimData!$T$9:$T$108,30)</f>
        <v>158.76515525812457</v>
      </c>
      <c r="AB32">
        <f>1/(COUNT(SimData!$T$9:$T$108)-1)+$AB$31</f>
        <v>0.29292929292929304</v>
      </c>
      <c r="AC32">
        <f>SMALL(SimData!$U$9:$U$108,30)</f>
        <v>143.37444817139638</v>
      </c>
      <c r="AD32">
        <f>1/(COUNT(SimData!$U$9:$U$108)-1)+$AD$31</f>
        <v>0.29292929292929304</v>
      </c>
    </row>
    <row r="33" spans="1:30">
      <c r="A33">
        <v>25</v>
      </c>
      <c r="B33">
        <v>193.36323061712568</v>
      </c>
      <c r="C33">
        <v>0.75</v>
      </c>
      <c r="D33">
        <v>120</v>
      </c>
      <c r="E33">
        <v>181.76243019758277</v>
      </c>
      <c r="F33">
        <v>0.85</v>
      </c>
      <c r="G33">
        <v>120</v>
      </c>
      <c r="H33">
        <v>195.96202998781132</v>
      </c>
      <c r="I33">
        <v>0.9</v>
      </c>
      <c r="J33">
        <v>100</v>
      </c>
      <c r="K33">
        <v>184.36122956826841</v>
      </c>
      <c r="L33">
        <v>1</v>
      </c>
      <c r="M33">
        <v>100</v>
      </c>
      <c r="N33">
        <v>506.62397376589354</v>
      </c>
      <c r="O33">
        <v>506.62397376589354</v>
      </c>
      <c r="P33">
        <v>506.62397376589354</v>
      </c>
      <c r="Q33">
        <v>506.62397376589354</v>
      </c>
      <c r="R33">
        <v>278.41192609185714</v>
      </c>
      <c r="S33">
        <v>263.98365306865225</v>
      </c>
      <c r="T33">
        <v>276.76951655704983</v>
      </c>
      <c r="U33">
        <v>262.34124353384493</v>
      </c>
      <c r="W33">
        <f>SMALL(SimData!$R$9:$R$108,31)</f>
        <v>159.36389697336841</v>
      </c>
      <c r="X33">
        <f>1/(COUNT(SimData!$R$9:$R$108)-1)+$X$32</f>
        <v>0.30303030303030315</v>
      </c>
      <c r="Y33">
        <f>SMALL(SimData!$S$9:$S$108,31)</f>
        <v>145.65368639897932</v>
      </c>
      <c r="Z33">
        <f>1/(COUNT(SimData!$S$9:$S$108)-1)+$Z$32</f>
        <v>0.30303030303030315</v>
      </c>
      <c r="AA33">
        <f>SMALL(SimData!$T$9:$T$108,31)</f>
        <v>159.31279811721777</v>
      </c>
      <c r="AB33">
        <f>1/(COUNT(SimData!$T$9:$T$108)-1)+$AB$32</f>
        <v>0.30303030303030315</v>
      </c>
      <c r="AC33">
        <f>SMALL(SimData!$U$9:$U$108,31)</f>
        <v>146.06393661179547</v>
      </c>
      <c r="AD33">
        <f>1/(COUNT(SimData!$U$9:$U$108)-1)+$AD$32</f>
        <v>0.30303030303030315</v>
      </c>
    </row>
    <row r="34" spans="1:30">
      <c r="A34">
        <v>26</v>
      </c>
      <c r="B34">
        <v>221.79301738817432</v>
      </c>
      <c r="C34">
        <v>0.75</v>
      </c>
      <c r="D34">
        <v>120</v>
      </c>
      <c r="E34">
        <v>204.13671282131932</v>
      </c>
      <c r="F34">
        <v>0.85</v>
      </c>
      <c r="G34">
        <v>120</v>
      </c>
      <c r="H34">
        <v>215.30856053789179</v>
      </c>
      <c r="I34">
        <v>0.9</v>
      </c>
      <c r="J34">
        <v>100</v>
      </c>
      <c r="K34">
        <v>197.65225597103679</v>
      </c>
      <c r="L34">
        <v>1</v>
      </c>
      <c r="M34">
        <v>100</v>
      </c>
      <c r="N34">
        <v>426.05113624367101</v>
      </c>
      <c r="O34">
        <v>426.05113624367101</v>
      </c>
      <c r="P34">
        <v>426.05113624367101</v>
      </c>
      <c r="Q34">
        <v>426.05113624367101</v>
      </c>
      <c r="R34">
        <v>195.71801878619254</v>
      </c>
      <c r="S34">
        <v>181.00693645852874</v>
      </c>
      <c r="T34">
        <v>193.65139529469684</v>
      </c>
      <c r="U34">
        <v>178.94031296703304</v>
      </c>
      <c r="W34">
        <f>SMALL(SimData!$R$9:$R$108,32)</f>
        <v>161.94363415311722</v>
      </c>
      <c r="X34">
        <f>1/(COUNT(SimData!$R$9:$R$108)-1)+$X$33</f>
        <v>0.31313131313131326</v>
      </c>
      <c r="Y34">
        <f>SMALL(SimData!$S$9:$S$108,32)</f>
        <v>146.04391282873922</v>
      </c>
      <c r="Z34">
        <f>1/(COUNT(SimData!$S$9:$S$108)-1)+$Z$33</f>
        <v>0.31313131313131326</v>
      </c>
      <c r="AA34">
        <f>SMALL(SimData!$T$9:$T$108,32)</f>
        <v>159.38392075642463</v>
      </c>
      <c r="AB34">
        <f>1/(COUNT(SimData!$T$9:$T$108)-1)+$AB$33</f>
        <v>0.31313131313131326</v>
      </c>
      <c r="AC34">
        <f>SMALL(SimData!$U$9:$U$108,32)</f>
        <v>146.72809642687145</v>
      </c>
      <c r="AD34">
        <f>1/(COUNT(SimData!$U$9:$U$108)-1)+$AD$33</f>
        <v>0.31313131313131326</v>
      </c>
    </row>
    <row r="35" spans="1:30">
      <c r="A35">
        <v>27</v>
      </c>
      <c r="B35">
        <v>212.31866528942408</v>
      </c>
      <c r="C35">
        <v>0.75</v>
      </c>
      <c r="D35">
        <v>120</v>
      </c>
      <c r="E35">
        <v>196.43716189036439</v>
      </c>
      <c r="F35">
        <v>0.85</v>
      </c>
      <c r="G35">
        <v>120</v>
      </c>
      <c r="H35">
        <v>208.49641019083455</v>
      </c>
      <c r="I35">
        <v>0.9</v>
      </c>
      <c r="J35">
        <v>100</v>
      </c>
      <c r="K35">
        <v>192.6149067917749</v>
      </c>
      <c r="L35">
        <v>1</v>
      </c>
      <c r="M35">
        <v>100</v>
      </c>
      <c r="N35">
        <v>327.86877421362971</v>
      </c>
      <c r="O35">
        <v>327.86877421362971</v>
      </c>
      <c r="P35">
        <v>327.86877421362971</v>
      </c>
      <c r="Q35">
        <v>327.86877421362971</v>
      </c>
      <c r="R35">
        <v>126.15874828512381</v>
      </c>
      <c r="S35">
        <v>115.26407816132301</v>
      </c>
      <c r="T35">
        <v>129.81674309942261</v>
      </c>
      <c r="U35">
        <v>118.92207297562183</v>
      </c>
      <c r="W35">
        <f>SMALL(SimData!$R$9:$R$108,33)</f>
        <v>170.20825816770451</v>
      </c>
      <c r="X35">
        <f>1/(COUNT(SimData!$R$9:$R$108)-1)+$X$34</f>
        <v>0.32323232323232337</v>
      </c>
      <c r="Y35">
        <f>SMALL(SimData!$S$9:$S$108,33)</f>
        <v>149.24618956131789</v>
      </c>
      <c r="Z35">
        <f>1/(COUNT(SimData!$S$9:$S$108)-1)+$Z$34</f>
        <v>0.32323232323232337</v>
      </c>
      <c r="AA35">
        <f>SMALL(SimData!$T$9:$T$108,33)</f>
        <v>160.24010424886791</v>
      </c>
      <c r="AB35">
        <f>1/(COUNT(SimData!$T$9:$T$108)-1)+$AB$34</f>
        <v>0.32323232323232337</v>
      </c>
      <c r="AC35">
        <f>SMALL(SimData!$U$9:$U$108,33)</f>
        <v>149.41293994864506</v>
      </c>
      <c r="AD35">
        <f>1/(COUNT(SimData!$U$9:$U$108)-1)+$AD$34</f>
        <v>0.32323232323232337</v>
      </c>
    </row>
    <row r="36" spans="1:30">
      <c r="A36">
        <v>28</v>
      </c>
      <c r="B36">
        <v>132.748659946739</v>
      </c>
      <c r="C36">
        <v>0.75</v>
      </c>
      <c r="D36">
        <v>120</v>
      </c>
      <c r="E36">
        <v>120.61972882029477</v>
      </c>
      <c r="F36">
        <v>0.85</v>
      </c>
      <c r="G36">
        <v>120</v>
      </c>
      <c r="H36">
        <v>134.55526325707265</v>
      </c>
      <c r="I36">
        <v>0.9</v>
      </c>
      <c r="J36">
        <v>100</v>
      </c>
      <c r="K36">
        <v>122.42633213062842</v>
      </c>
      <c r="L36">
        <v>1</v>
      </c>
      <c r="M36">
        <v>100</v>
      </c>
      <c r="N36">
        <v>381.87714710439815</v>
      </c>
      <c r="O36">
        <v>381.87714710439815</v>
      </c>
      <c r="P36">
        <v>381.87714710439815</v>
      </c>
      <c r="Q36">
        <v>381.87714710439815</v>
      </c>
      <c r="R36">
        <v>156.51676687394604</v>
      </c>
      <c r="S36">
        <v>142.46871617655245</v>
      </c>
      <c r="T36">
        <v>155.4446908278556</v>
      </c>
      <c r="U36">
        <v>141.396640130462</v>
      </c>
      <c r="W36">
        <f>SMALL(SimData!$R$9:$R$108,34)</f>
        <v>170.48407867271683</v>
      </c>
      <c r="X36">
        <f>1/(COUNT(SimData!$R$9:$R$108)-1)+$X$35</f>
        <v>0.33333333333333348</v>
      </c>
      <c r="Y36">
        <f>SMALL(SimData!$S$9:$S$108,34)</f>
        <v>155.11502952578959</v>
      </c>
      <c r="Z36">
        <f>1/(COUNT(SimData!$S$9:$S$108)-1)+$Z$35</f>
        <v>0.33333333333333348</v>
      </c>
      <c r="AA36">
        <f>SMALL(SimData!$T$9:$T$108,34)</f>
        <v>167.43050495232595</v>
      </c>
      <c r="AB36">
        <f>1/(COUNT(SimData!$T$9:$T$108)-1)+$AB$35</f>
        <v>0.33333333333333348</v>
      </c>
      <c r="AC36">
        <f>SMALL(SimData!$U$9:$U$108,34)</f>
        <v>152.06145580539871</v>
      </c>
      <c r="AD36">
        <f>1/(COUNT(SimData!$U$9:$U$108)-1)+$AD$35</f>
        <v>0.33333333333333348</v>
      </c>
    </row>
    <row r="37" spans="1:30">
      <c r="A37">
        <v>29</v>
      </c>
      <c r="B37">
        <v>180.33604854355318</v>
      </c>
      <c r="C37">
        <v>0.75</v>
      </c>
      <c r="D37">
        <v>120</v>
      </c>
      <c r="E37">
        <v>168.78927338890162</v>
      </c>
      <c r="F37">
        <v>0.85</v>
      </c>
      <c r="G37">
        <v>120</v>
      </c>
      <c r="H37">
        <v>183.01588581157586</v>
      </c>
      <c r="I37">
        <v>0.9</v>
      </c>
      <c r="J37">
        <v>100</v>
      </c>
      <c r="K37">
        <v>171.46911065692433</v>
      </c>
      <c r="L37">
        <v>1</v>
      </c>
      <c r="M37">
        <v>100</v>
      </c>
      <c r="N37">
        <v>491.38668331391466</v>
      </c>
      <c r="O37">
        <v>491.38668331391466</v>
      </c>
      <c r="P37">
        <v>491.38668331391466</v>
      </c>
      <c r="Q37">
        <v>491.38668331391466</v>
      </c>
      <c r="R37">
        <v>264.38765329786213</v>
      </c>
      <c r="S37">
        <v>250.12111596238844</v>
      </c>
      <c r="T37">
        <v>262.9878472946516</v>
      </c>
      <c r="U37">
        <v>248.72130995917792</v>
      </c>
      <c r="W37">
        <f>SMALL(SimData!$R$9:$R$108,35)</f>
        <v>174.33917138823853</v>
      </c>
      <c r="X37">
        <f>1/(COUNT(SimData!$R$9:$R$108)-1)+$X$36</f>
        <v>0.34343434343434359</v>
      </c>
      <c r="Y37">
        <f>SMALL(SimData!$S$9:$S$108,35)</f>
        <v>158.91455181965236</v>
      </c>
      <c r="Z37">
        <f>1/(COUNT(SimData!$S$9:$S$108)-1)+$Z$36</f>
        <v>0.34343434343434359</v>
      </c>
      <c r="AA37">
        <f>SMALL(SimData!$T$9:$T$108,35)</f>
        <v>171.20224203535926</v>
      </c>
      <c r="AB37">
        <f>1/(COUNT(SimData!$T$9:$T$108)-1)+$AB$36</f>
        <v>0.34343434343434359</v>
      </c>
      <c r="AC37">
        <f>SMALL(SimData!$U$9:$U$108,35)</f>
        <v>155.7776224667731</v>
      </c>
      <c r="AD37">
        <f>1/(COUNT(SimData!$U$9:$U$108)-1)+$AD$36</f>
        <v>0.34343434343434359</v>
      </c>
    </row>
    <row r="38" spans="1:30">
      <c r="A38">
        <v>30</v>
      </c>
      <c r="B38">
        <v>209.28329383454951</v>
      </c>
      <c r="C38">
        <v>0.75</v>
      </c>
      <c r="D38">
        <v>120</v>
      </c>
      <c r="E38">
        <v>194.14511899422334</v>
      </c>
      <c r="F38">
        <v>0.85</v>
      </c>
      <c r="G38">
        <v>120</v>
      </c>
      <c r="H38">
        <v>206.57603157406024</v>
      </c>
      <c r="I38">
        <v>0.9</v>
      </c>
      <c r="J38">
        <v>100</v>
      </c>
      <c r="K38">
        <v>191.43785673373404</v>
      </c>
      <c r="L38">
        <v>1</v>
      </c>
      <c r="M38">
        <v>100</v>
      </c>
      <c r="N38">
        <v>478.88647341866158</v>
      </c>
      <c r="O38">
        <v>478.88647341866158</v>
      </c>
      <c r="P38">
        <v>478.88647341866158</v>
      </c>
      <c r="Q38">
        <v>478.88647341866158</v>
      </c>
      <c r="R38">
        <v>242.4618290804288</v>
      </c>
      <c r="S38">
        <v>226.93854316866441</v>
      </c>
      <c r="T38">
        <v>239.17690021278221</v>
      </c>
      <c r="U38">
        <v>223.65361430101785</v>
      </c>
      <c r="W38">
        <f>SMALL(SimData!$R$9:$R$108,36)</f>
        <v>179.07356522423407</v>
      </c>
      <c r="X38">
        <f>1/(COUNT(SimData!$R$9:$R$108)-1)+$X$37</f>
        <v>0.3535353535353537</v>
      </c>
      <c r="Y38">
        <f>SMALL(SimData!$S$9:$S$108,36)</f>
        <v>165.37987000599259</v>
      </c>
      <c r="Z38">
        <f>1/(COUNT(SimData!$S$9:$S$108)-1)+$Z$37</f>
        <v>0.3535353535353537</v>
      </c>
      <c r="AA38">
        <f>SMALL(SimData!$T$9:$T$108,36)</f>
        <v>178.53302239687184</v>
      </c>
      <c r="AB38">
        <f>1/(COUNT(SimData!$T$9:$T$108)-1)+$AB$37</f>
        <v>0.3535353535353537</v>
      </c>
      <c r="AC38">
        <f>SMALL(SimData!$U$9:$U$108,36)</f>
        <v>160.4870286642186</v>
      </c>
      <c r="AD38">
        <f>1/(COUNT(SimData!$U$9:$U$108)-1)+$AD$37</f>
        <v>0.3535353535353537</v>
      </c>
    </row>
    <row r="39" spans="1:30">
      <c r="A39">
        <v>31</v>
      </c>
      <c r="B39">
        <v>176.56960156568798</v>
      </c>
      <c r="C39">
        <v>0.75</v>
      </c>
      <c r="D39">
        <v>120</v>
      </c>
      <c r="E39">
        <v>161.96841720796408</v>
      </c>
      <c r="F39">
        <v>0.85</v>
      </c>
      <c r="G39">
        <v>120</v>
      </c>
      <c r="H39">
        <v>174.66782502910215</v>
      </c>
      <c r="I39">
        <v>0.9</v>
      </c>
      <c r="J39">
        <v>100</v>
      </c>
      <c r="K39">
        <v>160.06664067137825</v>
      </c>
      <c r="L39">
        <v>1</v>
      </c>
      <c r="M39">
        <v>100</v>
      </c>
      <c r="N39">
        <v>412.58597168462455</v>
      </c>
      <c r="O39">
        <v>412.58597168462455</v>
      </c>
      <c r="P39">
        <v>412.58597168462455</v>
      </c>
      <c r="Q39">
        <v>412.58597168462455</v>
      </c>
      <c r="R39">
        <v>188.75254167666532</v>
      </c>
      <c r="S39">
        <v>174.90808434227074</v>
      </c>
      <c r="T39">
        <v>187.98585567507348</v>
      </c>
      <c r="U39">
        <v>174.1413983406789</v>
      </c>
      <c r="W39">
        <f>SMALL(SimData!$R$9:$R$108,37)</f>
        <v>187.0706778404903</v>
      </c>
      <c r="X39">
        <f>1/(COUNT(SimData!$R$9:$R$108)-1)+$X$38</f>
        <v>0.36363636363636381</v>
      </c>
      <c r="Y39">
        <f>SMALL(SimData!$S$9:$S$108,37)</f>
        <v>168.67656454239346</v>
      </c>
      <c r="Z39">
        <f>1/(COUNT(SimData!$S$9:$S$108)-1)+$Z$38</f>
        <v>0.36363636363636381</v>
      </c>
      <c r="AA39">
        <f>SMALL(SimData!$T$9:$T$108,37)</f>
        <v>179.28005258300183</v>
      </c>
      <c r="AB39">
        <f>1/(COUNT(SimData!$T$9:$T$108)-1)+$AB$38</f>
        <v>0.36363636363636381</v>
      </c>
      <c r="AC39">
        <f>SMALL(SimData!$U$9:$U$108,37)</f>
        <v>164.83932717863036</v>
      </c>
      <c r="AD39">
        <f>1/(COUNT(SimData!$U$9:$U$108)-1)+$AD$38</f>
        <v>0.36363636363636381</v>
      </c>
    </row>
    <row r="40" spans="1:30">
      <c r="A40">
        <v>32</v>
      </c>
      <c r="B40">
        <v>128.63370278800886</v>
      </c>
      <c r="C40">
        <v>0.75</v>
      </c>
      <c r="D40">
        <v>120</v>
      </c>
      <c r="E40">
        <v>116.05335075836872</v>
      </c>
      <c r="F40">
        <v>0.85</v>
      </c>
      <c r="G40">
        <v>120</v>
      </c>
      <c r="H40">
        <v>129.76317474354866</v>
      </c>
      <c r="I40">
        <v>0.9</v>
      </c>
      <c r="J40">
        <v>100</v>
      </c>
      <c r="K40">
        <v>117.18282271390854</v>
      </c>
      <c r="L40">
        <v>1</v>
      </c>
      <c r="M40">
        <v>100</v>
      </c>
      <c r="N40">
        <v>372.57511333033483</v>
      </c>
      <c r="O40">
        <v>372.57511333033483</v>
      </c>
      <c r="P40">
        <v>372.57511333033483</v>
      </c>
      <c r="Q40">
        <v>372.57511333033483</v>
      </c>
      <c r="R40">
        <v>158.18985065273728</v>
      </c>
      <c r="S40">
        <v>145.60514896239096</v>
      </c>
      <c r="T40">
        <v>159.31279811721777</v>
      </c>
      <c r="U40">
        <v>146.72809642687145</v>
      </c>
      <c r="W40">
        <f>SMALL(SimData!$R$9:$R$108,38)</f>
        <v>187.46958846117673</v>
      </c>
      <c r="X40">
        <f>1/(COUNT(SimData!$R$9:$R$108)-1)+$X$39</f>
        <v>0.37373737373737392</v>
      </c>
      <c r="Y40">
        <f>SMALL(SimData!$S$9:$S$108,38)</f>
        <v>172.00059998840791</v>
      </c>
      <c r="Z40">
        <f>1/(COUNT(SimData!$S$9:$S$108)-1)+$Z$39</f>
        <v>0.37373737373737392</v>
      </c>
      <c r="AA40">
        <f>SMALL(SimData!$T$9:$T$108,38)</f>
        <v>184.4655610623667</v>
      </c>
      <c r="AB40">
        <f>1/(COUNT(SimData!$T$9:$T$108)-1)+$AB$39</f>
        <v>0.37373737373737392</v>
      </c>
      <c r="AC40">
        <f>SMALL(SimData!$U$9:$U$108,38)</f>
        <v>169.39548321028428</v>
      </c>
      <c r="AD40">
        <f>1/(COUNT(SimData!$U$9:$U$108)-1)+$AD$39</f>
        <v>0.37373737373737392</v>
      </c>
    </row>
    <row r="41" spans="1:30">
      <c r="A41">
        <v>33</v>
      </c>
      <c r="B41">
        <v>239.96458124476723</v>
      </c>
      <c r="C41">
        <v>0.75</v>
      </c>
      <c r="D41">
        <v>120</v>
      </c>
      <c r="E41">
        <v>221.41675811716891</v>
      </c>
      <c r="F41">
        <v>0.85</v>
      </c>
      <c r="G41">
        <v>120</v>
      </c>
      <c r="H41">
        <v>232.14284655336974</v>
      </c>
      <c r="I41">
        <v>0.9</v>
      </c>
      <c r="J41">
        <v>100</v>
      </c>
      <c r="K41">
        <v>213.59502342577142</v>
      </c>
      <c r="L41">
        <v>1</v>
      </c>
      <c r="M41">
        <v>100</v>
      </c>
      <c r="N41">
        <v>302.18120282435621</v>
      </c>
      <c r="O41">
        <v>302.18120282435621</v>
      </c>
      <c r="P41">
        <v>302.18120282435621</v>
      </c>
      <c r="Q41">
        <v>302.18120282435621</v>
      </c>
      <c r="R41">
        <v>105.26593572734383</v>
      </c>
      <c r="S41">
        <v>95.010566781075511</v>
      </c>
      <c r="T41">
        <v>109.88288230794136</v>
      </c>
      <c r="U41">
        <v>99.627513361673039</v>
      </c>
      <c r="W41">
        <f>SMALL(SimData!$R$9:$R$108,39)</f>
        <v>188.75254167666532</v>
      </c>
      <c r="X41">
        <f>1/(COUNT(SimData!$R$9:$R$108)-1)+$X$40</f>
        <v>0.38383838383838403</v>
      </c>
      <c r="Y41">
        <f>SMALL(SimData!$S$9:$S$108,39)</f>
        <v>174.90808434227074</v>
      </c>
      <c r="Z41">
        <f>1/(COUNT(SimData!$S$9:$S$108)-1)+$Z$40</f>
        <v>0.38383838383838403</v>
      </c>
      <c r="AA41">
        <f>SMALL(SimData!$T$9:$T$108,39)</f>
        <v>187.98585567507348</v>
      </c>
      <c r="AB41">
        <f>1/(COUNT(SimData!$T$9:$T$108)-1)+$AB$40</f>
        <v>0.38383838383838403</v>
      </c>
      <c r="AC41">
        <f>SMALL(SimData!$U$9:$U$108,39)</f>
        <v>174.1413983406789</v>
      </c>
      <c r="AD41">
        <f>1/(COUNT(SimData!$U$9:$U$108)-1)+$AD$40</f>
        <v>0.38383838383838403</v>
      </c>
    </row>
    <row r="42" spans="1:30">
      <c r="A42">
        <v>34</v>
      </c>
      <c r="B42">
        <v>210.25493215087818</v>
      </c>
      <c r="C42">
        <v>0.75</v>
      </c>
      <c r="D42">
        <v>120</v>
      </c>
      <c r="E42">
        <v>199.31995309066315</v>
      </c>
      <c r="F42">
        <v>0.85</v>
      </c>
      <c r="G42">
        <v>120</v>
      </c>
      <c r="H42">
        <v>213.85246356055561</v>
      </c>
      <c r="I42">
        <v>0.9</v>
      </c>
      <c r="J42">
        <v>100</v>
      </c>
      <c r="K42">
        <v>202.91748450034058</v>
      </c>
      <c r="L42">
        <v>1</v>
      </c>
      <c r="M42">
        <v>100</v>
      </c>
      <c r="N42">
        <v>540.30680007163426</v>
      </c>
      <c r="O42">
        <v>540.30680007163426</v>
      </c>
      <c r="P42">
        <v>540.30680007163426</v>
      </c>
      <c r="Q42">
        <v>540.30680007163426</v>
      </c>
      <c r="R42">
        <v>313.94195263499194</v>
      </c>
      <c r="S42">
        <v>299.75997297677299</v>
      </c>
      <c r="T42">
        <v>312.66898314766348</v>
      </c>
      <c r="U42">
        <v>298.48700348944453</v>
      </c>
      <c r="W42">
        <f>SMALL(SimData!$R$9:$R$108,40)</f>
        <v>189.53878335347954</v>
      </c>
      <c r="X42">
        <f>1/(COUNT(SimData!$R$9:$R$108)-1)+$X$41</f>
        <v>0.39393939393939414</v>
      </c>
      <c r="Y42">
        <f>SMALL(SimData!$S$9:$S$108,40)</f>
        <v>177.59595060571621</v>
      </c>
      <c r="Z42">
        <f>1/(COUNT(SimData!$S$9:$S$108)-1)+$Z$41</f>
        <v>0.39393939393939414</v>
      </c>
      <c r="AA42">
        <f>SMALL(SimData!$T$9:$T$108,40)</f>
        <v>190.47676235490638</v>
      </c>
      <c r="AB42">
        <f>1/(COUNT(SimData!$T$9:$T$108)-1)+$AB$41</f>
        <v>0.39393939393939414</v>
      </c>
      <c r="AC42">
        <f>SMALL(SimData!$U$9:$U$108,40)</f>
        <v>174.32511145433224</v>
      </c>
      <c r="AD42">
        <f>1/(COUNT(SimData!$U$9:$U$108)-1)+$AD$41</f>
        <v>0.39393939393939414</v>
      </c>
    </row>
    <row r="43" spans="1:30">
      <c r="A43">
        <v>35</v>
      </c>
      <c r="B43">
        <v>96.090125453651638</v>
      </c>
      <c r="C43">
        <v>0.75</v>
      </c>
      <c r="D43">
        <v>120</v>
      </c>
      <c r="E43">
        <v>81.136166550907021</v>
      </c>
      <c r="F43">
        <v>0.85</v>
      </c>
      <c r="G43">
        <v>120</v>
      </c>
      <c r="H43">
        <v>93.659187099534705</v>
      </c>
      <c r="I43">
        <v>0.9</v>
      </c>
      <c r="J43">
        <v>100</v>
      </c>
      <c r="K43">
        <v>78.705228196790074</v>
      </c>
      <c r="L43">
        <v>1</v>
      </c>
      <c r="M43">
        <v>100</v>
      </c>
      <c r="N43">
        <v>568.65090278134107</v>
      </c>
      <c r="O43">
        <v>568.65090278134107</v>
      </c>
      <c r="P43">
        <v>568.65090278134107</v>
      </c>
      <c r="Q43">
        <v>568.65090278134107</v>
      </c>
      <c r="R43">
        <v>322.73877440835264</v>
      </c>
      <c r="S43">
        <v>305.9504906252875</v>
      </c>
      <c r="T43">
        <v>317.55634873375493</v>
      </c>
      <c r="U43">
        <v>300.76806495068979</v>
      </c>
      <c r="W43">
        <f>SMALL(SimData!$R$9:$R$108,41)</f>
        <v>194.70423870576761</v>
      </c>
      <c r="X43">
        <f>1/(COUNT(SimData!$R$9:$R$108)-1)+$X$42</f>
        <v>0.40404040404040426</v>
      </c>
      <c r="Y43">
        <f>SMALL(SimData!$S$9:$S$108,41)</f>
        <v>178.55258780519347</v>
      </c>
      <c r="Z43">
        <f>1/(COUNT(SimData!$S$9:$S$108)-1)+$Z$42</f>
        <v>0.40404040404040426</v>
      </c>
      <c r="AA43">
        <f>SMALL(SimData!$T$9:$T$108,41)</f>
        <v>191.62453423183456</v>
      </c>
      <c r="AB43">
        <f>1/(COUNT(SimData!$T$9:$T$108)-1)+$AB$42</f>
        <v>0.40404040404040426</v>
      </c>
      <c r="AC43">
        <f>SMALL(SimData!$U$9:$U$108,41)</f>
        <v>178.94031296703304</v>
      </c>
      <c r="AD43">
        <f>1/(COUNT(SimData!$U$9:$U$108)-1)+$AD$42</f>
        <v>0.40404040404040426</v>
      </c>
    </row>
    <row r="44" spans="1:30">
      <c r="A44">
        <v>36</v>
      </c>
      <c r="B44">
        <v>95.166881512613458</v>
      </c>
      <c r="C44">
        <v>0.75</v>
      </c>
      <c r="D44">
        <v>120</v>
      </c>
      <c r="E44">
        <v>81.035317154699925</v>
      </c>
      <c r="F44">
        <v>0.85</v>
      </c>
      <c r="G44">
        <v>120</v>
      </c>
      <c r="H44">
        <v>93.969534975743159</v>
      </c>
      <c r="I44">
        <v>0.9</v>
      </c>
      <c r="J44">
        <v>100</v>
      </c>
      <c r="K44">
        <v>79.837970617829626</v>
      </c>
      <c r="L44">
        <v>1</v>
      </c>
      <c r="M44">
        <v>100</v>
      </c>
      <c r="N44">
        <v>339.49054801768369</v>
      </c>
      <c r="O44">
        <v>339.49054801768369</v>
      </c>
      <c r="P44">
        <v>339.49054801768369</v>
      </c>
      <c r="Q44">
        <v>339.49054801768369</v>
      </c>
      <c r="R44">
        <v>120.9692466638688</v>
      </c>
      <c r="S44">
        <v>107.83307315002683</v>
      </c>
      <c r="T44">
        <v>121.26498639310583</v>
      </c>
      <c r="U44">
        <v>108.12881287926385</v>
      </c>
      <c r="W44">
        <f>SMALL(SimData!$R$9:$R$108,42)</f>
        <v>195.42975692102959</v>
      </c>
      <c r="X44">
        <f>1/(COUNT(SimData!$R$9:$R$108)-1)+$X$43</f>
        <v>0.41414141414141437</v>
      </c>
      <c r="Y44">
        <f>SMALL(SimData!$S$9:$S$108,42)</f>
        <v>181.00693645852874</v>
      </c>
      <c r="Z44">
        <f>1/(COUNT(SimData!$S$9:$S$108)-1)+$Z$43</f>
        <v>0.41414141414141437</v>
      </c>
      <c r="AA44">
        <f>SMALL(SimData!$T$9:$T$108,42)</f>
        <v>193.65139529469684</v>
      </c>
      <c r="AB44">
        <f>1/(COUNT(SimData!$T$9:$T$108)-1)+$AB$43</f>
        <v>0.41414141414141437</v>
      </c>
      <c r="AC44">
        <f>SMALL(SimData!$U$9:$U$108,42)</f>
        <v>179.68170148407123</v>
      </c>
      <c r="AD44">
        <f>1/(COUNT(SimData!$U$9:$U$108)-1)+$AD$43</f>
        <v>0.41414141414141437</v>
      </c>
    </row>
    <row r="45" spans="1:30">
      <c r="A45">
        <v>37</v>
      </c>
      <c r="B45">
        <v>253.32123365725934</v>
      </c>
      <c r="C45">
        <v>0.75</v>
      </c>
      <c r="D45">
        <v>120</v>
      </c>
      <c r="E45">
        <v>239.90159798885179</v>
      </c>
      <c r="F45">
        <v>0.85</v>
      </c>
      <c r="G45">
        <v>120</v>
      </c>
      <c r="H45">
        <v>253.191780154648</v>
      </c>
      <c r="I45">
        <v>0.9</v>
      </c>
      <c r="J45">
        <v>100</v>
      </c>
      <c r="K45">
        <v>239.77214448624045</v>
      </c>
      <c r="L45">
        <v>1</v>
      </c>
      <c r="M45">
        <v>100</v>
      </c>
      <c r="N45">
        <v>564.26728274679192</v>
      </c>
      <c r="O45">
        <v>564.26728274679192</v>
      </c>
      <c r="P45">
        <v>564.26728274679192</v>
      </c>
      <c r="Q45">
        <v>564.26728274679192</v>
      </c>
      <c r="R45">
        <v>327.05562971620856</v>
      </c>
      <c r="S45">
        <v>311.42740931213081</v>
      </c>
      <c r="T45">
        <v>323.61329911009193</v>
      </c>
      <c r="U45">
        <v>307.98507870601412</v>
      </c>
      <c r="W45">
        <f>SMALL(SimData!$R$9:$R$108,43)</f>
        <v>195.71801878619254</v>
      </c>
      <c r="X45">
        <f>1/(COUNT(SimData!$R$9:$R$108)-1)+$X$44</f>
        <v>0.42424242424242448</v>
      </c>
      <c r="Y45">
        <f>SMALL(SimData!$S$9:$S$108,43)</f>
        <v>181.80164836140671</v>
      </c>
      <c r="Z45">
        <f>1/(COUNT(SimData!$S$9:$S$108)-1)+$Z$44</f>
        <v>0.42424242424242448</v>
      </c>
      <c r="AA45">
        <f>SMALL(SimData!$T$9:$T$108,43)</f>
        <v>194.98759408159526</v>
      </c>
      <c r="AB45">
        <f>1/(COUNT(SimData!$T$9:$T$108)-1)+$AB$44</f>
        <v>0.42424242424242448</v>
      </c>
      <c r="AC45">
        <f>SMALL(SimData!$U$9:$U$108,43)</f>
        <v>181.35948552197237</v>
      </c>
      <c r="AD45">
        <f>1/(COUNT(SimData!$U$9:$U$108)-1)+$AD$44</f>
        <v>0.42424242424242448</v>
      </c>
    </row>
    <row r="46" spans="1:30">
      <c r="A46">
        <v>38</v>
      </c>
      <c r="B46">
        <v>254.07550631635962</v>
      </c>
      <c r="C46">
        <v>0.75</v>
      </c>
      <c r="D46">
        <v>120</v>
      </c>
      <c r="E46">
        <v>239.62727554273931</v>
      </c>
      <c r="F46">
        <v>0.85</v>
      </c>
      <c r="G46">
        <v>120</v>
      </c>
      <c r="H46">
        <v>252.40316015592913</v>
      </c>
      <c r="I46">
        <v>0.9</v>
      </c>
      <c r="J46">
        <v>100</v>
      </c>
      <c r="K46">
        <v>237.95492938230879</v>
      </c>
      <c r="L46">
        <v>1</v>
      </c>
      <c r="M46">
        <v>100</v>
      </c>
      <c r="N46">
        <v>597.66745827582224</v>
      </c>
      <c r="O46">
        <v>597.66745827582224</v>
      </c>
      <c r="P46">
        <v>597.66745827582224</v>
      </c>
      <c r="Q46">
        <v>597.66745827582224</v>
      </c>
      <c r="R46">
        <v>347.89113732990552</v>
      </c>
      <c r="S46">
        <v>330.58762787044998</v>
      </c>
      <c r="T46">
        <v>341.93587314072221</v>
      </c>
      <c r="U46">
        <v>324.63236368126661</v>
      </c>
      <c r="W46">
        <f>SMALL(SimData!$R$9:$R$108,44)</f>
        <v>197.65695132770514</v>
      </c>
      <c r="X46">
        <f>1/(COUNT(SimData!$R$9:$R$108)-1)+$X$45</f>
        <v>0.43434343434343459</v>
      </c>
      <c r="Y46">
        <f>SMALL(SimData!$S$9:$S$108,44)</f>
        <v>184.25578968711756</v>
      </c>
      <c r="Z46">
        <f>1/(COUNT(SimData!$S$9:$S$108)-1)+$Z$45</f>
        <v>0.43434343434343459</v>
      </c>
      <c r="AA46">
        <f>SMALL(SimData!$T$9:$T$108,44)</f>
        <v>197.55520886682373</v>
      </c>
      <c r="AB46">
        <f>1/(COUNT(SimData!$T$9:$T$108)-1)+$AB$45</f>
        <v>0.43434343434343459</v>
      </c>
      <c r="AC46">
        <f>SMALL(SimData!$U$9:$U$108,44)</f>
        <v>184.1466798606682</v>
      </c>
      <c r="AD46">
        <f>1/(COUNT(SimData!$U$9:$U$108)-1)+$AD$45</f>
        <v>0.43434343434343459</v>
      </c>
    </row>
    <row r="47" spans="1:30">
      <c r="A47">
        <v>39</v>
      </c>
      <c r="B47">
        <v>219.2647922323533</v>
      </c>
      <c r="C47">
        <v>0.75</v>
      </c>
      <c r="D47">
        <v>120</v>
      </c>
      <c r="E47">
        <v>203.00260323238422</v>
      </c>
      <c r="F47">
        <v>0.85</v>
      </c>
      <c r="G47">
        <v>120</v>
      </c>
      <c r="H47">
        <v>214.87150873239963</v>
      </c>
      <c r="I47">
        <v>0.9</v>
      </c>
      <c r="J47">
        <v>100</v>
      </c>
      <c r="K47">
        <v>198.60931973243055</v>
      </c>
      <c r="L47">
        <v>1</v>
      </c>
      <c r="M47">
        <v>100</v>
      </c>
      <c r="N47">
        <v>501.53755921708785</v>
      </c>
      <c r="O47">
        <v>501.53755921708785</v>
      </c>
      <c r="P47">
        <v>501.53755921708785</v>
      </c>
      <c r="Q47">
        <v>501.53755921708785</v>
      </c>
      <c r="R47">
        <v>259.07305540219681</v>
      </c>
      <c r="S47">
        <v>242.74445489354468</v>
      </c>
      <c r="T47">
        <v>254.58015463921859</v>
      </c>
      <c r="U47">
        <v>238.25155413056646</v>
      </c>
      <c r="W47">
        <f>SMALL(SimData!$R$9:$R$108,45)</f>
        <v>202.91849916048477</v>
      </c>
      <c r="X47">
        <f>1/(COUNT(SimData!$R$9:$R$108)-1)+$X$46</f>
        <v>0.4444444444444447</v>
      </c>
      <c r="Y47">
        <f>SMALL(SimData!$S$9:$S$108,45)</f>
        <v>187.6767657268289</v>
      </c>
      <c r="Z47">
        <f>1/(COUNT(SimData!$S$9:$S$108)-1)+$Z$46</f>
        <v>0.4444444444444447</v>
      </c>
      <c r="AA47">
        <f>SMALL(SimData!$T$9:$T$108,45)</f>
        <v>199.83340377144199</v>
      </c>
      <c r="AB47">
        <f>1/(COUNT(SimData!$T$9:$T$108)-1)+$AB$46</f>
        <v>0.4444444444444447</v>
      </c>
      <c r="AC47">
        <f>SMALL(SimData!$U$9:$U$108,45)</f>
        <v>184.15404722623612</v>
      </c>
      <c r="AD47">
        <f>1/(COUNT(SimData!$U$9:$U$108)-1)+$AD$46</f>
        <v>0.4444444444444447</v>
      </c>
    </row>
    <row r="48" spans="1:30">
      <c r="A48">
        <v>40</v>
      </c>
      <c r="B48">
        <v>74.940634613387289</v>
      </c>
      <c r="C48">
        <v>0.75</v>
      </c>
      <c r="D48">
        <v>120</v>
      </c>
      <c r="E48">
        <v>63.900372659900128</v>
      </c>
      <c r="F48">
        <v>0.85</v>
      </c>
      <c r="G48">
        <v>120</v>
      </c>
      <c r="H48">
        <v>78.380241683156541</v>
      </c>
      <c r="I48">
        <v>0.9</v>
      </c>
      <c r="J48">
        <v>100</v>
      </c>
      <c r="K48">
        <v>67.339979729669366</v>
      </c>
      <c r="L48">
        <v>1</v>
      </c>
      <c r="M48">
        <v>100</v>
      </c>
      <c r="N48">
        <v>357.07236642666351</v>
      </c>
      <c r="O48">
        <v>357.07236642666351</v>
      </c>
      <c r="P48">
        <v>357.07236642666351</v>
      </c>
      <c r="Q48">
        <v>357.07236642666351</v>
      </c>
      <c r="R48">
        <v>145.47570854495396</v>
      </c>
      <c r="S48">
        <v>133.26282082739269</v>
      </c>
      <c r="T48">
        <v>147.15637696861205</v>
      </c>
      <c r="U48">
        <v>134.94348925105078</v>
      </c>
      <c r="W48">
        <f>SMALL(SimData!$R$9:$R$108,46)</f>
        <v>203.3634896376027</v>
      </c>
      <c r="X48">
        <f>1/(COUNT(SimData!$R$9:$R$108)-1)+$X$47</f>
        <v>0.45454545454545481</v>
      </c>
      <c r="Y48">
        <f>SMALL(SimData!$S$9:$S$108,46)</f>
        <v>188.03154313498857</v>
      </c>
      <c r="Z48">
        <f>1/(COUNT(SimData!$S$9:$S$108)-1)+$Z$47</f>
        <v>0.45454545454545481</v>
      </c>
      <c r="AA48">
        <f>SMALL(SimData!$T$9:$T$108,46)</f>
        <v>200.58806512224047</v>
      </c>
      <c r="AB48">
        <f>1/(COUNT(SimData!$T$9:$T$108)-1)+$AB$47</f>
        <v>0.45454545454545481</v>
      </c>
      <c r="AC48">
        <f>SMALL(SimData!$U$9:$U$108,46)</f>
        <v>185.70110909674426</v>
      </c>
      <c r="AD48">
        <f>1/(COUNT(SimData!$U$9:$U$108)-1)+$AD$47</f>
        <v>0.45454545454545481</v>
      </c>
    </row>
    <row r="49" spans="1:30">
      <c r="A49">
        <v>41</v>
      </c>
      <c r="B49">
        <v>292.0223821100243</v>
      </c>
      <c r="C49">
        <v>0.75</v>
      </c>
      <c r="D49">
        <v>120</v>
      </c>
      <c r="E49">
        <v>280.77900312170999</v>
      </c>
      <c r="F49">
        <v>0.85</v>
      </c>
      <c r="G49">
        <v>120</v>
      </c>
      <c r="H49">
        <v>295.15731362755281</v>
      </c>
      <c r="I49">
        <v>0.9</v>
      </c>
      <c r="J49">
        <v>100</v>
      </c>
      <c r="K49">
        <v>283.91393463923851</v>
      </c>
      <c r="L49">
        <v>1</v>
      </c>
      <c r="M49">
        <v>100</v>
      </c>
      <c r="N49">
        <v>655.31445676001476</v>
      </c>
      <c r="O49">
        <v>655.31445676001476</v>
      </c>
      <c r="P49">
        <v>655.31445676001476</v>
      </c>
      <c r="Q49">
        <v>655.31445676001476</v>
      </c>
      <c r="R49">
        <v>420.95674930359797</v>
      </c>
      <c r="S49">
        <v>405.70905497607572</v>
      </c>
      <c r="T49">
        <v>418.08520781231459</v>
      </c>
      <c r="U49">
        <v>402.83751348479234</v>
      </c>
      <c r="W49">
        <f>SMALL(SimData!$R$9:$R$108,47)</f>
        <v>206.47008152622703</v>
      </c>
      <c r="X49">
        <f>1/(COUNT(SimData!$R$9:$R$108)-1)+$X$48</f>
        <v>0.46464646464646492</v>
      </c>
      <c r="Y49">
        <f>SMALL(SimData!$S$9:$S$108,47)</f>
        <v>190.25171751581769</v>
      </c>
      <c r="Z49">
        <f>1/(COUNT(SimData!$S$9:$S$108)-1)+$Z$48</f>
        <v>0.46464646464646492</v>
      </c>
      <c r="AA49">
        <f>SMALL(SimData!$T$9:$T$108,47)</f>
        <v>202.14253551061302</v>
      </c>
      <c r="AB49">
        <f>1/(COUNT(SimData!$T$9:$T$108)-1)+$AB$48</f>
        <v>0.46464646464646492</v>
      </c>
      <c r="AC49">
        <f>SMALL(SimData!$U$9:$U$108,47)</f>
        <v>185.92417150020367</v>
      </c>
      <c r="AD49">
        <f>1/(COUNT(SimData!$U$9:$U$108)-1)+$AD$48</f>
        <v>0.46464646464646492</v>
      </c>
    </row>
    <row r="50" spans="1:30">
      <c r="A50">
        <v>42</v>
      </c>
      <c r="B50">
        <v>17.804627175103406</v>
      </c>
      <c r="C50">
        <v>0.75</v>
      </c>
      <c r="D50">
        <v>120</v>
      </c>
      <c r="E50">
        <v>1.4893319006648653</v>
      </c>
      <c r="F50">
        <v>0.85</v>
      </c>
      <c r="G50">
        <v>120</v>
      </c>
      <c r="H50">
        <v>13.331684263445595</v>
      </c>
      <c r="I50">
        <v>0.9</v>
      </c>
      <c r="J50">
        <v>100</v>
      </c>
      <c r="K50">
        <v>-2.983611010992945</v>
      </c>
      <c r="L50">
        <v>1</v>
      </c>
      <c r="M50">
        <v>100</v>
      </c>
      <c r="N50">
        <v>498.26256076812678</v>
      </c>
      <c r="O50">
        <v>498.26256076812678</v>
      </c>
      <c r="P50">
        <v>498.26256076812678</v>
      </c>
      <c r="Q50">
        <v>498.26256076812678</v>
      </c>
      <c r="R50">
        <v>262.01058102782662</v>
      </c>
      <c r="S50">
        <v>246.51031706245328</v>
      </c>
      <c r="T50">
        <v>258.76018507976659</v>
      </c>
      <c r="U50">
        <v>243.25992111439325</v>
      </c>
      <c r="W50">
        <f>SMALL(SimData!$R$9:$R$108,48)</f>
        <v>213.38358612311103</v>
      </c>
      <c r="X50">
        <f>1/(COUNT(SimData!$R$9:$R$108)-1)+$X$49</f>
        <v>0.47474747474747503</v>
      </c>
      <c r="Y50">
        <f>SMALL(SimData!$S$9:$S$108,48)</f>
        <v>197.223794565275</v>
      </c>
      <c r="Z50">
        <f>1/(COUNT(SimData!$S$9:$S$108)-1)+$Z$49</f>
        <v>0.47474747474747503</v>
      </c>
      <c r="AA50">
        <f>SMALL(SimData!$T$9:$T$108,48)</f>
        <v>208.87427817970718</v>
      </c>
      <c r="AB50">
        <f>1/(COUNT(SimData!$T$9:$T$108)-1)+$AB$49</f>
        <v>0.47474747474747503</v>
      </c>
      <c r="AC50">
        <f>SMALL(SimData!$U$9:$U$108,48)</f>
        <v>192.1752454085715</v>
      </c>
      <c r="AD50">
        <f>1/(COUNT(SimData!$U$9:$U$108)-1)+$AD$49</f>
        <v>0.47474747474747503</v>
      </c>
    </row>
    <row r="51" spans="1:30">
      <c r="A51">
        <v>43</v>
      </c>
      <c r="B51">
        <v>226.14429222296567</v>
      </c>
      <c r="C51">
        <v>0.75</v>
      </c>
      <c r="D51">
        <v>120</v>
      </c>
      <c r="E51">
        <v>211.17972764897354</v>
      </c>
      <c r="F51">
        <v>0.85</v>
      </c>
      <c r="G51">
        <v>120</v>
      </c>
      <c r="H51">
        <v>223.69744536197749</v>
      </c>
      <c r="I51">
        <v>0.9</v>
      </c>
      <c r="J51">
        <v>100</v>
      </c>
      <c r="K51">
        <v>208.73288078798535</v>
      </c>
      <c r="L51">
        <v>1</v>
      </c>
      <c r="M51">
        <v>100</v>
      </c>
      <c r="N51">
        <v>513.4485412674768</v>
      </c>
      <c r="O51">
        <v>513.4485412674768</v>
      </c>
      <c r="P51">
        <v>513.4485412674768</v>
      </c>
      <c r="Q51">
        <v>513.4485412674768</v>
      </c>
      <c r="R51">
        <v>275.36272310997492</v>
      </c>
      <c r="S51">
        <v>259.61794735564138</v>
      </c>
      <c r="T51">
        <v>271.74555947847455</v>
      </c>
      <c r="U51">
        <v>256.000783724141</v>
      </c>
      <c r="W51">
        <f>SMALL(SimData!$R$9:$R$108,49)</f>
        <v>213.68046481475278</v>
      </c>
      <c r="X51">
        <f>1/(COUNT(SimData!$R$9:$R$108)-1)+$X$50</f>
        <v>0.48484848484848514</v>
      </c>
      <c r="Y51">
        <f>SMALL(SimData!$S$9:$S$108,49)</f>
        <v>197.56844296304993</v>
      </c>
      <c r="Z51">
        <f>1/(COUNT(SimData!$S$9:$S$108)-1)+$Z$50</f>
        <v>0.48484848484848514</v>
      </c>
      <c r="AA51">
        <f>SMALL(SimData!$T$9:$T$108,49)</f>
        <v>209.66087138301938</v>
      </c>
      <c r="AB51">
        <f>1/(COUNT(SimData!$T$9:$T$108)-1)+$AB$50</f>
        <v>0.48484848484848514</v>
      </c>
      <c r="AC51">
        <f>SMALL(SimData!$U$9:$U$108,49)</f>
        <v>193.69948445132056</v>
      </c>
      <c r="AD51">
        <f>1/(COUNT(SimData!$U$9:$U$108)-1)+$AD$50</f>
        <v>0.48484848484848514</v>
      </c>
    </row>
    <row r="52" spans="1:30">
      <c r="A52">
        <v>44</v>
      </c>
      <c r="B52">
        <v>70.227350623396205</v>
      </c>
      <c r="C52">
        <v>0.75</v>
      </c>
      <c r="D52">
        <v>120</v>
      </c>
      <c r="E52">
        <v>58.450893537264008</v>
      </c>
      <c r="F52">
        <v>0.85</v>
      </c>
      <c r="G52">
        <v>120</v>
      </c>
      <c r="H52">
        <v>72.562664994197917</v>
      </c>
      <c r="I52">
        <v>0.9</v>
      </c>
      <c r="J52">
        <v>100</v>
      </c>
      <c r="K52">
        <v>60.786207908065734</v>
      </c>
      <c r="L52">
        <v>1</v>
      </c>
      <c r="M52">
        <v>100</v>
      </c>
      <c r="N52">
        <v>482.42681307654925</v>
      </c>
      <c r="O52">
        <v>482.42681307654925</v>
      </c>
      <c r="P52">
        <v>482.42681307654925</v>
      </c>
      <c r="Q52">
        <v>482.42681307654925</v>
      </c>
      <c r="R52">
        <v>224.42656092140152</v>
      </c>
      <c r="S52">
        <v>206.02652730071514</v>
      </c>
      <c r="T52">
        <v>216.82651049037196</v>
      </c>
      <c r="U52">
        <v>198.42647686968559</v>
      </c>
      <c r="W52">
        <f>SMALL(SimData!$R$9:$R$108,50)</f>
        <v>213.92282733641068</v>
      </c>
      <c r="X52">
        <f>1/(COUNT(SimData!$R$9:$R$108)-1)+$X$51</f>
        <v>0.49494949494949525</v>
      </c>
      <c r="Y52">
        <f>SMALL(SimData!$S$9:$S$108,50)</f>
        <v>200.85108325093501</v>
      </c>
      <c r="Z52">
        <f>1/(COUNT(SimData!$S$9:$S$108)-1)+$Z$51</f>
        <v>0.49494949494949525</v>
      </c>
      <c r="AA52">
        <f>SMALL(SimData!$T$9:$T$108,50)</f>
        <v>211.87205443935184</v>
      </c>
      <c r="AB52">
        <f>1/(COUNT(SimData!$T$9:$T$108)-1)+$AB$51</f>
        <v>0.49494949494949525</v>
      </c>
      <c r="AC52">
        <f>SMALL(SimData!$U$9:$U$108,50)</f>
        <v>193.84572822295829</v>
      </c>
      <c r="AD52">
        <f>1/(COUNT(SimData!$U$9:$U$108)-1)+$AD$51</f>
        <v>0.49494949494949525</v>
      </c>
    </row>
    <row r="53" spans="1:30">
      <c r="A53">
        <v>45</v>
      </c>
      <c r="B53">
        <v>230.22576389618666</v>
      </c>
      <c r="C53">
        <v>0.75</v>
      </c>
      <c r="D53">
        <v>120</v>
      </c>
      <c r="E53">
        <v>213.67196059255741</v>
      </c>
      <c r="F53">
        <v>0.85</v>
      </c>
      <c r="G53">
        <v>120</v>
      </c>
      <c r="H53">
        <v>225.39505894074279</v>
      </c>
      <c r="I53">
        <v>0.9</v>
      </c>
      <c r="J53">
        <v>100</v>
      </c>
      <c r="K53">
        <v>208.84125563711353</v>
      </c>
      <c r="L53">
        <v>1</v>
      </c>
      <c r="M53">
        <v>100</v>
      </c>
      <c r="N53">
        <v>475.42518433163332</v>
      </c>
      <c r="O53">
        <v>475.42518433163332</v>
      </c>
      <c r="P53">
        <v>475.42518433163332</v>
      </c>
      <c r="Q53">
        <v>475.42518433163332</v>
      </c>
      <c r="R53">
        <v>219.13090942139874</v>
      </c>
      <c r="S53">
        <v>200.95833943336748</v>
      </c>
      <c r="T53">
        <v>211.87205443935184</v>
      </c>
      <c r="U53">
        <v>193.69948445132056</v>
      </c>
      <c r="W53">
        <f>SMALL(SimData!$R$9:$R$108,51)</f>
        <v>215.52632299418963</v>
      </c>
      <c r="X53">
        <f>1/(COUNT(SimData!$R$9:$R$108)-1)+$X$52</f>
        <v>0.50505050505050531</v>
      </c>
      <c r="Y53">
        <f>SMALL(SimData!$S$9:$S$108,51)</f>
        <v>200.95833943336748</v>
      </c>
      <c r="Z53">
        <f>1/(COUNT(SimData!$S$9:$S$108)-1)+$Z$52</f>
        <v>0.50505050505050531</v>
      </c>
      <c r="AA53">
        <f>SMALL(SimData!$T$9:$T$108,51)</f>
        <v>213.51346337930767</v>
      </c>
      <c r="AB53">
        <f>1/(COUNT(SimData!$T$9:$T$108)-1)+$AB$52</f>
        <v>0.50505050505050531</v>
      </c>
      <c r="AC53">
        <f>SMALL(SimData!$U$9:$U$108,51)</f>
        <v>198.42647686968559</v>
      </c>
      <c r="AD53">
        <f>1/(COUNT(SimData!$U$9:$U$108)-1)+$AD$52</f>
        <v>0.50505050505050531</v>
      </c>
    </row>
    <row r="54" spans="1:30">
      <c r="A54">
        <v>46</v>
      </c>
      <c r="B54">
        <v>196.75483141118218</v>
      </c>
      <c r="C54">
        <v>0.75</v>
      </c>
      <c r="D54">
        <v>120</v>
      </c>
      <c r="E54">
        <v>179.01722872941684</v>
      </c>
      <c r="F54">
        <v>0.85</v>
      </c>
      <c r="G54">
        <v>120</v>
      </c>
      <c r="H54">
        <v>190.14842738853417</v>
      </c>
      <c r="I54">
        <v>0.9</v>
      </c>
      <c r="J54">
        <v>100</v>
      </c>
      <c r="K54">
        <v>172.41082470676886</v>
      </c>
      <c r="L54">
        <v>1</v>
      </c>
      <c r="M54">
        <v>100</v>
      </c>
      <c r="N54">
        <v>515.27379863305055</v>
      </c>
      <c r="O54">
        <v>515.27379863305055</v>
      </c>
      <c r="P54">
        <v>515.27379863305055</v>
      </c>
      <c r="Q54">
        <v>515.27379863305055</v>
      </c>
      <c r="R54">
        <v>256.06542914088413</v>
      </c>
      <c r="S54">
        <v>237.50431320859531</v>
      </c>
      <c r="T54">
        <v>248.22375524245089</v>
      </c>
      <c r="U54">
        <v>229.66263931016204</v>
      </c>
      <c r="W54">
        <f>SMALL(SimData!$R$9:$R$108,52)</f>
        <v>217.04580573388847</v>
      </c>
      <c r="X54">
        <f>1/(COUNT(SimData!$R$9:$R$108)-1)+$X$53</f>
        <v>0.51515151515151536</v>
      </c>
      <c r="Y54">
        <f>SMALL(SimData!$S$9:$S$108,52)</f>
        <v>201.19681883135019</v>
      </c>
      <c r="Z54">
        <f>1/(COUNT(SimData!$S$9:$S$108)-1)+$Z$53</f>
        <v>0.51515151515151536</v>
      </c>
      <c r="AA54">
        <f>SMALL(SimData!$T$9:$T$108,52)</f>
        <v>214.95499583964892</v>
      </c>
      <c r="AB54">
        <f>1/(COUNT(SimData!$T$9:$T$108)-1)+$AB$53</f>
        <v>0.51515151515151536</v>
      </c>
      <c r="AC54">
        <f>SMALL(SimData!$U$9:$U$108,52)</f>
        <v>198.83822363605304</v>
      </c>
      <c r="AD54">
        <f>1/(COUNT(SimData!$U$9:$U$108)-1)+$AD$53</f>
        <v>0.51515151515151536</v>
      </c>
    </row>
    <row r="55" spans="1:30">
      <c r="A55">
        <v>47</v>
      </c>
      <c r="B55">
        <v>161.24626787037539</v>
      </c>
      <c r="C55">
        <v>0.75</v>
      </c>
      <c r="D55">
        <v>120</v>
      </c>
      <c r="E55">
        <v>150.86463793738278</v>
      </c>
      <c r="F55">
        <v>0.85</v>
      </c>
      <c r="G55">
        <v>120</v>
      </c>
      <c r="H55">
        <v>165.67382297088645</v>
      </c>
      <c r="I55">
        <v>0.9</v>
      </c>
      <c r="J55">
        <v>100</v>
      </c>
      <c r="K55">
        <v>155.29219303789381</v>
      </c>
      <c r="L55">
        <v>1</v>
      </c>
      <c r="M55">
        <v>100</v>
      </c>
      <c r="N55">
        <v>575.62935380395879</v>
      </c>
      <c r="O55">
        <v>575.62935380395879</v>
      </c>
      <c r="P55">
        <v>575.62935380395879</v>
      </c>
      <c r="Q55">
        <v>575.62935380395879</v>
      </c>
      <c r="R55">
        <v>335.5582234084419</v>
      </c>
      <c r="S55">
        <v>319.54873935570635</v>
      </c>
      <c r="T55">
        <v>331.54399732933859</v>
      </c>
      <c r="U55">
        <v>315.53451327660298</v>
      </c>
      <c r="W55">
        <f>SMALL(SimData!$R$9:$R$108,53)</f>
        <v>217.57832364462578</v>
      </c>
      <c r="X55">
        <f>1/(COUNT(SimData!$R$9:$R$108)-1)+$X$54</f>
        <v>0.52525252525252542</v>
      </c>
      <c r="Y55">
        <f>SMALL(SimData!$S$9:$S$108,53)</f>
        <v>202.69044825339529</v>
      </c>
      <c r="Z55">
        <f>1/(COUNT(SimData!$S$9:$S$108)-1)+$Z$54</f>
        <v>0.52525252525252542</v>
      </c>
      <c r="AA55">
        <f>SMALL(SimData!$T$9:$T$108,53)</f>
        <v>215.51276951314867</v>
      </c>
      <c r="AB55">
        <f>1/(COUNT(SimData!$T$9:$T$108)-1)+$AB$54</f>
        <v>0.52525252525252542</v>
      </c>
      <c r="AC55">
        <f>SMALL(SimData!$U$9:$U$108,53)</f>
        <v>201.15741203265549</v>
      </c>
      <c r="AD55">
        <f>1/(COUNT(SimData!$U$9:$U$108)-1)+$AD$54</f>
        <v>0.52525252525252542</v>
      </c>
    </row>
    <row r="56" spans="1:30">
      <c r="A56">
        <v>48</v>
      </c>
      <c r="B56">
        <v>193.07576245965751</v>
      </c>
      <c r="C56">
        <v>0.75</v>
      </c>
      <c r="D56">
        <v>120</v>
      </c>
      <c r="E56">
        <v>180.79003106932402</v>
      </c>
      <c r="F56">
        <v>0.85</v>
      </c>
      <c r="G56">
        <v>120</v>
      </c>
      <c r="H56">
        <v>194.64716537415728</v>
      </c>
      <c r="I56">
        <v>0.9</v>
      </c>
      <c r="J56">
        <v>100</v>
      </c>
      <c r="K56">
        <v>182.36143398382382</v>
      </c>
      <c r="L56">
        <v>1</v>
      </c>
      <c r="M56">
        <v>100</v>
      </c>
      <c r="N56">
        <v>503.45369852202793</v>
      </c>
      <c r="O56">
        <v>503.45369852202793</v>
      </c>
      <c r="P56">
        <v>503.45369852202793</v>
      </c>
      <c r="Q56">
        <v>503.45369852202793</v>
      </c>
      <c r="R56">
        <v>274.811811814875</v>
      </c>
      <c r="S56">
        <v>260.32622692058794</v>
      </c>
      <c r="T56">
        <v>273.08343447344441</v>
      </c>
      <c r="U56">
        <v>258.59784957915736</v>
      </c>
      <c r="W56">
        <f>SMALL(SimData!$R$9:$R$108,54)</f>
        <v>219.13090942139874</v>
      </c>
      <c r="X56">
        <f>1/(COUNT(SimData!$R$9:$R$108)-1)+$X$55</f>
        <v>0.53535353535353547</v>
      </c>
      <c r="Y56">
        <f>SMALL(SimData!$S$9:$S$108,54)</f>
        <v>203.56081710480686</v>
      </c>
      <c r="Z56">
        <f>1/(COUNT(SimData!$S$9:$S$108)-1)+$Z$55</f>
        <v>0.53535353535353547</v>
      </c>
      <c r="AA56">
        <f>SMALL(SimData!$T$9:$T$108,54)</f>
        <v>216.55206383489735</v>
      </c>
      <c r="AB56">
        <f>1/(COUNT(SimData!$T$9:$T$108)-1)+$AB$55</f>
        <v>0.53535353535353547</v>
      </c>
      <c r="AC56">
        <f>SMALL(SimData!$U$9:$U$108,54)</f>
        <v>202.47134985624632</v>
      </c>
      <c r="AD56">
        <f>1/(COUNT(SimData!$U$9:$U$108)-1)+$AD$55</f>
        <v>0.53535353535353547</v>
      </c>
    </row>
    <row r="57" spans="1:30">
      <c r="A57">
        <v>49</v>
      </c>
      <c r="B57">
        <v>263.76181478130803</v>
      </c>
      <c r="C57">
        <v>0.75</v>
      </c>
      <c r="D57">
        <v>120</v>
      </c>
      <c r="E57">
        <v>246.06432039028616</v>
      </c>
      <c r="F57">
        <v>0.85</v>
      </c>
      <c r="G57">
        <v>120</v>
      </c>
      <c r="H57">
        <v>257.21557319477517</v>
      </c>
      <c r="I57">
        <v>0.9</v>
      </c>
      <c r="J57">
        <v>100</v>
      </c>
      <c r="K57">
        <v>239.51807880375333</v>
      </c>
      <c r="L57">
        <v>1</v>
      </c>
      <c r="M57">
        <v>100</v>
      </c>
      <c r="N57">
        <v>275.35119430567414</v>
      </c>
      <c r="O57">
        <v>275.35119430567414</v>
      </c>
      <c r="P57">
        <v>275.35119430567414</v>
      </c>
      <c r="Q57">
        <v>275.35119430567414</v>
      </c>
      <c r="R57">
        <v>70.227491740279163</v>
      </c>
      <c r="S57">
        <v>58.877664731559832</v>
      </c>
      <c r="T57">
        <v>73.202751227200167</v>
      </c>
      <c r="U57">
        <v>61.852924218480837</v>
      </c>
      <c r="W57">
        <f>SMALL(SimData!$R$9:$R$108,55)</f>
        <v>222.15513691217279</v>
      </c>
      <c r="X57">
        <f>1/(COUNT(SimData!$R$9:$R$108)-1)+$X$56</f>
        <v>0.54545454545454553</v>
      </c>
      <c r="Y57">
        <f>SMALL(SimData!$S$9:$S$108,55)</f>
        <v>206.02652730071514</v>
      </c>
      <c r="Z57">
        <f>1/(COUNT(SimData!$S$9:$S$108)-1)+$Z$56</f>
        <v>0.54545454545454553</v>
      </c>
      <c r="AA57">
        <f>SMALL(SimData!$T$9:$T$108,55)</f>
        <v>216.82651049037196</v>
      </c>
      <c r="AB57">
        <f>1/(COUNT(SimData!$T$9:$T$108)-1)+$AB$56</f>
        <v>0.54545454545454553</v>
      </c>
      <c r="AC57">
        <f>SMALL(SimData!$U$9:$U$108,55)</f>
        <v>202.53455729507843</v>
      </c>
      <c r="AD57">
        <f>1/(COUNT(SimData!$U$9:$U$108)-1)+$AD$56</f>
        <v>0.54545454545454553</v>
      </c>
    </row>
    <row r="58" spans="1:30">
      <c r="A58">
        <v>50</v>
      </c>
      <c r="B58">
        <v>112.44162902120969</v>
      </c>
      <c r="C58">
        <v>0.75</v>
      </c>
      <c r="D58">
        <v>120</v>
      </c>
      <c r="E58">
        <v>97.231799921427552</v>
      </c>
      <c r="F58">
        <v>0.85</v>
      </c>
      <c r="G58">
        <v>120</v>
      </c>
      <c r="H58">
        <v>109.62688537153647</v>
      </c>
      <c r="I58">
        <v>0.9</v>
      </c>
      <c r="J58">
        <v>100</v>
      </c>
      <c r="K58">
        <v>94.417056271754348</v>
      </c>
      <c r="L58">
        <v>1</v>
      </c>
      <c r="M58">
        <v>100</v>
      </c>
      <c r="N58">
        <v>410.02381815263476</v>
      </c>
      <c r="O58">
        <v>410.02381815263476</v>
      </c>
      <c r="P58">
        <v>410.02381815263476</v>
      </c>
      <c r="Q58">
        <v>410.02381815263476</v>
      </c>
      <c r="R58">
        <v>174.33917138823853</v>
      </c>
      <c r="S58">
        <v>158.91455181965236</v>
      </c>
      <c r="T58">
        <v>171.20224203535926</v>
      </c>
      <c r="U58">
        <v>155.7776224667731</v>
      </c>
      <c r="W58">
        <f>SMALL(SimData!$R$9:$R$108,56)</f>
        <v>224.42656092140152</v>
      </c>
      <c r="X58">
        <f>1/(COUNT(SimData!$R$9:$R$108)-1)+$X$57</f>
        <v>0.55555555555555558</v>
      </c>
      <c r="Y58">
        <f>SMALL(SimData!$S$9:$S$108,56)</f>
        <v>207.17298576504169</v>
      </c>
      <c r="Z58">
        <f>1/(COUNT(SimData!$S$9:$S$108)-1)+$Z$57</f>
        <v>0.55555555555555558</v>
      </c>
      <c r="AA58">
        <f>SMALL(SimData!$T$9:$T$108,56)</f>
        <v>219.68191019147611</v>
      </c>
      <c r="AB58">
        <f>1/(COUNT(SimData!$T$9:$T$108)-1)+$AB$57</f>
        <v>0.55555555555555558</v>
      </c>
      <c r="AC58">
        <f>SMALL(SimData!$U$9:$U$108,56)</f>
        <v>204.699759044345</v>
      </c>
      <c r="AD58">
        <f>1/(COUNT(SimData!$U$9:$U$108)-1)+$AD$57</f>
        <v>0.55555555555555558</v>
      </c>
    </row>
    <row r="59" spans="1:30">
      <c r="A59">
        <v>51</v>
      </c>
      <c r="B59">
        <v>212.64167940061338</v>
      </c>
      <c r="C59">
        <v>0.75</v>
      </c>
      <c r="D59">
        <v>120</v>
      </c>
      <c r="E59">
        <v>199.86571240122208</v>
      </c>
      <c r="F59">
        <v>0.85</v>
      </c>
      <c r="G59">
        <v>120</v>
      </c>
      <c r="H59">
        <v>213.4777289015264</v>
      </c>
      <c r="I59">
        <v>0.9</v>
      </c>
      <c r="J59">
        <v>100</v>
      </c>
      <c r="K59">
        <v>200.7017619021351</v>
      </c>
      <c r="L59">
        <v>1</v>
      </c>
      <c r="M59">
        <v>100</v>
      </c>
      <c r="N59">
        <v>540.48417597329342</v>
      </c>
      <c r="O59">
        <v>540.48417597329342</v>
      </c>
      <c r="P59">
        <v>540.48417597329342</v>
      </c>
      <c r="Q59">
        <v>540.48417597329342</v>
      </c>
      <c r="R59">
        <v>305.84476672138237</v>
      </c>
      <c r="S59">
        <v>290.55951215446095</v>
      </c>
      <c r="T59">
        <v>302.91688487100021</v>
      </c>
      <c r="U59">
        <v>287.63163030407873</v>
      </c>
      <c r="W59">
        <f>SMALL(SimData!$R$9:$R$108,57)</f>
        <v>227.03092787014697</v>
      </c>
      <c r="X59">
        <f>1/(COUNT(SimData!$R$9:$R$108)-1)+$X$58</f>
        <v>0.56565656565656564</v>
      </c>
      <c r="Y59">
        <f>SMALL(SimData!$S$9:$S$108,57)</f>
        <v>212.48719173144372</v>
      </c>
      <c r="Z59">
        <f>1/(COUNT(SimData!$S$9:$S$108)-1)+$Z$58</f>
        <v>0.56565656565656564</v>
      </c>
      <c r="AA59">
        <f>SMALL(SimData!$T$9:$T$108,57)</f>
        <v>225.21532366209212</v>
      </c>
      <c r="AB59">
        <f>1/(COUNT(SimData!$T$9:$T$108)-1)+$AB$58</f>
        <v>0.56565656565656564</v>
      </c>
      <c r="AC59">
        <f>SMALL(SimData!$U$9:$U$108,57)</f>
        <v>210.57255277105384</v>
      </c>
      <c r="AD59">
        <f>1/(COUNT(SimData!$U$9:$U$108)-1)+$AD$58</f>
        <v>0.56565656565656564</v>
      </c>
    </row>
    <row r="60" spans="1:30">
      <c r="A60">
        <v>52</v>
      </c>
      <c r="B60">
        <v>281.56354183109568</v>
      </c>
      <c r="C60">
        <v>0.75</v>
      </c>
      <c r="D60">
        <v>120</v>
      </c>
      <c r="E60">
        <v>263.2086036035563</v>
      </c>
      <c r="F60">
        <v>0.85</v>
      </c>
      <c r="G60">
        <v>120</v>
      </c>
      <c r="H60">
        <v>274.03113448978667</v>
      </c>
      <c r="I60">
        <v>0.9</v>
      </c>
      <c r="J60">
        <v>100</v>
      </c>
      <c r="K60">
        <v>255.67619626224732</v>
      </c>
      <c r="L60">
        <v>1</v>
      </c>
      <c r="M60">
        <v>100</v>
      </c>
      <c r="N60">
        <v>518.18244014432253</v>
      </c>
      <c r="O60">
        <v>518.18244014432253</v>
      </c>
      <c r="P60">
        <v>518.18244014432253</v>
      </c>
      <c r="Q60">
        <v>518.18244014432253</v>
      </c>
      <c r="R60">
        <v>277.91217212087236</v>
      </c>
      <c r="S60">
        <v>261.87613638441235</v>
      </c>
      <c r="T60">
        <v>273.85811851618229</v>
      </c>
      <c r="U60">
        <v>257.82208277972228</v>
      </c>
      <c r="W60">
        <f>SMALL(SimData!$R$9:$R$108,58)</f>
        <v>231.90128155534563</v>
      </c>
      <c r="X60">
        <f>1/(COUNT(SimData!$R$9:$R$108)-1)+$X$59</f>
        <v>0.57575757575757569</v>
      </c>
      <c r="Y60">
        <f>SMALL(SimData!$S$9:$S$108,58)</f>
        <v>216.1613181015301</v>
      </c>
      <c r="Z60">
        <f>1/(COUNT(SimData!$S$9:$S$108)-1)+$Z$59</f>
        <v>0.57575757575757569</v>
      </c>
      <c r="AA60">
        <f>SMALL(SimData!$T$9:$T$108,58)</f>
        <v>227.63172965803801</v>
      </c>
      <c r="AB60">
        <f>1/(COUNT(SimData!$T$9:$T$108)-1)+$AB$59</f>
        <v>0.57575757575757569</v>
      </c>
      <c r="AC60">
        <f>SMALL(SimData!$U$9:$U$108,58)</f>
        <v>210.67158752338887</v>
      </c>
      <c r="AD60">
        <f>1/(COUNT(SimData!$U$9:$U$108)-1)+$AD$59</f>
        <v>0.57575757575757569</v>
      </c>
    </row>
    <row r="61" spans="1:30">
      <c r="A61">
        <v>53</v>
      </c>
      <c r="B61">
        <v>135.26231854466008</v>
      </c>
      <c r="C61">
        <v>0.75</v>
      </c>
      <c r="D61">
        <v>120</v>
      </c>
      <c r="E61">
        <v>123.56734194982846</v>
      </c>
      <c r="F61">
        <v>0.85</v>
      </c>
      <c r="G61">
        <v>120</v>
      </c>
      <c r="H61">
        <v>137.71985365241267</v>
      </c>
      <c r="I61">
        <v>0.9</v>
      </c>
      <c r="J61">
        <v>100</v>
      </c>
      <c r="K61">
        <v>126.02487705758105</v>
      </c>
      <c r="L61">
        <v>1</v>
      </c>
      <c r="M61">
        <v>100</v>
      </c>
      <c r="N61">
        <v>558.0681015680874</v>
      </c>
      <c r="O61">
        <v>558.0681015680874</v>
      </c>
      <c r="P61">
        <v>558.0681015680874</v>
      </c>
      <c r="Q61">
        <v>558.0681015680874</v>
      </c>
      <c r="R61">
        <v>308.99949266156551</v>
      </c>
      <c r="S61">
        <v>291.7903448073626</v>
      </c>
      <c r="T61">
        <v>303.18577088026109</v>
      </c>
      <c r="U61">
        <v>285.97662302605818</v>
      </c>
      <c r="W61">
        <f>SMALL(SimData!$R$9:$R$108,59)</f>
        <v>233.22049498851425</v>
      </c>
      <c r="X61">
        <f>1/(COUNT(SimData!$R$9:$R$108)-1)+$X$60</f>
        <v>0.58585858585858575</v>
      </c>
      <c r="Y61">
        <f>SMALL(SimData!$S$9:$S$108,59)</f>
        <v>218.66989633392214</v>
      </c>
      <c r="Z61">
        <f>1/(COUNT(SimData!$S$9:$S$108)-1)+$Z$60</f>
        <v>0.58585858585858575</v>
      </c>
      <c r="AA61">
        <f>SMALL(SimData!$T$9:$T$108,59)</f>
        <v>231.0461127486893</v>
      </c>
      <c r="AB61">
        <f>1/(COUNT(SimData!$T$9:$T$108)-1)+$AB$60</f>
        <v>0.58585858585858575</v>
      </c>
      <c r="AC61">
        <f>SMALL(SimData!$U$9:$U$108,59)</f>
        <v>214.54069327799118</v>
      </c>
      <c r="AD61">
        <f>1/(COUNT(SimData!$U$9:$U$108)-1)+$AD$60</f>
        <v>0.58585858585858575</v>
      </c>
    </row>
    <row r="62" spans="1:30">
      <c r="A62">
        <v>54</v>
      </c>
      <c r="B62">
        <v>231.27320476791698</v>
      </c>
      <c r="C62">
        <v>0.75</v>
      </c>
      <c r="D62">
        <v>120</v>
      </c>
      <c r="E62">
        <v>213.11751561346748</v>
      </c>
      <c r="F62">
        <v>0.85</v>
      </c>
      <c r="G62">
        <v>120</v>
      </c>
      <c r="H62">
        <v>224.03967103624274</v>
      </c>
      <c r="I62">
        <v>0.9</v>
      </c>
      <c r="J62">
        <v>100</v>
      </c>
      <c r="K62">
        <v>205.88398188179323</v>
      </c>
      <c r="L62">
        <v>1</v>
      </c>
      <c r="M62">
        <v>100</v>
      </c>
      <c r="N62">
        <v>418.16566363211228</v>
      </c>
      <c r="O62">
        <v>418.16566363211228</v>
      </c>
      <c r="P62">
        <v>418.16566363211228</v>
      </c>
      <c r="Q62">
        <v>418.16566363211228</v>
      </c>
      <c r="R62">
        <v>197.65695132770514</v>
      </c>
      <c r="S62">
        <v>184.25578968711756</v>
      </c>
      <c r="T62">
        <v>197.55520886682373</v>
      </c>
      <c r="U62">
        <v>184.15404722623612</v>
      </c>
      <c r="W62">
        <f>SMALL(SimData!$R$9:$R$108,60)</f>
        <v>235.80424195473648</v>
      </c>
      <c r="X62">
        <f>1/(COUNT(SimData!$R$9:$R$108)-1)+$X$61</f>
        <v>0.5959595959595958</v>
      </c>
      <c r="Y62">
        <f>SMALL(SimData!$S$9:$S$108,60)</f>
        <v>219.29882248403837</v>
      </c>
      <c r="Z62">
        <f>1/(COUNT(SimData!$S$9:$S$108)-1)+$Z$61</f>
        <v>0.5959595959595958</v>
      </c>
      <c r="AA62">
        <f>SMALL(SimData!$T$9:$T$108,60)</f>
        <v>232.05420372321038</v>
      </c>
      <c r="AB62">
        <f>1/(COUNT(SimData!$T$9:$T$108)-1)+$AB$61</f>
        <v>0.5959595959595958</v>
      </c>
      <c r="AC62">
        <f>SMALL(SimData!$U$9:$U$108,60)</f>
        <v>218.69954417486224</v>
      </c>
      <c r="AD62">
        <f>1/(COUNT(SimData!$U$9:$U$108)-1)+$AD$61</f>
        <v>0.5959595959595958</v>
      </c>
    </row>
    <row r="63" spans="1:30">
      <c r="A63">
        <v>55</v>
      </c>
      <c r="B63">
        <v>131.51234247873597</v>
      </c>
      <c r="C63">
        <v>0.75</v>
      </c>
      <c r="D63">
        <v>120</v>
      </c>
      <c r="E63">
        <v>115.51290587345363</v>
      </c>
      <c r="F63">
        <v>0.85</v>
      </c>
      <c r="G63">
        <v>120</v>
      </c>
      <c r="H63">
        <v>127.51318757081248</v>
      </c>
      <c r="I63">
        <v>0.9</v>
      </c>
      <c r="J63">
        <v>100</v>
      </c>
      <c r="K63">
        <v>111.51375096553014</v>
      </c>
      <c r="L63">
        <v>1</v>
      </c>
      <c r="M63">
        <v>100</v>
      </c>
      <c r="N63">
        <v>456.1089489104213</v>
      </c>
      <c r="O63">
        <v>456.1089489104213</v>
      </c>
      <c r="P63">
        <v>456.1089489104213</v>
      </c>
      <c r="Q63">
        <v>456.1089489104213</v>
      </c>
      <c r="R63">
        <v>227.03092787014697</v>
      </c>
      <c r="S63">
        <v>212.48719173144372</v>
      </c>
      <c r="T63">
        <v>225.21532366209212</v>
      </c>
      <c r="U63">
        <v>210.67158752338887</v>
      </c>
      <c r="W63">
        <f>SMALL(SimData!$R$9:$R$108,61)</f>
        <v>242.4618290804288</v>
      </c>
      <c r="X63">
        <f>1/(COUNT(SimData!$R$9:$R$108)-1)+$X$62</f>
        <v>0.60606060606060586</v>
      </c>
      <c r="Y63">
        <f>SMALL(SimData!$S$9:$S$108,61)</f>
        <v>225.26367503926275</v>
      </c>
      <c r="Z63">
        <f>1/(COUNT(SimData!$S$9:$S$108)-1)+$Z$62</f>
        <v>0.60606060606060586</v>
      </c>
      <c r="AA63">
        <f>SMALL(SimData!$T$9:$T$108,61)</f>
        <v>236.40896475112925</v>
      </c>
      <c r="AB63">
        <f>1/(COUNT(SimData!$T$9:$T$108)-1)+$AB$62</f>
        <v>0.60606060606060586</v>
      </c>
      <c r="AC63">
        <f>SMALL(SimData!$U$9:$U$108,61)</f>
        <v>218.82281850178686</v>
      </c>
      <c r="AD63">
        <f>1/(COUNT(SimData!$U$9:$U$108)-1)+$AD$62</f>
        <v>0.60606060606060586</v>
      </c>
    </row>
    <row r="64" spans="1:30">
      <c r="A64">
        <v>56</v>
      </c>
      <c r="B64">
        <v>356.5571671523071</v>
      </c>
      <c r="C64">
        <v>0.75</v>
      </c>
      <c r="D64">
        <v>120</v>
      </c>
      <c r="E64">
        <v>338.96060352827408</v>
      </c>
      <c r="F64">
        <v>0.85</v>
      </c>
      <c r="G64">
        <v>120</v>
      </c>
      <c r="H64">
        <v>350.16232171625757</v>
      </c>
      <c r="I64">
        <v>0.9</v>
      </c>
      <c r="J64">
        <v>100</v>
      </c>
      <c r="K64">
        <v>332.56575809222454</v>
      </c>
      <c r="L64">
        <v>1</v>
      </c>
      <c r="M64">
        <v>100</v>
      </c>
      <c r="N64">
        <v>313.77902787192284</v>
      </c>
      <c r="O64">
        <v>313.77902787192284</v>
      </c>
      <c r="P64">
        <v>313.77902787192284</v>
      </c>
      <c r="Q64">
        <v>313.77902787192284</v>
      </c>
      <c r="R64">
        <v>98.702104473658963</v>
      </c>
      <c r="S64">
        <v>86.02518135389046</v>
      </c>
      <c r="T64">
        <v>99.686719794006194</v>
      </c>
      <c r="U64">
        <v>87.009796674237677</v>
      </c>
      <c r="W64">
        <f>SMALL(SimData!$R$9:$R$108,62)</f>
        <v>242.97309561552976</v>
      </c>
      <c r="X64">
        <f>1/(COUNT(SimData!$R$9:$R$108)-1)+$X$63</f>
        <v>0.61616161616161591</v>
      </c>
      <c r="Y64">
        <f>SMALL(SimData!$S$9:$S$108,62)</f>
        <v>226.93854316866441</v>
      </c>
      <c r="Z64">
        <f>1/(COUNT(SimData!$S$9:$S$108)-1)+$Z$63</f>
        <v>0.61616161616161591</v>
      </c>
      <c r="AA64">
        <f>SMALL(SimData!$T$9:$T$108,62)</f>
        <v>239.17690021278221</v>
      </c>
      <c r="AB64">
        <f>1/(COUNT(SimData!$T$9:$T$108)-1)+$AB$63</f>
        <v>0.61616161616161591</v>
      </c>
      <c r="AC64">
        <f>SMALL(SimData!$U$9:$U$108,62)</f>
        <v>223.65361430101785</v>
      </c>
      <c r="AD64">
        <f>1/(COUNT(SimData!$U$9:$U$108)-1)+$AD$63</f>
        <v>0.61616161616161591</v>
      </c>
    </row>
    <row r="65" spans="1:30">
      <c r="A65">
        <v>57</v>
      </c>
      <c r="B65">
        <v>310.36724505009261</v>
      </c>
      <c r="C65">
        <v>0.75</v>
      </c>
      <c r="D65">
        <v>120</v>
      </c>
      <c r="E65">
        <v>294.68502087405363</v>
      </c>
      <c r="F65">
        <v>0.85</v>
      </c>
      <c r="G65">
        <v>120</v>
      </c>
      <c r="H65">
        <v>306.84390878603415</v>
      </c>
      <c r="I65">
        <v>0.9</v>
      </c>
      <c r="J65">
        <v>100</v>
      </c>
      <c r="K65">
        <v>291.16168460999518</v>
      </c>
      <c r="L65">
        <v>1</v>
      </c>
      <c r="M65">
        <v>100</v>
      </c>
      <c r="N65">
        <v>624.32373638086585</v>
      </c>
      <c r="O65">
        <v>624.32373638086585</v>
      </c>
      <c r="P65">
        <v>624.32373638086585</v>
      </c>
      <c r="Q65">
        <v>624.32373638086585</v>
      </c>
      <c r="R65">
        <v>377.6914328684345</v>
      </c>
      <c r="S65">
        <v>360.80712573344363</v>
      </c>
      <c r="T65">
        <v>372.36497216594825</v>
      </c>
      <c r="U65">
        <v>355.48066503095743</v>
      </c>
      <c r="W65">
        <f>SMALL(SimData!$R$9:$R$108,63)</f>
        <v>245.61598625434465</v>
      </c>
      <c r="X65">
        <f>1/(COUNT(SimData!$R$9:$R$108)-1)+$X$64</f>
        <v>0.62626262626262597</v>
      </c>
      <c r="Y65">
        <f>SMALL(SimData!$S$9:$S$108,63)</f>
        <v>231.67000075039499</v>
      </c>
      <c r="Z65">
        <f>1/(COUNT(SimData!$S$9:$S$108)-1)+$Z$64</f>
        <v>0.62626262626262597</v>
      </c>
      <c r="AA65">
        <f>SMALL(SimData!$T$9:$T$108,63)</f>
        <v>244.69700799842013</v>
      </c>
      <c r="AB65">
        <f>1/(COUNT(SimData!$T$9:$T$108)-1)+$AB$64</f>
        <v>0.62626262626262597</v>
      </c>
      <c r="AC65">
        <f>SMALL(SimData!$U$9:$U$108,63)</f>
        <v>229.66263931016204</v>
      </c>
      <c r="AD65">
        <f>1/(COUNT(SimData!$U$9:$U$108)-1)+$AD$64</f>
        <v>0.62626262626262597</v>
      </c>
    </row>
    <row r="66" spans="1:30">
      <c r="A66">
        <v>58</v>
      </c>
      <c r="B66">
        <v>321.11032661541219</v>
      </c>
      <c r="C66">
        <v>0.75</v>
      </c>
      <c r="D66">
        <v>120</v>
      </c>
      <c r="E66">
        <v>303.33695811644077</v>
      </c>
      <c r="F66">
        <v>0.85</v>
      </c>
      <c r="G66">
        <v>120</v>
      </c>
      <c r="H66">
        <v>314.450273866955</v>
      </c>
      <c r="I66">
        <v>0.9</v>
      </c>
      <c r="J66">
        <v>100</v>
      </c>
      <c r="K66">
        <v>296.67690536798352</v>
      </c>
      <c r="L66">
        <v>1</v>
      </c>
      <c r="M66">
        <v>100</v>
      </c>
      <c r="N66">
        <v>263.9976338231898</v>
      </c>
      <c r="O66">
        <v>263.9976338231898</v>
      </c>
      <c r="P66">
        <v>263.9976338231898</v>
      </c>
      <c r="Q66">
        <v>263.9976338231898</v>
      </c>
      <c r="R66">
        <v>65.887058831385986</v>
      </c>
      <c r="S66">
        <v>55.472315499145481</v>
      </c>
      <c r="T66">
        <v>70.264943833025214</v>
      </c>
      <c r="U66">
        <v>59.850200500784709</v>
      </c>
      <c r="W66">
        <f>SMALL(SimData!$R$9:$R$108,64)</f>
        <v>248.89705949912272</v>
      </c>
      <c r="X66">
        <f>1/(COUNT(SimData!$R$9:$R$108)-1)+$X$65</f>
        <v>0.63636363636363602</v>
      </c>
      <c r="Y66">
        <f>SMALL(SimData!$S$9:$S$108,64)</f>
        <v>233.89223711628068</v>
      </c>
      <c r="Z66">
        <f>1/(COUNT(SimData!$S$9:$S$108)-1)+$Z$65</f>
        <v>0.63636363636363602</v>
      </c>
      <c r="AA66">
        <f>SMALL(SimData!$T$9:$T$108,64)</f>
        <v>246.38982592485965</v>
      </c>
      <c r="AB66">
        <f>1/(COUNT(SimData!$T$9:$T$108)-1)+$AB$65</f>
        <v>0.63636363636363602</v>
      </c>
      <c r="AC66">
        <f>SMALL(SimData!$U$9:$U$108,64)</f>
        <v>230.75102249447048</v>
      </c>
      <c r="AD66">
        <f>1/(COUNT(SimData!$U$9:$U$108)-1)+$AD$65</f>
        <v>0.63636363636363602</v>
      </c>
    </row>
    <row r="67" spans="1:30">
      <c r="A67">
        <v>59</v>
      </c>
      <c r="B67">
        <v>161.14726703156572</v>
      </c>
      <c r="C67">
        <v>0.75</v>
      </c>
      <c r="D67">
        <v>120</v>
      </c>
      <c r="E67">
        <v>150.61960722991716</v>
      </c>
      <c r="F67">
        <v>0.85</v>
      </c>
      <c r="G67">
        <v>120</v>
      </c>
      <c r="H67">
        <v>165.35577732909292</v>
      </c>
      <c r="I67">
        <v>0.9</v>
      </c>
      <c r="J67">
        <v>100</v>
      </c>
      <c r="K67">
        <v>154.82811752744436</v>
      </c>
      <c r="L67">
        <v>1</v>
      </c>
      <c r="M67">
        <v>100</v>
      </c>
      <c r="N67">
        <v>379.26377805808721</v>
      </c>
      <c r="O67">
        <v>379.26377805808721</v>
      </c>
      <c r="P67">
        <v>379.26377805808721</v>
      </c>
      <c r="Q67">
        <v>379.26377805808721</v>
      </c>
      <c r="R67">
        <v>159.36389697336841</v>
      </c>
      <c r="S67">
        <v>146.04391282873922</v>
      </c>
      <c r="T67">
        <v>159.38392075642463</v>
      </c>
      <c r="U67">
        <v>146.06393661179547</v>
      </c>
      <c r="W67">
        <f>SMALL(SimData!$R$9:$R$108,65)</f>
        <v>250.58280861025469</v>
      </c>
      <c r="X67">
        <f>1/(COUNT(SimData!$R$9:$R$108)-1)+$X$66</f>
        <v>0.64646464646464608</v>
      </c>
      <c r="Y67">
        <f>SMALL(SimData!$S$9:$S$108,65)</f>
        <v>237.50431320859531</v>
      </c>
      <c r="Z67">
        <f>1/(COUNT(SimData!$S$9:$S$108)-1)+$Z$66</f>
        <v>0.64646464646464608</v>
      </c>
      <c r="AA67">
        <f>SMALL(SimData!$T$9:$T$108,65)</f>
        <v>248.22375524245089</v>
      </c>
      <c r="AB67">
        <f>1/(COUNT(SimData!$T$9:$T$108)-1)+$AB$66</f>
        <v>0.64646464646464608</v>
      </c>
      <c r="AC67">
        <f>SMALL(SimData!$U$9:$U$108,65)</f>
        <v>231.38500354201761</v>
      </c>
      <c r="AD67">
        <f>1/(COUNT(SimData!$U$9:$U$108)-1)+$AD$66</f>
        <v>0.64646464646464608</v>
      </c>
    </row>
    <row r="68" spans="1:30">
      <c r="A68">
        <v>60</v>
      </c>
      <c r="B68">
        <v>228.05584423578944</v>
      </c>
      <c r="C68">
        <v>0.75</v>
      </c>
      <c r="D68">
        <v>120</v>
      </c>
      <c r="E68">
        <v>211.90544827230028</v>
      </c>
      <c r="F68">
        <v>0.85</v>
      </c>
      <c r="G68">
        <v>120</v>
      </c>
      <c r="H68">
        <v>223.83025029055568</v>
      </c>
      <c r="I68">
        <v>0.9</v>
      </c>
      <c r="J68">
        <v>100</v>
      </c>
      <c r="K68">
        <v>207.67985432706652</v>
      </c>
      <c r="L68">
        <v>1</v>
      </c>
      <c r="M68">
        <v>100</v>
      </c>
      <c r="N68">
        <v>621.34027812088425</v>
      </c>
      <c r="O68">
        <v>621.34027812088425</v>
      </c>
      <c r="P68">
        <v>621.34027812088425</v>
      </c>
      <c r="Q68">
        <v>621.34027812088425</v>
      </c>
      <c r="R68">
        <v>358.62083498639265</v>
      </c>
      <c r="S68">
        <v>339.59157590179376</v>
      </c>
      <c r="T68">
        <v>350.07694635949429</v>
      </c>
      <c r="U68">
        <v>331.04768727489545</v>
      </c>
      <c r="W68">
        <f>SMALL(SimData!$R$9:$R$108,66)</f>
        <v>256.06542914088413</v>
      </c>
      <c r="X68">
        <f>1/(COUNT(SimData!$R$9:$R$108)-1)+$X$67</f>
        <v>0.65656565656565613</v>
      </c>
      <c r="Y68">
        <f>SMALL(SimData!$S$9:$S$108,66)</f>
        <v>239.01738020258267</v>
      </c>
      <c r="Z68">
        <f>1/(COUNT(SimData!$S$9:$S$108)-1)+$Z$67</f>
        <v>0.65656565656565613</v>
      </c>
      <c r="AA68">
        <f>SMALL(SimData!$T$9:$T$108,66)</f>
        <v>253.23466599874664</v>
      </c>
      <c r="AB68">
        <f>1/(COUNT(SimData!$T$9:$T$108)-1)+$AB$67</f>
        <v>0.65656565656565613</v>
      </c>
      <c r="AC68">
        <f>SMALL(SimData!$U$9:$U$108,66)</f>
        <v>238.25155413056646</v>
      </c>
      <c r="AD68">
        <f>1/(COUNT(SimData!$U$9:$U$108)-1)+$AD$67</f>
        <v>0.65656565656565613</v>
      </c>
    </row>
    <row r="69" spans="1:30">
      <c r="A69">
        <v>61</v>
      </c>
      <c r="B69">
        <v>195.64868225514229</v>
      </c>
      <c r="C69">
        <v>0.75</v>
      </c>
      <c r="D69">
        <v>120</v>
      </c>
      <c r="E69">
        <v>182.39844441324033</v>
      </c>
      <c r="F69">
        <v>0.85</v>
      </c>
      <c r="G69">
        <v>120</v>
      </c>
      <c r="H69">
        <v>195.77332549228936</v>
      </c>
      <c r="I69">
        <v>0.9</v>
      </c>
      <c r="J69">
        <v>100</v>
      </c>
      <c r="K69">
        <v>182.5230876503874</v>
      </c>
      <c r="L69">
        <v>1</v>
      </c>
      <c r="M69">
        <v>100</v>
      </c>
      <c r="N69">
        <v>427.30780969027211</v>
      </c>
      <c r="O69">
        <v>427.30780969027211</v>
      </c>
      <c r="P69">
        <v>427.30780969027211</v>
      </c>
      <c r="Q69">
        <v>427.30780969027211</v>
      </c>
      <c r="R69">
        <v>213.68046481475278</v>
      </c>
      <c r="S69">
        <v>201.19681883135019</v>
      </c>
      <c r="T69">
        <v>214.95499583964892</v>
      </c>
      <c r="U69">
        <v>202.47134985624632</v>
      </c>
      <c r="W69">
        <f>SMALL(SimData!$R$9:$R$108,67)</f>
        <v>259.07305540219681</v>
      </c>
      <c r="X69">
        <f>1/(COUNT(SimData!$R$9:$R$108)-1)+$X$68</f>
        <v>0.66666666666666619</v>
      </c>
      <c r="Y69">
        <f>SMALL(SimData!$S$9:$S$108,67)</f>
        <v>242.74445489354468</v>
      </c>
      <c r="Z69">
        <f>1/(COUNT(SimData!$S$9:$S$108)-1)+$Z$68</f>
        <v>0.66666666666666619</v>
      </c>
      <c r="AA69">
        <f>SMALL(SimData!$T$9:$T$108,67)</f>
        <v>254.58015463921859</v>
      </c>
      <c r="AB69">
        <f>1/(COUNT(SimData!$T$9:$T$108)-1)+$AB$68</f>
        <v>0.66666666666666619</v>
      </c>
      <c r="AC69">
        <f>SMALL(SimData!$U$9:$U$108,67)</f>
        <v>241.66923759107459</v>
      </c>
      <c r="AD69">
        <f>1/(COUNT(SimData!$U$9:$U$108)-1)+$AD$68</f>
        <v>0.66666666666666619</v>
      </c>
    </row>
    <row r="70" spans="1:30">
      <c r="A70">
        <v>62</v>
      </c>
      <c r="B70">
        <v>179.98224869552124</v>
      </c>
      <c r="C70">
        <v>0.75</v>
      </c>
      <c r="D70">
        <v>120</v>
      </c>
      <c r="E70">
        <v>166.59894697863956</v>
      </c>
      <c r="F70">
        <v>0.85</v>
      </c>
      <c r="G70">
        <v>120</v>
      </c>
      <c r="H70">
        <v>179.90729612019868</v>
      </c>
      <c r="I70">
        <v>0.9</v>
      </c>
      <c r="J70">
        <v>100</v>
      </c>
      <c r="K70">
        <v>166.523994403317</v>
      </c>
      <c r="L70">
        <v>1</v>
      </c>
      <c r="M70">
        <v>100</v>
      </c>
      <c r="N70">
        <v>405.75194727467118</v>
      </c>
      <c r="O70">
        <v>405.75194727467118</v>
      </c>
      <c r="P70">
        <v>405.75194727467118</v>
      </c>
      <c r="Q70">
        <v>405.75194727467118</v>
      </c>
      <c r="R70">
        <v>170.48407867271683</v>
      </c>
      <c r="S70">
        <v>155.11502952578959</v>
      </c>
      <c r="T70">
        <v>167.43050495232595</v>
      </c>
      <c r="U70">
        <v>152.06145580539871</v>
      </c>
      <c r="W70">
        <f>SMALL(SimData!$R$9:$R$108,68)</f>
        <v>262.01058102782662</v>
      </c>
      <c r="X70">
        <f>1/(COUNT(SimData!$R$9:$R$108)-1)+$X$69</f>
        <v>0.67676767676767624</v>
      </c>
      <c r="Y70">
        <f>SMALL(SimData!$S$9:$S$108,68)</f>
        <v>246.51031706245328</v>
      </c>
      <c r="Z70">
        <f>1/(COUNT(SimData!$S$9:$S$108)-1)+$Z$69</f>
        <v>0.67676767676767624</v>
      </c>
      <c r="AA70">
        <f>SMALL(SimData!$T$9:$T$108,68)</f>
        <v>258.76018507976659</v>
      </c>
      <c r="AB70">
        <f>1/(COUNT(SimData!$T$9:$T$108)-1)+$AB$69</f>
        <v>0.67676767676767624</v>
      </c>
      <c r="AC70">
        <f>SMALL(SimData!$U$9:$U$108,68)</f>
        <v>243.25992111439325</v>
      </c>
      <c r="AD70">
        <f>1/(COUNT(SimData!$U$9:$U$108)-1)+$AD$69</f>
        <v>0.67676767676767624</v>
      </c>
    </row>
    <row r="71" spans="1:30">
      <c r="A71">
        <v>63</v>
      </c>
      <c r="B71">
        <v>280.38151772967342</v>
      </c>
      <c r="C71">
        <v>0.75</v>
      </c>
      <c r="D71">
        <v>120</v>
      </c>
      <c r="E71">
        <v>261.41281032782348</v>
      </c>
      <c r="F71">
        <v>0.85</v>
      </c>
      <c r="G71">
        <v>120</v>
      </c>
      <c r="H71">
        <v>271.92845662689854</v>
      </c>
      <c r="I71">
        <v>0.9</v>
      </c>
      <c r="J71">
        <v>100</v>
      </c>
      <c r="K71">
        <v>252.9597492250486</v>
      </c>
      <c r="L71">
        <v>1</v>
      </c>
      <c r="M71">
        <v>100</v>
      </c>
      <c r="N71">
        <v>654.25955758280008</v>
      </c>
      <c r="O71">
        <v>654.25955758280008</v>
      </c>
      <c r="P71">
        <v>654.25955758280008</v>
      </c>
      <c r="Q71">
        <v>654.25955758280008</v>
      </c>
      <c r="R71">
        <v>385.02307457408369</v>
      </c>
      <c r="S71">
        <v>365.12487683958818</v>
      </c>
      <c r="T71">
        <v>375.17577797234037</v>
      </c>
      <c r="U71">
        <v>355.27758023784486</v>
      </c>
      <c r="W71">
        <f>SMALL(SimData!$R$9:$R$108,69)</f>
        <v>264.38765329786213</v>
      </c>
      <c r="X71">
        <f>1/(COUNT(SimData!$R$9:$R$108)-1)+$X$70</f>
        <v>0.6868686868686863</v>
      </c>
      <c r="Y71">
        <f>SMALL(SimData!$S$9:$S$108,69)</f>
        <v>250.12111596238844</v>
      </c>
      <c r="Z71">
        <f>1/(COUNT(SimData!$S$9:$S$108)-1)+$Z$70</f>
        <v>0.6868686868686863</v>
      </c>
      <c r="AA71">
        <f>SMALL(SimData!$T$9:$T$108,69)</f>
        <v>262.9878472946516</v>
      </c>
      <c r="AB71">
        <f>1/(COUNT(SimData!$T$9:$T$108)-1)+$AB$70</f>
        <v>0.6868686868686863</v>
      </c>
      <c r="AC71">
        <f>SMALL(SimData!$U$9:$U$108,69)</f>
        <v>247.19687837067175</v>
      </c>
      <c r="AD71">
        <f>1/(COUNT(SimData!$U$9:$U$108)-1)+$AD$70</f>
        <v>0.6868686868686863</v>
      </c>
    </row>
    <row r="72" spans="1:30">
      <c r="A72">
        <v>64</v>
      </c>
      <c r="B72">
        <v>258.54923688233657</v>
      </c>
      <c r="C72">
        <v>0.75</v>
      </c>
      <c r="D72">
        <v>120</v>
      </c>
      <c r="E72">
        <v>245.26616480852817</v>
      </c>
      <c r="F72">
        <v>0.85</v>
      </c>
      <c r="G72">
        <v>120</v>
      </c>
      <c r="H72">
        <v>258.62462877162397</v>
      </c>
      <c r="I72">
        <v>0.9</v>
      </c>
      <c r="J72">
        <v>100</v>
      </c>
      <c r="K72">
        <v>245.34155669781555</v>
      </c>
      <c r="L72">
        <v>1</v>
      </c>
      <c r="M72">
        <v>100</v>
      </c>
      <c r="N72">
        <v>441.01391896840624</v>
      </c>
      <c r="O72">
        <v>441.01391896840624</v>
      </c>
      <c r="P72">
        <v>441.01391896840624</v>
      </c>
      <c r="Q72">
        <v>441.01391896840624</v>
      </c>
      <c r="R72">
        <v>203.3634896376027</v>
      </c>
      <c r="S72">
        <v>187.6767657268289</v>
      </c>
      <c r="T72">
        <v>199.83340377144199</v>
      </c>
      <c r="U72">
        <v>184.1466798606682</v>
      </c>
      <c r="W72">
        <f>SMALL(SimData!$R$9:$R$108,70)</f>
        <v>265.73060733389104</v>
      </c>
      <c r="X72">
        <f>1/(COUNT(SimData!$R$9:$R$108)-1)+$X$71</f>
        <v>0.69696969696969635</v>
      </c>
      <c r="Y72">
        <f>SMALL(SimData!$S$9:$S$108,70)</f>
        <v>250.58792388551484</v>
      </c>
      <c r="Z72">
        <f>1/(COUNT(SimData!$S$9:$S$108)-1)+$Z$71</f>
        <v>0.69696969696969635</v>
      </c>
      <c r="AA72">
        <f>SMALL(SimData!$T$9:$T$108,70)</f>
        <v>263.01658216132671</v>
      </c>
      <c r="AB72">
        <f>1/(COUNT(SimData!$T$9:$T$108)-1)+$AB$71</f>
        <v>0.69696969696969635</v>
      </c>
      <c r="AC72">
        <f>SMALL(SimData!$U$9:$U$108,70)</f>
        <v>247.87389871295051</v>
      </c>
      <c r="AD72">
        <f>1/(COUNT(SimData!$U$9:$U$108)-1)+$AD$71</f>
        <v>0.69696969696969635</v>
      </c>
    </row>
    <row r="73" spans="1:30">
      <c r="A73">
        <v>65</v>
      </c>
      <c r="B73">
        <v>307.19247192670514</v>
      </c>
      <c r="C73">
        <v>0.75</v>
      </c>
      <c r="D73">
        <v>120</v>
      </c>
      <c r="E73">
        <v>293.70213030703849</v>
      </c>
      <c r="F73">
        <v>0.85</v>
      </c>
      <c r="G73">
        <v>120</v>
      </c>
      <c r="H73">
        <v>306.95695949720522</v>
      </c>
      <c r="I73">
        <v>0.9</v>
      </c>
      <c r="J73">
        <v>100</v>
      </c>
      <c r="K73">
        <v>293.46661787753857</v>
      </c>
      <c r="L73">
        <v>1</v>
      </c>
      <c r="M73">
        <v>100</v>
      </c>
      <c r="N73">
        <v>435.84162046007367</v>
      </c>
      <c r="O73">
        <v>435.84162046007367</v>
      </c>
      <c r="P73">
        <v>435.84162046007367</v>
      </c>
      <c r="Q73">
        <v>435.84162046007367</v>
      </c>
      <c r="R73">
        <v>194.70423870576761</v>
      </c>
      <c r="S73">
        <v>178.55258780519347</v>
      </c>
      <c r="T73">
        <v>190.47676235490638</v>
      </c>
      <c r="U73">
        <v>174.32511145433224</v>
      </c>
      <c r="W73">
        <f>SMALL(SimData!$R$9:$R$108,71)</f>
        <v>271.24142308084663</v>
      </c>
      <c r="X73">
        <f>1/(COUNT(SimData!$R$9:$R$108)-1)+$X$72</f>
        <v>0.70707070707070641</v>
      </c>
      <c r="Y73">
        <f>SMALL(SimData!$S$9:$S$108,71)</f>
        <v>253.62360519677668</v>
      </c>
      <c r="Z73">
        <f>1/(COUNT(SimData!$S$9:$S$108)-1)+$Z$72</f>
        <v>0.70707070707070641</v>
      </c>
      <c r="AA73">
        <f>SMALL(SimData!$T$9:$T$108,71)</f>
        <v>264.8146962547417</v>
      </c>
      <c r="AB73">
        <f>1/(COUNT(SimData!$T$9:$T$108)-1)+$AB$72</f>
        <v>0.70707070707070641</v>
      </c>
      <c r="AC73">
        <f>SMALL(SimData!$U$9:$U$108,71)</f>
        <v>248.72130995917792</v>
      </c>
      <c r="AD73">
        <f>1/(COUNT(SimData!$U$9:$U$108)-1)+$AD$72</f>
        <v>0.70707070707070641</v>
      </c>
    </row>
    <row r="74" spans="1:30">
      <c r="A74">
        <v>66</v>
      </c>
      <c r="B74">
        <v>204.67790727325848</v>
      </c>
      <c r="C74">
        <v>0.75</v>
      </c>
      <c r="D74">
        <v>120</v>
      </c>
      <c r="E74">
        <v>192.5307664766774</v>
      </c>
      <c r="F74">
        <v>0.85</v>
      </c>
      <c r="G74">
        <v>120</v>
      </c>
      <c r="H74">
        <v>206.45719607838689</v>
      </c>
      <c r="I74">
        <v>0.9</v>
      </c>
      <c r="J74">
        <v>100</v>
      </c>
      <c r="K74">
        <v>194.31005528180583</v>
      </c>
      <c r="L74">
        <v>1</v>
      </c>
      <c r="M74">
        <v>100</v>
      </c>
      <c r="N74">
        <v>370.62812779690745</v>
      </c>
      <c r="O74">
        <v>370.62812779690745</v>
      </c>
      <c r="P74">
        <v>370.62812779690745</v>
      </c>
      <c r="Q74">
        <v>370.62812779690745</v>
      </c>
      <c r="R74">
        <v>153.53058805457192</v>
      </c>
      <c r="S74">
        <v>140.58424942226054</v>
      </c>
      <c r="T74">
        <v>154.11108010610479</v>
      </c>
      <c r="U74">
        <v>141.16474147379341</v>
      </c>
      <c r="W74">
        <f>SMALL(SimData!$R$9:$R$108,72)</f>
        <v>272.75210012403397</v>
      </c>
      <c r="X74">
        <f>1/(COUNT(SimData!$R$9:$R$108)-1)+$X$73</f>
        <v>0.71717171717171646</v>
      </c>
      <c r="Y74">
        <f>SMALL(SimData!$S$9:$S$108,72)</f>
        <v>256.31685992876646</v>
      </c>
      <c r="Z74">
        <f>1/(COUNT(SimData!$S$9:$S$108)-1)+$Z$73</f>
        <v>0.71717171717171646</v>
      </c>
      <c r="AA74">
        <f>SMALL(SimData!$T$9:$T$108,72)</f>
        <v>268.09923983113276</v>
      </c>
      <c r="AB74">
        <f>1/(COUNT(SimData!$T$9:$T$108)-1)+$AB$73</f>
        <v>0.71717171717171646</v>
      </c>
      <c r="AC74">
        <f>SMALL(SimData!$U$9:$U$108,72)</f>
        <v>251.66399963586525</v>
      </c>
      <c r="AD74">
        <f>1/(COUNT(SimData!$U$9:$U$108)-1)+$AD$73</f>
        <v>0.71717171717171646</v>
      </c>
    </row>
    <row r="75" spans="1:30">
      <c r="A75">
        <v>67</v>
      </c>
      <c r="B75">
        <v>336.32159899784762</v>
      </c>
      <c r="C75">
        <v>0.75</v>
      </c>
      <c r="D75">
        <v>120</v>
      </c>
      <c r="E75">
        <v>318.84865248833808</v>
      </c>
      <c r="F75">
        <v>0.85</v>
      </c>
      <c r="G75">
        <v>120</v>
      </c>
      <c r="H75">
        <v>330.11217923358333</v>
      </c>
      <c r="I75">
        <v>0.9</v>
      </c>
      <c r="J75">
        <v>100</v>
      </c>
      <c r="K75">
        <v>312.63923272407385</v>
      </c>
      <c r="L75">
        <v>1</v>
      </c>
      <c r="M75">
        <v>100</v>
      </c>
      <c r="N75">
        <v>447.42377271560417</v>
      </c>
      <c r="O75">
        <v>447.42377271560417</v>
      </c>
      <c r="P75">
        <v>447.42377271560417</v>
      </c>
      <c r="Q75">
        <v>447.42377271560417</v>
      </c>
      <c r="R75">
        <v>170.20825816770451</v>
      </c>
      <c r="S75">
        <v>149.24618956131789</v>
      </c>
      <c r="T75">
        <v>158.76515525812457</v>
      </c>
      <c r="U75">
        <v>137.80308665173794</v>
      </c>
      <c r="W75">
        <f>SMALL(SimData!$R$9:$R$108,73)</f>
        <v>274.811811814875</v>
      </c>
      <c r="X75">
        <f>1/(COUNT(SimData!$R$9:$R$108)-1)+$X$74</f>
        <v>0.72727272727272652</v>
      </c>
      <c r="Y75">
        <f>SMALL(SimData!$S$9:$S$108,73)</f>
        <v>259.61794735564138</v>
      </c>
      <c r="Z75">
        <f>1/(COUNT(SimData!$S$9:$S$108)-1)+$Z$74</f>
        <v>0.72727272727272652</v>
      </c>
      <c r="AA75">
        <f>SMALL(SimData!$T$9:$T$108,73)</f>
        <v>271.74555947847455</v>
      </c>
      <c r="AB75">
        <f>1/(COUNT(SimData!$T$9:$T$108)-1)+$AB$74</f>
        <v>0.72727272727272652</v>
      </c>
      <c r="AC75">
        <f>SMALL(SimData!$U$9:$U$108,73)</f>
        <v>253.47468914188448</v>
      </c>
      <c r="AD75">
        <f>1/(COUNT(SimData!$U$9:$U$108)-1)+$AD$74</f>
        <v>0.72727272727272652</v>
      </c>
    </row>
    <row r="76" spans="1:30">
      <c r="A76">
        <v>68</v>
      </c>
      <c r="B76">
        <v>219.73350014760604</v>
      </c>
      <c r="C76">
        <v>0.75</v>
      </c>
      <c r="D76">
        <v>120</v>
      </c>
      <c r="E76">
        <v>205.90691220090673</v>
      </c>
      <c r="F76">
        <v>0.85</v>
      </c>
      <c r="G76">
        <v>120</v>
      </c>
      <c r="H76">
        <v>218.99361822755702</v>
      </c>
      <c r="I76">
        <v>0.9</v>
      </c>
      <c r="J76">
        <v>100</v>
      </c>
      <c r="K76">
        <v>205.16703028085772</v>
      </c>
      <c r="L76">
        <v>1</v>
      </c>
      <c r="M76">
        <v>100</v>
      </c>
      <c r="N76">
        <v>242.61552776957814</v>
      </c>
      <c r="O76">
        <v>242.61552776957814</v>
      </c>
      <c r="P76">
        <v>242.61552776957814</v>
      </c>
      <c r="Q76">
        <v>242.61552776957814</v>
      </c>
      <c r="R76">
        <v>48.657858986575533</v>
      </c>
      <c r="S76">
        <v>38.796836482175195</v>
      </c>
      <c r="T76">
        <v>53.866325229975004</v>
      </c>
      <c r="U76">
        <v>44.005302725574666</v>
      </c>
      <c r="W76">
        <f>SMALL(SimData!$R$9:$R$108,74)</f>
        <v>275.36272310997492</v>
      </c>
      <c r="X76">
        <f>1/(COUNT(SimData!$R$9:$R$108)-1)+$X$75</f>
        <v>0.73737373737373657</v>
      </c>
      <c r="Y76">
        <f>SMALL(SimData!$S$9:$S$108,74)</f>
        <v>260.32622692058794</v>
      </c>
      <c r="Z76">
        <f>1/(COUNT(SimData!$S$9:$S$108)-1)+$Z$75</f>
        <v>0.73737373737373657</v>
      </c>
      <c r="AA76">
        <f>SMALL(SimData!$T$9:$T$108,74)</f>
        <v>272.75482476397968</v>
      </c>
      <c r="AB76">
        <f>1/(COUNT(SimData!$T$9:$T$108)-1)+$AB$75</f>
        <v>0.73737373737373657</v>
      </c>
      <c r="AC76">
        <f>SMALL(SimData!$U$9:$U$108,74)</f>
        <v>256.000783724141</v>
      </c>
      <c r="AD76">
        <f>1/(COUNT(SimData!$U$9:$U$108)-1)+$AD$75</f>
        <v>0.73737373737373657</v>
      </c>
    </row>
    <row r="77" spans="1:30">
      <c r="A77">
        <v>69</v>
      </c>
      <c r="B77">
        <v>221.87276086312801</v>
      </c>
      <c r="C77">
        <v>0.75</v>
      </c>
      <c r="D77">
        <v>120</v>
      </c>
      <c r="E77">
        <v>209.54379790956989</v>
      </c>
      <c r="F77">
        <v>0.85</v>
      </c>
      <c r="G77">
        <v>120</v>
      </c>
      <c r="H77">
        <v>223.3793164327908</v>
      </c>
      <c r="I77">
        <v>0.9</v>
      </c>
      <c r="J77">
        <v>100</v>
      </c>
      <c r="K77">
        <v>211.05035347923263</v>
      </c>
      <c r="L77">
        <v>1</v>
      </c>
      <c r="M77">
        <v>100</v>
      </c>
      <c r="N77">
        <v>448.41726785205105</v>
      </c>
      <c r="O77">
        <v>448.41726785205105</v>
      </c>
      <c r="P77">
        <v>448.41726785205105</v>
      </c>
      <c r="Q77">
        <v>448.41726785205105</v>
      </c>
      <c r="R77">
        <v>187.46958846117673</v>
      </c>
      <c r="S77">
        <v>168.67656454239346</v>
      </c>
      <c r="T77">
        <v>179.28005258300183</v>
      </c>
      <c r="U77">
        <v>160.4870286642186</v>
      </c>
      <c r="W77">
        <f>SMALL(SimData!$R$9:$R$108,75)</f>
        <v>277.91217212087236</v>
      </c>
      <c r="X77">
        <f>1/(COUNT(SimData!$R$9:$R$108)-1)+$X$76</f>
        <v>0.74747474747474663</v>
      </c>
      <c r="Y77">
        <f>SMALL(SimData!$S$9:$S$108,75)</f>
        <v>261.87613638441235</v>
      </c>
      <c r="Z77">
        <f>1/(COUNT(SimData!$S$9:$S$108)-1)+$Z$76</f>
        <v>0.74747474747474663</v>
      </c>
      <c r="AA77">
        <f>SMALL(SimData!$T$9:$T$108,75)</f>
        <v>273.08343447344441</v>
      </c>
      <c r="AB77">
        <f>1/(COUNT(SimData!$T$9:$T$108)-1)+$AB$76</f>
        <v>0.74747474747474663</v>
      </c>
      <c r="AC77">
        <f>SMALL(SimData!$U$9:$U$108,75)</f>
        <v>257.35737747520568</v>
      </c>
      <c r="AD77">
        <f>1/(COUNT(SimData!$U$9:$U$108)-1)+$AD$76</f>
        <v>0.74747474747474663</v>
      </c>
    </row>
    <row r="78" spans="1:30">
      <c r="A78">
        <v>70</v>
      </c>
      <c r="B78">
        <v>197.40309109011434</v>
      </c>
      <c r="C78">
        <v>0.75</v>
      </c>
      <c r="D78">
        <v>120</v>
      </c>
      <c r="E78">
        <v>184.38807562262861</v>
      </c>
      <c r="F78">
        <v>0.85</v>
      </c>
      <c r="G78">
        <v>120</v>
      </c>
      <c r="H78">
        <v>197.88056788888576</v>
      </c>
      <c r="I78">
        <v>0.9</v>
      </c>
      <c r="J78">
        <v>100</v>
      </c>
      <c r="K78">
        <v>184.86555242140003</v>
      </c>
      <c r="L78">
        <v>1</v>
      </c>
      <c r="M78">
        <v>100</v>
      </c>
      <c r="N78">
        <v>495.79374993753231</v>
      </c>
      <c r="O78">
        <v>495.79374993753231</v>
      </c>
      <c r="P78">
        <v>495.79374993753231</v>
      </c>
      <c r="Q78">
        <v>495.79374993753231</v>
      </c>
      <c r="R78">
        <v>242.97309561552976</v>
      </c>
      <c r="S78">
        <v>225.26367503926275</v>
      </c>
      <c r="T78">
        <v>236.40896475112925</v>
      </c>
      <c r="U78">
        <v>218.69954417486224</v>
      </c>
      <c r="W78">
        <f>SMALL(SimData!$R$9:$R$108,76)</f>
        <v>278.41192609185714</v>
      </c>
      <c r="X78">
        <f>1/(COUNT(SimData!$R$9:$R$108)-1)+$X$77</f>
        <v>0.75757575757575668</v>
      </c>
      <c r="Y78">
        <f>SMALL(SimData!$S$9:$S$108,76)</f>
        <v>262.39489257502726</v>
      </c>
      <c r="Z78">
        <f>1/(COUNT(SimData!$S$9:$S$108)-1)+$Z$77</f>
        <v>0.75757575757575668</v>
      </c>
      <c r="AA78">
        <f>SMALL(SimData!$T$9:$T$108,76)</f>
        <v>273.85811851618229</v>
      </c>
      <c r="AB78">
        <f>1/(COUNT(SimData!$T$9:$T$108)-1)+$AB$77</f>
        <v>0.75757575757575668</v>
      </c>
      <c r="AC78">
        <f>SMALL(SimData!$U$9:$U$108,76)</f>
        <v>257.82208277972228</v>
      </c>
      <c r="AD78">
        <f>1/(COUNT(SimData!$U$9:$U$108)-1)+$AD$77</f>
        <v>0.75757575757575668</v>
      </c>
    </row>
    <row r="79" spans="1:30">
      <c r="A79">
        <v>71</v>
      </c>
      <c r="B79">
        <v>181.0626920764216</v>
      </c>
      <c r="C79">
        <v>0.75</v>
      </c>
      <c r="D79">
        <v>120</v>
      </c>
      <c r="E79">
        <v>166.3074286775425</v>
      </c>
      <c r="F79">
        <v>0.85</v>
      </c>
      <c r="G79">
        <v>120</v>
      </c>
      <c r="H79">
        <v>178.92979697810296</v>
      </c>
      <c r="I79">
        <v>0.9</v>
      </c>
      <c r="J79">
        <v>100</v>
      </c>
      <c r="K79">
        <v>164.17453357922386</v>
      </c>
      <c r="L79">
        <v>1</v>
      </c>
      <c r="M79">
        <v>100</v>
      </c>
      <c r="N79">
        <v>593.3143804861453</v>
      </c>
      <c r="O79">
        <v>593.3143804861453</v>
      </c>
      <c r="P79">
        <v>593.3143804861453</v>
      </c>
      <c r="Q79">
        <v>593.3143804861453</v>
      </c>
      <c r="R79">
        <v>339.22628565023069</v>
      </c>
      <c r="S79">
        <v>321.34787300544212</v>
      </c>
      <c r="T79">
        <v>332.40866668304778</v>
      </c>
      <c r="U79">
        <v>314.53025403825916</v>
      </c>
      <c r="W79">
        <f>SMALL(SimData!$R$9:$R$108,77)</f>
        <v>279.78341369371492</v>
      </c>
      <c r="X79">
        <f>1/(COUNT(SimData!$R$9:$R$108)-1)+$X$78</f>
        <v>0.76767676767676674</v>
      </c>
      <c r="Y79">
        <f>SMALL(SimData!$S$9:$S$108,77)</f>
        <v>262.81299920631125</v>
      </c>
      <c r="Z79">
        <f>1/(COUNT(SimData!$S$9:$S$108)-1)+$Z$78</f>
        <v>0.76767676767676674</v>
      </c>
      <c r="AA79">
        <f>SMALL(SimData!$T$9:$T$108,77)</f>
        <v>274.32779196260935</v>
      </c>
      <c r="AB79">
        <f>1/(COUNT(SimData!$T$9:$T$108)-1)+$AB$78</f>
        <v>0.76767676767676674</v>
      </c>
      <c r="AC79">
        <f>SMALL(SimData!$U$9:$U$108,77)</f>
        <v>258.59784957915736</v>
      </c>
      <c r="AD79">
        <f>1/(COUNT(SimData!$U$9:$U$108)-1)+$AD$78</f>
        <v>0.76767676767676674</v>
      </c>
    </row>
    <row r="80" spans="1:30">
      <c r="A80">
        <v>72</v>
      </c>
      <c r="B80">
        <v>245.55770247525609</v>
      </c>
      <c r="C80">
        <v>0.75</v>
      </c>
      <c r="D80">
        <v>120</v>
      </c>
      <c r="E80">
        <v>228.99021627183282</v>
      </c>
      <c r="F80">
        <v>0.85</v>
      </c>
      <c r="G80">
        <v>120</v>
      </c>
      <c r="H80">
        <v>240.70647317012117</v>
      </c>
      <c r="I80">
        <v>0.9</v>
      </c>
      <c r="J80">
        <v>100</v>
      </c>
      <c r="K80">
        <v>224.1389869666979</v>
      </c>
      <c r="L80">
        <v>1</v>
      </c>
      <c r="M80">
        <v>100</v>
      </c>
      <c r="N80">
        <v>377.36066497144122</v>
      </c>
      <c r="O80">
        <v>377.36066497144122</v>
      </c>
      <c r="P80">
        <v>377.36066497144122</v>
      </c>
      <c r="Q80">
        <v>377.36066497144122</v>
      </c>
      <c r="R80">
        <v>146.52449821282849</v>
      </c>
      <c r="S80">
        <v>131.74634264501344</v>
      </c>
      <c r="T80">
        <v>144.35726486110593</v>
      </c>
      <c r="U80">
        <v>129.57910929329091</v>
      </c>
      <c r="W80">
        <f>SMALL(SimData!$R$9:$R$108,78)</f>
        <v>281.67502819712251</v>
      </c>
      <c r="X80">
        <f>1/(COUNT(SimData!$R$9:$R$108)-1)+$X$79</f>
        <v>0.77777777777777679</v>
      </c>
      <c r="Y80">
        <f>SMALL(SimData!$S$9:$S$108,78)</f>
        <v>263.98365306865225</v>
      </c>
      <c r="Z80">
        <f>1/(COUNT(SimData!$S$9:$S$108)-1)+$Z$79</f>
        <v>0.77777777777777679</v>
      </c>
      <c r="AA80">
        <f>SMALL(SimData!$T$9:$T$108,78)</f>
        <v>276.04394687579213</v>
      </c>
      <c r="AB80">
        <f>1/(COUNT(SimData!$T$9:$T$108)-1)+$AB$79</f>
        <v>0.77777777777777679</v>
      </c>
      <c r="AC80">
        <f>SMALL(SimData!$U$9:$U$108,78)</f>
        <v>258.60480226166248</v>
      </c>
      <c r="AD80">
        <f>1/(COUNT(SimData!$U$9:$U$108)-1)+$AD$79</f>
        <v>0.77777777777777679</v>
      </c>
    </row>
    <row r="81" spans="1:30">
      <c r="A81">
        <v>73</v>
      </c>
      <c r="B81">
        <v>143.0299289016769</v>
      </c>
      <c r="C81">
        <v>0.75</v>
      </c>
      <c r="D81">
        <v>120</v>
      </c>
      <c r="E81">
        <v>130.670676694853</v>
      </c>
      <c r="F81">
        <v>0.85</v>
      </c>
      <c r="G81">
        <v>120</v>
      </c>
      <c r="H81">
        <v>144.49105059144108</v>
      </c>
      <c r="I81">
        <v>0.9</v>
      </c>
      <c r="J81">
        <v>100</v>
      </c>
      <c r="K81">
        <v>132.13179838461718</v>
      </c>
      <c r="L81">
        <v>1</v>
      </c>
      <c r="M81">
        <v>100</v>
      </c>
      <c r="N81">
        <v>481.16432164089554</v>
      </c>
      <c r="O81">
        <v>481.16432164089554</v>
      </c>
      <c r="P81">
        <v>481.16432164089554</v>
      </c>
      <c r="Q81">
        <v>481.16432164089554</v>
      </c>
      <c r="R81">
        <v>233.22049498851425</v>
      </c>
      <c r="S81">
        <v>216.1613181015301</v>
      </c>
      <c r="T81">
        <v>227.63172965803801</v>
      </c>
      <c r="U81">
        <v>210.57255277105384</v>
      </c>
      <c r="W81">
        <f>SMALL(SimData!$R$9:$R$108,79)</f>
        <v>282.2026637969866</v>
      </c>
      <c r="X81">
        <f>1/(COUNT(SimData!$R$9:$R$108)-1)+$X$80</f>
        <v>0.78787878787878685</v>
      </c>
      <c r="Y81">
        <f>SMALL(SimData!$S$9:$S$108,79)</f>
        <v>264.76351918285695</v>
      </c>
      <c r="Z81">
        <f>1/(COUNT(SimData!$S$9:$S$108)-1)+$Z$80</f>
        <v>0.78787878787878685</v>
      </c>
      <c r="AA81">
        <f>SMALL(SimData!$T$9:$T$108,79)</f>
        <v>276.76951655704983</v>
      </c>
      <c r="AB81">
        <f>1/(COUNT(SimData!$T$9:$T$108)-1)+$AB$80</f>
        <v>0.78787878787878685</v>
      </c>
      <c r="AC81">
        <f>SMALL(SimData!$U$9:$U$108,79)</f>
        <v>262.34124353384493</v>
      </c>
      <c r="AD81">
        <f>1/(COUNT(SimData!$U$9:$U$108)-1)+$AD$80</f>
        <v>0.78787878787878685</v>
      </c>
    </row>
    <row r="82" spans="1:30">
      <c r="A82">
        <v>74</v>
      </c>
      <c r="B82">
        <v>188.88797029745075</v>
      </c>
      <c r="C82">
        <v>0.75</v>
      </c>
      <c r="D82">
        <v>120</v>
      </c>
      <c r="E82">
        <v>175.91055704746918</v>
      </c>
      <c r="F82">
        <v>0.85</v>
      </c>
      <c r="G82">
        <v>120</v>
      </c>
      <c r="H82">
        <v>189.42185042247843</v>
      </c>
      <c r="I82">
        <v>0.9</v>
      </c>
      <c r="J82">
        <v>100</v>
      </c>
      <c r="K82">
        <v>176.44443717249686</v>
      </c>
      <c r="L82">
        <v>1</v>
      </c>
      <c r="M82">
        <v>100</v>
      </c>
      <c r="N82">
        <v>327.95035873984767</v>
      </c>
      <c r="O82">
        <v>327.95035873984767</v>
      </c>
      <c r="P82">
        <v>327.95035873984767</v>
      </c>
      <c r="Q82">
        <v>327.95035873984767</v>
      </c>
      <c r="R82">
        <v>76.07765410531789</v>
      </c>
      <c r="S82">
        <v>58.494626820713933</v>
      </c>
      <c r="T82">
        <v>69.70311317841194</v>
      </c>
      <c r="U82">
        <v>52.120085893807982</v>
      </c>
      <c r="W82">
        <f>SMALL(SimData!$R$9:$R$108,80)</f>
        <v>284.4256959626934</v>
      </c>
      <c r="X82">
        <f>1/(COUNT(SimData!$R$9:$R$108)-1)+$X$81</f>
        <v>0.7979797979797969</v>
      </c>
      <c r="Y82">
        <f>SMALL(SimData!$S$9:$S$108,80)</f>
        <v>267.79073865506786</v>
      </c>
      <c r="Z82">
        <f>1/(COUNT(SimData!$S$9:$S$108)-1)+$Z$81</f>
        <v>0.7979797979797969</v>
      </c>
      <c r="AA82">
        <f>SMALL(SimData!$T$9:$T$108,80)</f>
        <v>279.47326000125508</v>
      </c>
      <c r="AB82">
        <f>1/(COUNT(SimData!$T$9:$T$108)-1)+$AB$81</f>
        <v>0.7979797979797969</v>
      </c>
      <c r="AC82">
        <f>SMALL(SimData!$U$9:$U$108,80)</f>
        <v>262.83830269362954</v>
      </c>
      <c r="AD82">
        <f>1/(COUNT(SimData!$U$9:$U$108)-1)+$AD$81</f>
        <v>0.7979797979797969</v>
      </c>
    </row>
    <row r="83" spans="1:30">
      <c r="A83">
        <v>75</v>
      </c>
      <c r="B83">
        <v>240.74681552501497</v>
      </c>
      <c r="C83">
        <v>0.75</v>
      </c>
      <c r="D83">
        <v>120</v>
      </c>
      <c r="E83">
        <v>226.17446406462716</v>
      </c>
      <c r="F83">
        <v>0.85</v>
      </c>
      <c r="G83">
        <v>120</v>
      </c>
      <c r="H83">
        <v>238.88828833443321</v>
      </c>
      <c r="I83">
        <v>0.9</v>
      </c>
      <c r="J83">
        <v>100</v>
      </c>
      <c r="K83">
        <v>224.31593687404538</v>
      </c>
      <c r="L83">
        <v>1</v>
      </c>
      <c r="M83">
        <v>100</v>
      </c>
      <c r="N83">
        <v>340.01340836138934</v>
      </c>
      <c r="O83">
        <v>340.01340836138934</v>
      </c>
      <c r="P83">
        <v>340.01340836138934</v>
      </c>
      <c r="Q83">
        <v>340.01340836138934</v>
      </c>
      <c r="R83">
        <v>131.36665693311818</v>
      </c>
      <c r="S83">
        <v>119.54709007601537</v>
      </c>
      <c r="T83">
        <v>133.63730664746396</v>
      </c>
      <c r="U83">
        <v>121.81773979036113</v>
      </c>
      <c r="W83">
        <f>SMALL(SimData!$R$9:$R$108,81)</f>
        <v>305.84476672138237</v>
      </c>
      <c r="X83">
        <f>1/(COUNT(SimData!$R$9:$R$108)-1)+$X$82</f>
        <v>0.80808080808080696</v>
      </c>
      <c r="Y83">
        <f>SMALL(SimData!$S$9:$S$108,81)</f>
        <v>290.55951215446095</v>
      </c>
      <c r="Z83">
        <f>1/(COUNT(SimData!$S$9:$S$108)-1)+$Z$82</f>
        <v>0.80808080808080696</v>
      </c>
      <c r="AA83">
        <f>SMALL(SimData!$T$9:$T$108,81)</f>
        <v>302.91688487100021</v>
      </c>
      <c r="AB83">
        <f>1/(COUNT(SimData!$T$9:$T$108)-1)+$AB$82</f>
        <v>0.80808080808080696</v>
      </c>
      <c r="AC83">
        <f>SMALL(SimData!$U$9:$U$108,81)</f>
        <v>285.97662302605818</v>
      </c>
      <c r="AD83">
        <f>1/(COUNT(SimData!$U$9:$U$108)-1)+$AD$82</f>
        <v>0.80808080808080696</v>
      </c>
    </row>
    <row r="84" spans="1:30">
      <c r="A84">
        <v>76</v>
      </c>
      <c r="B84">
        <v>67.367774844952493</v>
      </c>
      <c r="C84">
        <v>0.75</v>
      </c>
      <c r="D84">
        <v>120</v>
      </c>
      <c r="E84">
        <v>56.428314489646425</v>
      </c>
      <c r="F84">
        <v>0.85</v>
      </c>
      <c r="G84">
        <v>120</v>
      </c>
      <c r="H84">
        <v>70.958584311993377</v>
      </c>
      <c r="I84">
        <v>0.9</v>
      </c>
      <c r="J84">
        <v>100</v>
      </c>
      <c r="K84">
        <v>60.019123956687309</v>
      </c>
      <c r="L84">
        <v>1</v>
      </c>
      <c r="M84">
        <v>100</v>
      </c>
      <c r="N84">
        <v>302.19390258512948</v>
      </c>
      <c r="O84">
        <v>302.19390258512948</v>
      </c>
      <c r="P84">
        <v>302.19390258512948</v>
      </c>
      <c r="Q84">
        <v>302.19390258512948</v>
      </c>
      <c r="R84">
        <v>80.485128044667533</v>
      </c>
      <c r="S84">
        <v>66.923958105939292</v>
      </c>
      <c r="T84">
        <v>80.14337313657515</v>
      </c>
      <c r="U84">
        <v>66.582203197846894</v>
      </c>
      <c r="W84">
        <f>SMALL(SimData!$R$9:$R$108,82)</f>
        <v>308.99949266156551</v>
      </c>
      <c r="X84">
        <f>1/(COUNT(SimData!$R$9:$R$108)-1)+$X$83</f>
        <v>0.81818181818181701</v>
      </c>
      <c r="Y84">
        <f>SMALL(SimData!$S$9:$S$108,82)</f>
        <v>291.7903448073626</v>
      </c>
      <c r="Z84">
        <f>1/(COUNT(SimData!$S$9:$S$108)-1)+$Z$83</f>
        <v>0.81818181818181701</v>
      </c>
      <c r="AA84">
        <f>SMALL(SimData!$T$9:$T$108,82)</f>
        <v>303.18577088026109</v>
      </c>
      <c r="AB84">
        <f>1/(COUNT(SimData!$T$9:$T$108)-1)+$AB$83</f>
        <v>0.81818181818181701</v>
      </c>
      <c r="AC84">
        <f>SMALL(SimData!$U$9:$U$108,82)</f>
        <v>287.63163030407873</v>
      </c>
      <c r="AD84">
        <f>1/(COUNT(SimData!$U$9:$U$108)-1)+$AD$83</f>
        <v>0.81818181818181701</v>
      </c>
    </row>
    <row r="85" spans="1:30">
      <c r="A85">
        <v>77</v>
      </c>
      <c r="B85">
        <v>164.89433029127309</v>
      </c>
      <c r="C85">
        <v>0.75</v>
      </c>
      <c r="D85">
        <v>120</v>
      </c>
      <c r="E85">
        <v>150.10397034626345</v>
      </c>
      <c r="F85">
        <v>0.85</v>
      </c>
      <c r="G85">
        <v>120</v>
      </c>
      <c r="H85">
        <v>162.70879037375866</v>
      </c>
      <c r="I85">
        <v>0.9</v>
      </c>
      <c r="J85">
        <v>100</v>
      </c>
      <c r="K85">
        <v>147.91843042874905</v>
      </c>
      <c r="L85">
        <v>1</v>
      </c>
      <c r="M85">
        <v>100</v>
      </c>
      <c r="N85">
        <v>614.42973889213158</v>
      </c>
      <c r="O85">
        <v>614.42973889213158</v>
      </c>
      <c r="P85">
        <v>614.42973889213158</v>
      </c>
      <c r="Q85">
        <v>614.42973889213158</v>
      </c>
      <c r="R85">
        <v>356.79239879683962</v>
      </c>
      <c r="S85">
        <v>338.44075345080074</v>
      </c>
      <c r="T85">
        <v>349.26493077778127</v>
      </c>
      <c r="U85">
        <v>330.91328543174234</v>
      </c>
      <c r="W85">
        <f>SMALL(SimData!$R$9:$R$108,83)</f>
        <v>313.94195263499194</v>
      </c>
      <c r="X85">
        <f>1/(COUNT(SimData!$R$9:$R$108)-1)+$X$84</f>
        <v>0.82828282828282707</v>
      </c>
      <c r="Y85">
        <f>SMALL(SimData!$S$9:$S$108,83)</f>
        <v>297.47966507620981</v>
      </c>
      <c r="Z85">
        <f>1/(COUNT(SimData!$S$9:$S$108)-1)+$Z$84</f>
        <v>0.82828282828282707</v>
      </c>
      <c r="AA85">
        <f>SMALL(SimData!$T$9:$T$108,83)</f>
        <v>308.47037134281004</v>
      </c>
      <c r="AB85">
        <f>1/(COUNT(SimData!$T$9:$T$108)-1)+$AB$84</f>
        <v>0.82828282828282707</v>
      </c>
      <c r="AC85">
        <f>SMALL(SimData!$U$9:$U$108,83)</f>
        <v>290.45178387601038</v>
      </c>
      <c r="AD85">
        <f>1/(COUNT(SimData!$U$9:$U$108)-1)+$AD$84</f>
        <v>0.82828282828282707</v>
      </c>
    </row>
    <row r="86" spans="1:30">
      <c r="A86">
        <v>78</v>
      </c>
      <c r="B86">
        <v>162.07982433463764</v>
      </c>
      <c r="C86">
        <v>0.75</v>
      </c>
      <c r="D86">
        <v>120</v>
      </c>
      <c r="E86">
        <v>142.08990754183696</v>
      </c>
      <c r="F86">
        <v>0.85</v>
      </c>
      <c r="G86">
        <v>120</v>
      </c>
      <c r="H86">
        <v>152.0949491454366</v>
      </c>
      <c r="I86">
        <v>0.9</v>
      </c>
      <c r="J86">
        <v>100</v>
      </c>
      <c r="K86">
        <v>132.10503235263593</v>
      </c>
      <c r="L86">
        <v>1</v>
      </c>
      <c r="M86">
        <v>100</v>
      </c>
      <c r="N86">
        <v>301.96490055591721</v>
      </c>
      <c r="O86">
        <v>301.96490055591721</v>
      </c>
      <c r="P86">
        <v>301.96490055591721</v>
      </c>
      <c r="Q86">
        <v>301.96490055591721</v>
      </c>
      <c r="R86">
        <v>85.86439780072763</v>
      </c>
      <c r="S86">
        <v>73.05099743336902</v>
      </c>
      <c r="T86">
        <v>86.644297249689714</v>
      </c>
      <c r="U86">
        <v>73.830896882331103</v>
      </c>
      <c r="W86">
        <f>SMALL(SimData!$R$9:$R$108,84)</f>
        <v>315.49825254300947</v>
      </c>
      <c r="X86">
        <f>1/(COUNT(SimData!$R$9:$R$108)-1)+$X$85</f>
        <v>0.83838383838383712</v>
      </c>
      <c r="Y86">
        <f>SMALL(SimData!$S$9:$S$108,84)</f>
        <v>299.75997297677299</v>
      </c>
      <c r="Z86">
        <f>1/(COUNT(SimData!$S$9:$S$108)-1)+$Z$85</f>
        <v>0.83838383838383712</v>
      </c>
      <c r="AA86">
        <f>SMALL(SimData!$T$9:$T$108,84)</f>
        <v>312.66898314766348</v>
      </c>
      <c r="AB86">
        <f>1/(COUNT(SimData!$T$9:$T$108)-1)+$AB$85</f>
        <v>0.83838383838383712</v>
      </c>
      <c r="AC86">
        <f>SMALL(SimData!$U$9:$U$108,84)</f>
        <v>297.11291903123117</v>
      </c>
      <c r="AD86">
        <f>1/(COUNT(SimData!$U$9:$U$108)-1)+$AD$85</f>
        <v>0.83838383838383712</v>
      </c>
    </row>
    <row r="87" spans="1:30">
      <c r="A87">
        <v>79</v>
      </c>
      <c r="B87">
        <v>203.0231383840358</v>
      </c>
      <c r="C87">
        <v>0.75</v>
      </c>
      <c r="D87">
        <v>120</v>
      </c>
      <c r="E87">
        <v>185.05571830665991</v>
      </c>
      <c r="F87">
        <v>0.85</v>
      </c>
      <c r="G87">
        <v>120</v>
      </c>
      <c r="H87">
        <v>196.07200826797197</v>
      </c>
      <c r="I87">
        <v>0.9</v>
      </c>
      <c r="J87">
        <v>100</v>
      </c>
      <c r="K87">
        <v>178.10458819059608</v>
      </c>
      <c r="L87">
        <v>1</v>
      </c>
      <c r="M87">
        <v>100</v>
      </c>
      <c r="N87">
        <v>454.52127051565611</v>
      </c>
      <c r="O87">
        <v>454.52127051565611</v>
      </c>
      <c r="P87">
        <v>454.52127051565611</v>
      </c>
      <c r="Q87">
        <v>454.52127051565611</v>
      </c>
      <c r="R87">
        <v>222.15513691217279</v>
      </c>
      <c r="S87">
        <v>207.17298576504169</v>
      </c>
      <c r="T87">
        <v>219.68191019147611</v>
      </c>
      <c r="U87">
        <v>204.699759044345</v>
      </c>
      <c r="W87">
        <f>SMALL(SimData!$R$9:$R$108,85)</f>
        <v>316.8925284991297</v>
      </c>
      <c r="X87">
        <f>1/(COUNT(SimData!$R$9:$R$108)-1)+$X$86</f>
        <v>0.84848484848484718</v>
      </c>
      <c r="Y87">
        <f>SMALL(SimData!$S$9:$S$108,85)</f>
        <v>300.9806847119703</v>
      </c>
      <c r="Z87">
        <f>1/(COUNT(SimData!$S$9:$S$108)-1)+$Z$86</f>
        <v>0.84848484848484718</v>
      </c>
      <c r="AA87">
        <f>SMALL(SimData!$T$9:$T$108,85)</f>
        <v>313.02476281839057</v>
      </c>
      <c r="AB87">
        <f>1/(COUNT(SimData!$T$9:$T$108)-1)+$AB$86</f>
        <v>0.84848484848484718</v>
      </c>
      <c r="AC87">
        <f>SMALL(SimData!$U$9:$U$108,85)</f>
        <v>298.48700348944453</v>
      </c>
      <c r="AD87">
        <f>1/(COUNT(SimData!$U$9:$U$108)-1)+$AD$86</f>
        <v>0.84848484848484718</v>
      </c>
    </row>
    <row r="88" spans="1:30">
      <c r="A88">
        <v>80</v>
      </c>
      <c r="B88">
        <v>154.85826955105404</v>
      </c>
      <c r="C88">
        <v>0.75</v>
      </c>
      <c r="D88">
        <v>120</v>
      </c>
      <c r="E88">
        <v>138.37339576916455</v>
      </c>
      <c r="F88">
        <v>0.85</v>
      </c>
      <c r="G88">
        <v>120</v>
      </c>
      <c r="H88">
        <v>150.13095887821979</v>
      </c>
      <c r="I88">
        <v>0.9</v>
      </c>
      <c r="J88">
        <v>100</v>
      </c>
      <c r="K88">
        <v>133.6460850963303</v>
      </c>
      <c r="L88">
        <v>1</v>
      </c>
      <c r="M88">
        <v>100</v>
      </c>
      <c r="N88">
        <v>355.18175225761956</v>
      </c>
      <c r="O88">
        <v>355.18175225761956</v>
      </c>
      <c r="P88">
        <v>355.18175225761956</v>
      </c>
      <c r="Q88">
        <v>355.18175225761956</v>
      </c>
      <c r="R88">
        <v>135.40636934928327</v>
      </c>
      <c r="S88">
        <v>122.1029849615051</v>
      </c>
      <c r="T88">
        <v>135.451292767616</v>
      </c>
      <c r="U88">
        <v>122.14790837983784</v>
      </c>
      <c r="W88">
        <f>SMALL(SimData!$R$9:$R$108,86)</f>
        <v>322.73877440835264</v>
      </c>
      <c r="X88">
        <f>1/(COUNT(SimData!$R$9:$R$108)-1)+$X$87</f>
        <v>0.85858585858585723</v>
      </c>
      <c r="Y88">
        <f>SMALL(SimData!$S$9:$S$108,86)</f>
        <v>305.9504906252875</v>
      </c>
      <c r="Z88">
        <f>1/(COUNT(SimData!$S$9:$S$108)-1)+$Z$87</f>
        <v>0.85858585858585723</v>
      </c>
      <c r="AA88">
        <f>SMALL(SimData!$T$9:$T$108,86)</f>
        <v>317.55634873375493</v>
      </c>
      <c r="AB88">
        <f>1/(COUNT(SimData!$T$9:$T$108)-1)+$AB$87</f>
        <v>0.85858585858585723</v>
      </c>
      <c r="AC88">
        <f>SMALL(SimData!$U$9:$U$108,86)</f>
        <v>300.76806495068979</v>
      </c>
      <c r="AD88">
        <f>1/(COUNT(SimData!$U$9:$U$108)-1)+$AD$87</f>
        <v>0.85858585858585723</v>
      </c>
    </row>
    <row r="89" spans="1:30">
      <c r="A89">
        <v>81</v>
      </c>
      <c r="B89">
        <v>231.64161910393619</v>
      </c>
      <c r="C89">
        <v>0.75</v>
      </c>
      <c r="D89">
        <v>120</v>
      </c>
      <c r="E89">
        <v>215.82486421730633</v>
      </c>
      <c r="F89">
        <v>0.85</v>
      </c>
      <c r="G89">
        <v>120</v>
      </c>
      <c r="H89">
        <v>227.91648677399138</v>
      </c>
      <c r="I89">
        <v>0.9</v>
      </c>
      <c r="J89">
        <v>100</v>
      </c>
      <c r="K89">
        <v>212.09973188736154</v>
      </c>
      <c r="L89">
        <v>1</v>
      </c>
      <c r="M89">
        <v>100</v>
      </c>
      <c r="N89">
        <v>401.77627936104528</v>
      </c>
      <c r="O89">
        <v>401.77627936104528</v>
      </c>
      <c r="P89">
        <v>401.77627936104528</v>
      </c>
      <c r="Q89">
        <v>401.77627936104528</v>
      </c>
      <c r="R89">
        <v>179.07356522423407</v>
      </c>
      <c r="S89">
        <v>165.37987000599259</v>
      </c>
      <c r="T89">
        <v>178.53302239687184</v>
      </c>
      <c r="U89">
        <v>164.83932717863036</v>
      </c>
      <c r="W89">
        <f>SMALL(SimData!$R$9:$R$108,87)</f>
        <v>327.05562971620856</v>
      </c>
      <c r="X89">
        <f>1/(COUNT(SimData!$R$9:$R$108)-1)+$X$88</f>
        <v>0.86868686868686729</v>
      </c>
      <c r="Y89">
        <f>SMALL(SimData!$S$9:$S$108,87)</f>
        <v>311.42740931213081</v>
      </c>
      <c r="Z89">
        <f>1/(COUNT(SimData!$S$9:$S$108)-1)+$Z$88</f>
        <v>0.86868686868686729</v>
      </c>
      <c r="AA89">
        <f>SMALL(SimData!$T$9:$T$108,87)</f>
        <v>323.61329911009193</v>
      </c>
      <c r="AB89">
        <f>1/(COUNT(SimData!$T$9:$T$108)-1)+$AB$88</f>
        <v>0.86868686868686729</v>
      </c>
      <c r="AC89">
        <f>SMALL(SimData!$U$9:$U$108,87)</f>
        <v>307.98507870601412</v>
      </c>
      <c r="AD89">
        <f>1/(COUNT(SimData!$U$9:$U$108)-1)+$AD$88</f>
        <v>0.86868686868686729</v>
      </c>
    </row>
    <row r="90" spans="1:30">
      <c r="A90">
        <v>82</v>
      </c>
      <c r="B90">
        <v>358.33057818590663</v>
      </c>
      <c r="C90">
        <v>0.75</v>
      </c>
      <c r="D90">
        <v>120</v>
      </c>
      <c r="E90">
        <v>340.83335449798562</v>
      </c>
      <c r="F90">
        <v>0.85</v>
      </c>
      <c r="G90">
        <v>120</v>
      </c>
      <c r="H90">
        <v>352.08474265402515</v>
      </c>
      <c r="I90">
        <v>0.9</v>
      </c>
      <c r="J90">
        <v>100</v>
      </c>
      <c r="K90">
        <v>334.5875189661042</v>
      </c>
      <c r="L90">
        <v>1</v>
      </c>
      <c r="M90">
        <v>100</v>
      </c>
      <c r="N90">
        <v>360.84317377438441</v>
      </c>
      <c r="O90">
        <v>360.84317377438441</v>
      </c>
      <c r="P90">
        <v>360.84317377438441</v>
      </c>
      <c r="Q90">
        <v>360.84317377438441</v>
      </c>
      <c r="R90">
        <v>150.33952414328934</v>
      </c>
      <c r="S90">
        <v>138.27237085914334</v>
      </c>
      <c r="T90">
        <v>152.23879421707031</v>
      </c>
      <c r="U90">
        <v>140.1716409329243</v>
      </c>
      <c r="W90">
        <f>SMALL(SimData!$R$9:$R$108,88)</f>
        <v>335.5582234084419</v>
      </c>
      <c r="X90">
        <f>1/(COUNT(SimData!$R$9:$R$108)-1)+$X$89</f>
        <v>0.87878787878787734</v>
      </c>
      <c r="Y90">
        <f>SMALL(SimData!$S$9:$S$108,88)</f>
        <v>319.54873935570635</v>
      </c>
      <c r="Z90">
        <f>1/(COUNT(SimData!$S$9:$S$108)-1)+$Z$89</f>
        <v>0.87878787878787734</v>
      </c>
      <c r="AA90">
        <f>SMALL(SimData!$T$9:$T$108,88)</f>
        <v>331.54399732933859</v>
      </c>
      <c r="AB90">
        <f>1/(COUNT(SimData!$T$9:$T$108)-1)+$AB$89</f>
        <v>0.87878787878787734</v>
      </c>
      <c r="AC90">
        <f>SMALL(SimData!$U$9:$U$108,88)</f>
        <v>314.40521675999025</v>
      </c>
      <c r="AD90">
        <f>1/(COUNT(SimData!$U$9:$U$108)-1)+$AD$89</f>
        <v>0.87878787878787734</v>
      </c>
    </row>
    <row r="91" spans="1:30">
      <c r="A91">
        <v>83</v>
      </c>
      <c r="B91">
        <v>224.24465829006363</v>
      </c>
      <c r="C91">
        <v>0.75</v>
      </c>
      <c r="D91">
        <v>120</v>
      </c>
      <c r="E91">
        <v>206.5347028553582</v>
      </c>
      <c r="F91">
        <v>0.85</v>
      </c>
      <c r="G91">
        <v>120</v>
      </c>
      <c r="H91">
        <v>217.67972513800549</v>
      </c>
      <c r="I91">
        <v>0.9</v>
      </c>
      <c r="J91">
        <v>100</v>
      </c>
      <c r="K91">
        <v>199.96976970330007</v>
      </c>
      <c r="L91">
        <v>1</v>
      </c>
      <c r="M91">
        <v>100</v>
      </c>
      <c r="N91">
        <v>532.99624840295883</v>
      </c>
      <c r="O91">
        <v>532.99624840295883</v>
      </c>
      <c r="P91">
        <v>532.99624840295883</v>
      </c>
      <c r="Q91">
        <v>532.99624840295883</v>
      </c>
      <c r="R91">
        <v>282.2026637969866</v>
      </c>
      <c r="S91">
        <v>264.76351918285695</v>
      </c>
      <c r="T91">
        <v>276.04394687579213</v>
      </c>
      <c r="U91">
        <v>258.60480226166248</v>
      </c>
      <c r="W91">
        <f>SMALL(SimData!$R$9:$R$108,89)</f>
        <v>339.22628565023069</v>
      </c>
      <c r="X91">
        <f>1/(COUNT(SimData!$R$9:$R$108)-1)+$X$90</f>
        <v>0.8888888888888874</v>
      </c>
      <c r="Y91">
        <f>SMALL(SimData!$S$9:$S$108,89)</f>
        <v>321.34787300544212</v>
      </c>
      <c r="Z91">
        <f>1/(COUNT(SimData!$S$9:$S$108)-1)+$Z$90</f>
        <v>0.8888888888888874</v>
      </c>
      <c r="AA91">
        <f>SMALL(SimData!$T$9:$T$108,89)</f>
        <v>332.40866668304778</v>
      </c>
      <c r="AB91">
        <f>1/(COUNT(SimData!$T$9:$T$108)-1)+$AB$90</f>
        <v>0.8888888888888874</v>
      </c>
      <c r="AC91">
        <f>SMALL(SimData!$U$9:$U$108,89)</f>
        <v>314.53025403825916</v>
      </c>
      <c r="AD91">
        <f>1/(COUNT(SimData!$U$9:$U$108)-1)+$AD$90</f>
        <v>0.8888888888888874</v>
      </c>
    </row>
    <row r="92" spans="1:30">
      <c r="A92">
        <v>84</v>
      </c>
      <c r="B92">
        <v>227.64989051217032</v>
      </c>
      <c r="C92">
        <v>0.75</v>
      </c>
      <c r="D92">
        <v>120</v>
      </c>
      <c r="E92">
        <v>211.48434927900036</v>
      </c>
      <c r="F92">
        <v>0.85</v>
      </c>
      <c r="G92">
        <v>120</v>
      </c>
      <c r="H92">
        <v>223.40157866241535</v>
      </c>
      <c r="I92">
        <v>0.9</v>
      </c>
      <c r="J92">
        <v>100</v>
      </c>
      <c r="K92">
        <v>207.23603742924536</v>
      </c>
      <c r="L92">
        <v>1</v>
      </c>
      <c r="M92">
        <v>100</v>
      </c>
      <c r="N92">
        <v>375.77831459618267</v>
      </c>
      <c r="O92">
        <v>375.77831459618267</v>
      </c>
      <c r="P92">
        <v>375.77831459618267</v>
      </c>
      <c r="Q92">
        <v>375.77831459618267</v>
      </c>
      <c r="R92">
        <v>152.49701247460303</v>
      </c>
      <c r="S92">
        <v>138.72617219172577</v>
      </c>
      <c r="T92">
        <v>151.84075205028711</v>
      </c>
      <c r="U92">
        <v>138.06991176740982</v>
      </c>
      <c r="W92">
        <f>SMALL(SimData!$R$9:$R$108,90)</f>
        <v>340.58449809926753</v>
      </c>
      <c r="X92">
        <f>1/(COUNT(SimData!$R$9:$R$108)-1)+$X$91</f>
        <v>0.89898989898989745</v>
      </c>
      <c r="Y92">
        <f>SMALL(SimData!$S$9:$S$108,90)</f>
        <v>324.73859403150163</v>
      </c>
      <c r="Z92">
        <f>1/(COUNT(SimData!$S$9:$S$108)-1)+$Z$91</f>
        <v>0.89898989898989745</v>
      </c>
      <c r="AA92">
        <f>SMALL(SimData!$T$9:$T$108,90)</f>
        <v>334.99460000427183</v>
      </c>
      <c r="AB92">
        <f>1/(COUNT(SimData!$T$9:$T$108)-1)+$AB$91</f>
        <v>0.89898989898989745</v>
      </c>
      <c r="AC92">
        <f>SMALL(SimData!$U$9:$U$108,90)</f>
        <v>315.53451327660298</v>
      </c>
      <c r="AD92">
        <f>1/(COUNT(SimData!$U$9:$U$108)-1)+$AD$91</f>
        <v>0.89898989898989745</v>
      </c>
    </row>
    <row r="93" spans="1:30">
      <c r="A93">
        <v>85</v>
      </c>
      <c r="B93">
        <v>295.66312739291453</v>
      </c>
      <c r="C93">
        <v>0.75</v>
      </c>
      <c r="D93">
        <v>120</v>
      </c>
      <c r="E93">
        <v>280.24433881048748</v>
      </c>
      <c r="F93">
        <v>0.85</v>
      </c>
      <c r="G93">
        <v>120</v>
      </c>
      <c r="H93">
        <v>292.53494451927395</v>
      </c>
      <c r="I93">
        <v>0.9</v>
      </c>
      <c r="J93">
        <v>100</v>
      </c>
      <c r="K93">
        <v>277.11615593684684</v>
      </c>
      <c r="L93">
        <v>1</v>
      </c>
      <c r="M93">
        <v>100</v>
      </c>
      <c r="N93">
        <v>434.57066935170627</v>
      </c>
      <c r="O93">
        <v>434.57066935170627</v>
      </c>
      <c r="P93">
        <v>434.57066935170627</v>
      </c>
      <c r="Q93">
        <v>434.57066935170627</v>
      </c>
      <c r="R93">
        <v>202.91849916048477</v>
      </c>
      <c r="S93">
        <v>188.03154313498857</v>
      </c>
      <c r="T93">
        <v>200.58806512224047</v>
      </c>
      <c r="U93">
        <v>185.70110909674426</v>
      </c>
      <c r="W93">
        <f>SMALL(SimData!$R$9:$R$108,91)</f>
        <v>345.87867487069417</v>
      </c>
      <c r="X93">
        <f>1/(COUNT(SimData!$R$9:$R$108)-1)+$X$92</f>
        <v>0.90909090909090751</v>
      </c>
      <c r="Y93">
        <f>SMALL(SimData!$S$9:$S$108,91)</f>
        <v>325.28929162641259</v>
      </c>
      <c r="Z93">
        <f>1/(COUNT(SimData!$S$9:$S$108)-1)+$Z$92</f>
        <v>0.90909090909090751</v>
      </c>
      <c r="AA93">
        <f>SMALL(SimData!$T$9:$T$108,91)</f>
        <v>336.81564199761863</v>
      </c>
      <c r="AB93">
        <f>1/(COUNT(SimData!$T$9:$T$108)-1)+$AB$92</f>
        <v>0.90909090909090751</v>
      </c>
      <c r="AC93">
        <f>SMALL(SimData!$U$9:$U$108,91)</f>
        <v>320.96973792985273</v>
      </c>
      <c r="AD93">
        <f>1/(COUNT(SimData!$U$9:$U$108)-1)+$AD$92</f>
        <v>0.90909090909090751</v>
      </c>
    </row>
    <row r="94" spans="1:30">
      <c r="A94">
        <v>86</v>
      </c>
      <c r="B94">
        <v>196.37934956959378</v>
      </c>
      <c r="C94">
        <v>0.75</v>
      </c>
      <c r="D94">
        <v>120</v>
      </c>
      <c r="E94">
        <v>183.11836161740126</v>
      </c>
      <c r="F94">
        <v>0.85</v>
      </c>
      <c r="G94">
        <v>120</v>
      </c>
      <c r="H94">
        <v>196.48786764130503</v>
      </c>
      <c r="I94">
        <v>0.9</v>
      </c>
      <c r="J94">
        <v>100</v>
      </c>
      <c r="K94">
        <v>183.22687968911254</v>
      </c>
      <c r="L94">
        <v>1</v>
      </c>
      <c r="M94">
        <v>100</v>
      </c>
      <c r="N94">
        <v>529.18787576988507</v>
      </c>
      <c r="O94">
        <v>529.18787576988507</v>
      </c>
      <c r="P94">
        <v>529.18787576988507</v>
      </c>
      <c r="Q94">
        <v>529.18787576988507</v>
      </c>
      <c r="R94">
        <v>284.4256959626934</v>
      </c>
      <c r="S94">
        <v>267.79073865506786</v>
      </c>
      <c r="T94">
        <v>279.47326000125508</v>
      </c>
      <c r="U94">
        <v>262.83830269362954</v>
      </c>
      <c r="W94">
        <f>SMALL(SimData!$R$9:$R$108,92)</f>
        <v>347.89113732990552</v>
      </c>
      <c r="X94">
        <f>1/(COUNT(SimData!$R$9:$R$108)-1)+$X$93</f>
        <v>0.91919191919191756</v>
      </c>
      <c r="Y94">
        <f>SMALL(SimData!$S$9:$S$108,92)</f>
        <v>330.58762787044998</v>
      </c>
      <c r="Z94">
        <f>1/(COUNT(SimData!$S$9:$S$108)-1)+$Z$93</f>
        <v>0.91919191919191756</v>
      </c>
      <c r="AA94">
        <f>SMALL(SimData!$T$9:$T$108,92)</f>
        <v>341.93587314072221</v>
      </c>
      <c r="AB94">
        <f>1/(COUNT(SimData!$T$9:$T$108)-1)+$AB$93</f>
        <v>0.91919191919191756</v>
      </c>
      <c r="AC94">
        <f>SMALL(SimData!$U$9:$U$108,92)</f>
        <v>324.63236368126661</v>
      </c>
      <c r="AD94">
        <f>1/(COUNT(SimData!$U$9:$U$108)-1)+$AD$93</f>
        <v>0.91919191919191756</v>
      </c>
    </row>
    <row r="95" spans="1:30">
      <c r="A95">
        <v>87</v>
      </c>
      <c r="B95">
        <v>158.80261692385511</v>
      </c>
      <c r="C95">
        <v>0.75</v>
      </c>
      <c r="D95">
        <v>120</v>
      </c>
      <c r="E95">
        <v>145.25874872918439</v>
      </c>
      <c r="F95">
        <v>0.85</v>
      </c>
      <c r="G95">
        <v>120</v>
      </c>
      <c r="H95">
        <v>158.486814631849</v>
      </c>
      <c r="I95">
        <v>0.9</v>
      </c>
      <c r="J95">
        <v>100</v>
      </c>
      <c r="K95">
        <v>144.94294643717825</v>
      </c>
      <c r="L95">
        <v>1</v>
      </c>
      <c r="M95">
        <v>100</v>
      </c>
      <c r="N95">
        <v>445.59062106859932</v>
      </c>
      <c r="O95">
        <v>445.59062106859932</v>
      </c>
      <c r="P95">
        <v>445.59062106859932</v>
      </c>
      <c r="Q95">
        <v>445.59062106859932</v>
      </c>
      <c r="R95">
        <v>215.52632299418963</v>
      </c>
      <c r="S95">
        <v>200.85108325093501</v>
      </c>
      <c r="T95">
        <v>213.51346337930767</v>
      </c>
      <c r="U95">
        <v>198.83822363605304</v>
      </c>
      <c r="W95">
        <f>SMALL(SimData!$R$9:$R$108,93)</f>
        <v>356.79239879683962</v>
      </c>
      <c r="X95">
        <f>1/(COUNT(SimData!$R$9:$R$108)-1)+$X$94</f>
        <v>0.92929292929292762</v>
      </c>
      <c r="Y95">
        <f>SMALL(SimData!$S$9:$S$108,93)</f>
        <v>338.44075345080074</v>
      </c>
      <c r="Z95">
        <f>1/(COUNT(SimData!$S$9:$S$108)-1)+$Z$94</f>
        <v>0.92929292929292762</v>
      </c>
      <c r="AA95">
        <f>SMALL(SimData!$T$9:$T$108,93)</f>
        <v>349.26493077778127</v>
      </c>
      <c r="AB95">
        <f>1/(COUNT(SimData!$T$9:$T$108)-1)+$AB$94</f>
        <v>0.92929292929292762</v>
      </c>
      <c r="AC95">
        <f>SMALL(SimData!$U$9:$U$108,93)</f>
        <v>330.91328543174234</v>
      </c>
      <c r="AD95">
        <f>1/(COUNT(SimData!$U$9:$U$108)-1)+$AD$94</f>
        <v>0.92929292929292762</v>
      </c>
    </row>
    <row r="96" spans="1:30">
      <c r="A96">
        <v>88</v>
      </c>
      <c r="B96">
        <v>251.61205899073963</v>
      </c>
      <c r="C96">
        <v>0.75</v>
      </c>
      <c r="D96">
        <v>120</v>
      </c>
      <c r="E96">
        <v>232.85834712438432</v>
      </c>
      <c r="F96">
        <v>0.85</v>
      </c>
      <c r="G96">
        <v>120</v>
      </c>
      <c r="H96">
        <v>243.48149119120666</v>
      </c>
      <c r="I96">
        <v>0.9</v>
      </c>
      <c r="J96">
        <v>100</v>
      </c>
      <c r="K96">
        <v>224.72777932485138</v>
      </c>
      <c r="L96">
        <v>1</v>
      </c>
      <c r="M96">
        <v>100</v>
      </c>
      <c r="N96">
        <v>556.23135690282527</v>
      </c>
      <c r="O96">
        <v>556.23135690282527</v>
      </c>
      <c r="P96">
        <v>556.23135690282527</v>
      </c>
      <c r="Q96">
        <v>556.23135690282527</v>
      </c>
      <c r="R96">
        <v>316.8925284991297</v>
      </c>
      <c r="S96">
        <v>300.9806847119703</v>
      </c>
      <c r="T96">
        <v>313.02476281839057</v>
      </c>
      <c r="U96">
        <v>297.11291903123117</v>
      </c>
      <c r="W96">
        <f>SMALL(SimData!$R$9:$R$108,94)</f>
        <v>358.62083498639265</v>
      </c>
      <c r="X96">
        <f>1/(COUNT(SimData!$R$9:$R$108)-1)+$X$95</f>
        <v>0.93939393939393767</v>
      </c>
      <c r="Y96">
        <f>SMALL(SimData!$S$9:$S$108,94)</f>
        <v>339.59157590179376</v>
      </c>
      <c r="Z96">
        <f>1/(COUNT(SimData!$S$9:$S$108)-1)+$Z$95</f>
        <v>0.93939393939393767</v>
      </c>
      <c r="AA96">
        <f>SMALL(SimData!$T$9:$T$108,94)</f>
        <v>350.07694635949429</v>
      </c>
      <c r="AB96">
        <f>1/(COUNT(SimData!$T$9:$T$108)-1)+$AB$95</f>
        <v>0.93939393939393767</v>
      </c>
      <c r="AC96">
        <f>SMALL(SimData!$U$9:$U$108,94)</f>
        <v>331.04768727489545</v>
      </c>
      <c r="AD96">
        <f>1/(COUNT(SimData!$U$9:$U$108)-1)+$AD$95</f>
        <v>0.93939393939393767</v>
      </c>
    </row>
    <row r="97" spans="1:30">
      <c r="A97">
        <v>89</v>
      </c>
      <c r="B97">
        <v>143.04194943942338</v>
      </c>
      <c r="C97">
        <v>0.75</v>
      </c>
      <c r="D97">
        <v>120</v>
      </c>
      <c r="E97">
        <v>129.27017296690815</v>
      </c>
      <c r="F97">
        <v>0.85</v>
      </c>
      <c r="G97">
        <v>120</v>
      </c>
      <c r="H97">
        <v>142.38428473065053</v>
      </c>
      <c r="I97">
        <v>0.9</v>
      </c>
      <c r="J97">
        <v>100</v>
      </c>
      <c r="K97">
        <v>128.61250825813531</v>
      </c>
      <c r="L97">
        <v>1</v>
      </c>
      <c r="M97">
        <v>100</v>
      </c>
      <c r="N97">
        <v>527.06152234924264</v>
      </c>
      <c r="O97">
        <v>527.06152234924264</v>
      </c>
      <c r="P97">
        <v>527.06152234924264</v>
      </c>
      <c r="Q97">
        <v>527.06152234924264</v>
      </c>
      <c r="R97">
        <v>279.78341369371492</v>
      </c>
      <c r="S97">
        <v>262.81299920631125</v>
      </c>
      <c r="T97">
        <v>274.32779196260935</v>
      </c>
      <c r="U97">
        <v>257.35737747520568</v>
      </c>
      <c r="W97">
        <f>SMALL(SimData!$R$9:$R$108,95)</f>
        <v>368.93122130767949</v>
      </c>
      <c r="X97">
        <f>1/(COUNT(SimData!$R$9:$R$108)-1)+$X$96</f>
        <v>0.94949494949494773</v>
      </c>
      <c r="Y97">
        <f>SMALL(SimData!$S$9:$S$108,95)</f>
        <v>352.6865726056887</v>
      </c>
      <c r="Z97">
        <f>1/(COUNT(SimData!$S$9:$S$108)-1)+$Z$96</f>
        <v>0.94949494949494773</v>
      </c>
      <c r="AA97">
        <f>SMALL(SimData!$T$9:$T$108,95)</f>
        <v>364.56424825469333</v>
      </c>
      <c r="AB97">
        <f>1/(COUNT(SimData!$T$9:$T$108)-1)+$AB$96</f>
        <v>0.94949494949494773</v>
      </c>
      <c r="AC97">
        <f>SMALL(SimData!$U$9:$U$108,95)</f>
        <v>348.31959955270247</v>
      </c>
      <c r="AD97">
        <f>1/(COUNT(SimData!$U$9:$U$108)-1)+$AD$96</f>
        <v>0.94949494949494773</v>
      </c>
    </row>
    <row r="98" spans="1:30">
      <c r="A98">
        <v>90</v>
      </c>
      <c r="B98">
        <v>420.64055276075158</v>
      </c>
      <c r="C98">
        <v>0.75</v>
      </c>
      <c r="D98">
        <v>120</v>
      </c>
      <c r="E98">
        <v>403.30410811067156</v>
      </c>
      <c r="F98">
        <v>0.85</v>
      </c>
      <c r="G98">
        <v>120</v>
      </c>
      <c r="H98">
        <v>414.63588578563144</v>
      </c>
      <c r="I98">
        <v>0.9</v>
      </c>
      <c r="J98">
        <v>100</v>
      </c>
      <c r="K98">
        <v>397.29944113555143</v>
      </c>
      <c r="L98">
        <v>1</v>
      </c>
      <c r="M98">
        <v>100</v>
      </c>
      <c r="N98">
        <v>570.63765854400697</v>
      </c>
      <c r="O98">
        <v>570.63765854400697</v>
      </c>
      <c r="P98">
        <v>570.63765854400697</v>
      </c>
      <c r="Q98">
        <v>570.63765854400697</v>
      </c>
      <c r="R98">
        <v>315.49825254300947</v>
      </c>
      <c r="S98">
        <v>297.47966507620981</v>
      </c>
      <c r="T98">
        <v>308.47037134281004</v>
      </c>
      <c r="U98">
        <v>290.45178387601038</v>
      </c>
      <c r="W98">
        <f>SMALL(SimData!$R$9:$R$108,96)</f>
        <v>377.6914328684345</v>
      </c>
      <c r="X98">
        <f>1/(COUNT(SimData!$R$9:$R$108)-1)+$X$97</f>
        <v>0.95959595959595778</v>
      </c>
      <c r="Y98">
        <f>SMALL(SimData!$S$9:$S$108,96)</f>
        <v>360.80712573344363</v>
      </c>
      <c r="Z98">
        <f>1/(COUNT(SimData!$S$9:$S$108)-1)+$Z$97</f>
        <v>0.95959595959595778</v>
      </c>
      <c r="AA98">
        <f>SMALL(SimData!$T$9:$T$108,96)</f>
        <v>372.36497216594825</v>
      </c>
      <c r="AB98">
        <f>1/(COUNT(SimData!$T$9:$T$108)-1)+$AB$97</f>
        <v>0.95959595959595778</v>
      </c>
      <c r="AC98">
        <f>SMALL(SimData!$U$9:$U$108,96)</f>
        <v>355.27758023784486</v>
      </c>
      <c r="AD98">
        <f>1/(COUNT(SimData!$U$9:$U$108)-1)+$AD$97</f>
        <v>0.95959595959595778</v>
      </c>
    </row>
    <row r="99" spans="1:30">
      <c r="A99">
        <v>91</v>
      </c>
      <c r="B99">
        <v>248.38578123064929</v>
      </c>
      <c r="C99">
        <v>0.75</v>
      </c>
      <c r="D99">
        <v>120</v>
      </c>
      <c r="E99">
        <v>234.85898135824777</v>
      </c>
      <c r="F99">
        <v>0.85</v>
      </c>
      <c r="G99">
        <v>120</v>
      </c>
      <c r="H99">
        <v>248.09558142204699</v>
      </c>
      <c r="I99">
        <v>0.9</v>
      </c>
      <c r="J99">
        <v>100</v>
      </c>
      <c r="K99">
        <v>234.56878154964548</v>
      </c>
      <c r="L99">
        <v>1</v>
      </c>
      <c r="M99">
        <v>100</v>
      </c>
      <c r="N99">
        <v>457.32352166779498</v>
      </c>
      <c r="O99">
        <v>457.32352166779498</v>
      </c>
      <c r="P99">
        <v>457.32352166779498</v>
      </c>
      <c r="Q99">
        <v>457.32352166779498</v>
      </c>
      <c r="R99">
        <v>250.58280861025469</v>
      </c>
      <c r="S99">
        <v>239.01738020258267</v>
      </c>
      <c r="T99">
        <v>253.23466599874664</v>
      </c>
      <c r="U99">
        <v>241.66923759107459</v>
      </c>
      <c r="W99">
        <f>SMALL(SimData!$R$9:$R$108,97)</f>
        <v>384.94762043473224</v>
      </c>
      <c r="X99">
        <f>1/(COUNT(SimData!$R$9:$R$108)-1)+$X$98</f>
        <v>0.96969696969696784</v>
      </c>
      <c r="Y99">
        <f>SMALL(SimData!$S$9:$S$108,97)</f>
        <v>365.12487683958818</v>
      </c>
      <c r="Z99">
        <f>1/(COUNT(SimData!$S$9:$S$108)-1)+$Z$98</f>
        <v>0.96969696969696784</v>
      </c>
      <c r="AA99">
        <f>SMALL(SimData!$T$9:$T$108,97)</f>
        <v>375.17577797234037</v>
      </c>
      <c r="AB99">
        <f>1/(COUNT(SimData!$T$9:$T$108)-1)+$AB$98</f>
        <v>0.96969696969696784</v>
      </c>
      <c r="AC99">
        <f>SMALL(SimData!$U$9:$U$108,97)</f>
        <v>355.48066503095743</v>
      </c>
      <c r="AD99">
        <f>1/(COUNT(SimData!$U$9:$U$108)-1)+$AD$98</f>
        <v>0.96969696969696784</v>
      </c>
    </row>
    <row r="100" spans="1:30">
      <c r="A100">
        <v>92</v>
      </c>
      <c r="B100">
        <v>203.04734676941789</v>
      </c>
      <c r="C100">
        <v>0.75</v>
      </c>
      <c r="D100">
        <v>120</v>
      </c>
      <c r="E100">
        <v>186.05319919175463</v>
      </c>
      <c r="F100">
        <v>0.85</v>
      </c>
      <c r="G100">
        <v>120</v>
      </c>
      <c r="H100">
        <v>197.55612540292299</v>
      </c>
      <c r="I100">
        <v>0.9</v>
      </c>
      <c r="J100">
        <v>100</v>
      </c>
      <c r="K100">
        <v>180.56197782525973</v>
      </c>
      <c r="L100">
        <v>1</v>
      </c>
      <c r="M100">
        <v>100</v>
      </c>
      <c r="N100">
        <v>325.0453778242196</v>
      </c>
      <c r="O100">
        <v>325.0453778242196</v>
      </c>
      <c r="P100">
        <v>325.0453778242196</v>
      </c>
      <c r="Q100">
        <v>325.0453778242196</v>
      </c>
      <c r="R100">
        <v>99.214777680078214</v>
      </c>
      <c r="S100">
        <v>85.104030994192698</v>
      </c>
      <c r="T100">
        <v>98.048657651249925</v>
      </c>
      <c r="U100">
        <v>83.937910965364409</v>
      </c>
      <c r="W100">
        <f>SMALL(SimData!$R$9:$R$108,98)</f>
        <v>385.02307457408369</v>
      </c>
      <c r="X100">
        <f>1/(COUNT(SimData!$R$9:$R$108)-1)+$X$99</f>
        <v>0.97979797979797789</v>
      </c>
      <c r="Y100">
        <f>SMALL(SimData!$S$9:$S$108,98)</f>
        <v>367.84138958304999</v>
      </c>
      <c r="Z100">
        <f>1/(COUNT(SimData!$S$9:$S$108)-1)+$Z$99</f>
        <v>0.97979797979797789</v>
      </c>
      <c r="AA100">
        <f>SMALL(SimData!$T$9:$T$108,98)</f>
        <v>379.28827415720889</v>
      </c>
      <c r="AB100">
        <f>1/(COUNT(SimData!$T$9:$T$108)-1)+$AB$99</f>
        <v>0.97979797979797789</v>
      </c>
      <c r="AC100">
        <f>SMALL(SimData!$U$9:$U$108,98)</f>
        <v>362.18204330552658</v>
      </c>
      <c r="AD100">
        <f>1/(COUNT(SimData!$U$9:$U$108)-1)+$AD$99</f>
        <v>0.97979797979797789</v>
      </c>
    </row>
    <row r="101" spans="1:30">
      <c r="A101">
        <v>93</v>
      </c>
      <c r="B101">
        <v>328.43584016013051</v>
      </c>
      <c r="C101">
        <v>0.75</v>
      </c>
      <c r="D101">
        <v>120</v>
      </c>
      <c r="E101">
        <v>309.76785969911128</v>
      </c>
      <c r="F101">
        <v>0.85</v>
      </c>
      <c r="G101">
        <v>120</v>
      </c>
      <c r="H101">
        <v>320.43386946860164</v>
      </c>
      <c r="I101">
        <v>0.9</v>
      </c>
      <c r="J101">
        <v>100</v>
      </c>
      <c r="K101">
        <v>301.76588900758247</v>
      </c>
      <c r="L101">
        <v>1</v>
      </c>
      <c r="M101">
        <v>100</v>
      </c>
      <c r="N101">
        <v>451.99715982356929</v>
      </c>
      <c r="O101">
        <v>451.99715982356929</v>
      </c>
      <c r="P101">
        <v>451.99715982356929</v>
      </c>
      <c r="Q101">
        <v>451.99715982356929</v>
      </c>
      <c r="R101">
        <v>213.38358612311103</v>
      </c>
      <c r="S101">
        <v>197.56844296304993</v>
      </c>
      <c r="T101">
        <v>209.66087138301938</v>
      </c>
      <c r="U101">
        <v>193.84572822295829</v>
      </c>
      <c r="W101">
        <f>SMALL(SimData!$R$9:$R$108,99)</f>
        <v>406.2885862740859</v>
      </c>
      <c r="X101">
        <f>1/(COUNT(SimData!$R$9:$R$108)-1)+$X$100</f>
        <v>0.98989898989898795</v>
      </c>
      <c r="Y101">
        <f>SMALL(SimData!$S$9:$S$108,99)</f>
        <v>389.69863003680865</v>
      </c>
      <c r="Z101">
        <f>1/(COUNT(SimData!$S$9:$S$108)-1)+$Z$100</f>
        <v>0.98989898989898795</v>
      </c>
      <c r="AA101">
        <f>SMALL(SimData!$T$9:$T$108,99)</f>
        <v>401.40365191817</v>
      </c>
      <c r="AB101">
        <f>1/(COUNT(SimData!$T$9:$T$108)-1)+$AB$100</f>
        <v>0.98989898989898795</v>
      </c>
      <c r="AC101">
        <f>SMALL(SimData!$U$9:$U$108,99)</f>
        <v>384.81369568089275</v>
      </c>
      <c r="AD101">
        <f>1/(COUNT(SimData!$U$9:$U$108)-1)+$AD$100</f>
        <v>0.98989898989898795</v>
      </c>
    </row>
    <row r="102" spans="1:30">
      <c r="A102">
        <v>94</v>
      </c>
      <c r="B102">
        <v>212.96503731362969</v>
      </c>
      <c r="C102">
        <v>0.75</v>
      </c>
      <c r="D102">
        <v>120</v>
      </c>
      <c r="E102">
        <v>200.74472272172397</v>
      </c>
      <c r="F102">
        <v>0.85</v>
      </c>
      <c r="G102">
        <v>120</v>
      </c>
      <c r="H102">
        <v>214.63456542577114</v>
      </c>
      <c r="I102">
        <v>0.9</v>
      </c>
      <c r="J102">
        <v>100</v>
      </c>
      <c r="K102">
        <v>202.41425083386545</v>
      </c>
      <c r="L102">
        <v>1</v>
      </c>
      <c r="M102">
        <v>100</v>
      </c>
      <c r="N102">
        <v>310.39657320540431</v>
      </c>
      <c r="O102">
        <v>310.39657320540431</v>
      </c>
      <c r="P102">
        <v>310.39657320540431</v>
      </c>
      <c r="Q102">
        <v>310.39657320540431</v>
      </c>
      <c r="R102">
        <v>88.955769993073602</v>
      </c>
      <c r="S102">
        <v>75.430329564762843</v>
      </c>
      <c r="T102">
        <v>88.667609350607449</v>
      </c>
      <c r="U102">
        <v>75.14216892229669</v>
      </c>
      <c r="W102">
        <f>SMALL(SimData!$R$9:$R$108,100)</f>
        <v>420.95674930359797</v>
      </c>
      <c r="X102">
        <f>1/(COUNT(SimData!$R$9:$R$108)-1)+$X$101</f>
        <v>0.999999999999998</v>
      </c>
      <c r="Y102">
        <f>SMALL(SimData!$S$9:$S$108,100)</f>
        <v>405.70905497607572</v>
      </c>
      <c r="Z102">
        <f>1/(COUNT(SimData!$S$9:$S$108)-1)+$Z$101</f>
        <v>0.999999999999998</v>
      </c>
      <c r="AA102">
        <f>SMALL(SimData!$T$9:$T$108,100)</f>
        <v>418.08520781231459</v>
      </c>
      <c r="AB102">
        <f>1/(COUNT(SimData!$T$9:$T$108)-1)+$AB$101</f>
        <v>0.999999999999998</v>
      </c>
      <c r="AC102">
        <f>SMALL(SimData!$U$9:$U$108,100)</f>
        <v>402.83751348479234</v>
      </c>
      <c r="AD102">
        <f>1/(COUNT(SimData!$U$9:$U$108)-1)+$AD$101</f>
        <v>0.999999999999998</v>
      </c>
    </row>
    <row r="103" spans="1:30">
      <c r="A103">
        <v>95</v>
      </c>
      <c r="B103">
        <v>357.91177042396885</v>
      </c>
      <c r="C103">
        <v>0.75</v>
      </c>
      <c r="D103">
        <v>120</v>
      </c>
      <c r="E103">
        <v>338.62960650008097</v>
      </c>
      <c r="F103">
        <v>0.85</v>
      </c>
      <c r="G103">
        <v>120</v>
      </c>
      <c r="H103">
        <v>348.98852453813703</v>
      </c>
      <c r="I103">
        <v>0.9</v>
      </c>
      <c r="J103">
        <v>100</v>
      </c>
      <c r="K103">
        <v>329.70636061424909</v>
      </c>
      <c r="L103">
        <v>1</v>
      </c>
      <c r="M103">
        <v>100</v>
      </c>
      <c r="N103">
        <v>650.71325805366541</v>
      </c>
      <c r="O103">
        <v>650.71325805366541</v>
      </c>
      <c r="P103">
        <v>650.71325805366541</v>
      </c>
      <c r="Q103">
        <v>650.71325805366541</v>
      </c>
      <c r="R103">
        <v>406.2885862740859</v>
      </c>
      <c r="S103">
        <v>389.69863003680865</v>
      </c>
      <c r="T103">
        <v>401.40365191817</v>
      </c>
      <c r="U103">
        <v>384.81369568089275</v>
      </c>
    </row>
    <row r="104" spans="1:30">
      <c r="A104">
        <v>96</v>
      </c>
      <c r="B104">
        <v>263.91116319922168</v>
      </c>
      <c r="C104">
        <v>0.75</v>
      </c>
      <c r="D104">
        <v>120</v>
      </c>
      <c r="E104">
        <v>245.27572506566679</v>
      </c>
      <c r="F104">
        <v>0.85</v>
      </c>
      <c r="G104">
        <v>120</v>
      </c>
      <c r="H104">
        <v>255.95800599888935</v>
      </c>
      <c r="I104">
        <v>0.9</v>
      </c>
      <c r="J104">
        <v>100</v>
      </c>
      <c r="K104">
        <v>237.32256786533449</v>
      </c>
      <c r="L104">
        <v>1</v>
      </c>
      <c r="M104">
        <v>100</v>
      </c>
      <c r="N104">
        <v>479.59488798497244</v>
      </c>
      <c r="O104">
        <v>479.59488798497244</v>
      </c>
      <c r="P104">
        <v>479.59488798497244</v>
      </c>
      <c r="Q104">
        <v>479.59488798497244</v>
      </c>
      <c r="R104">
        <v>235.80424195473648</v>
      </c>
      <c r="S104">
        <v>219.29882248403837</v>
      </c>
      <c r="T104">
        <v>231.0461127486893</v>
      </c>
      <c r="U104">
        <v>214.54069327799118</v>
      </c>
    </row>
    <row r="105" spans="1:30">
      <c r="A105">
        <v>97</v>
      </c>
      <c r="B105">
        <v>158.6367153901345</v>
      </c>
      <c r="C105">
        <v>0.75</v>
      </c>
      <c r="D105">
        <v>120</v>
      </c>
      <c r="E105">
        <v>148.27266798623174</v>
      </c>
      <c r="F105">
        <v>0.85</v>
      </c>
      <c r="G105">
        <v>120</v>
      </c>
      <c r="H105">
        <v>163.09064428428033</v>
      </c>
      <c r="I105">
        <v>0.9</v>
      </c>
      <c r="J105">
        <v>100</v>
      </c>
      <c r="K105">
        <v>152.72659688037754</v>
      </c>
      <c r="L105">
        <v>1</v>
      </c>
      <c r="M105">
        <v>100</v>
      </c>
      <c r="N105">
        <v>299.93103594877226</v>
      </c>
      <c r="O105">
        <v>299.93103594877226</v>
      </c>
      <c r="P105">
        <v>299.93103594877226</v>
      </c>
      <c r="Q105">
        <v>299.93103594877226</v>
      </c>
      <c r="R105">
        <v>116.85866967657782</v>
      </c>
      <c r="S105">
        <v>108.44902084028523</v>
      </c>
      <c r="T105">
        <v>124.24419642213893</v>
      </c>
      <c r="U105">
        <v>115.83454758584634</v>
      </c>
    </row>
    <row r="106" spans="1:30">
      <c r="A106">
        <v>98</v>
      </c>
      <c r="B106">
        <v>275.68753263629412</v>
      </c>
      <c r="C106">
        <v>0.75</v>
      </c>
      <c r="D106">
        <v>120</v>
      </c>
      <c r="E106">
        <v>257.19499883965432</v>
      </c>
      <c r="F106">
        <v>0.85</v>
      </c>
      <c r="G106">
        <v>120</v>
      </c>
      <c r="H106">
        <v>267.94873194133447</v>
      </c>
      <c r="I106">
        <v>0.9</v>
      </c>
      <c r="J106">
        <v>100</v>
      </c>
      <c r="K106">
        <v>249.4561981446947</v>
      </c>
      <c r="L106">
        <v>1</v>
      </c>
      <c r="M106">
        <v>100</v>
      </c>
      <c r="N106">
        <v>357.68458295087345</v>
      </c>
      <c r="O106">
        <v>357.68458295087345</v>
      </c>
      <c r="P106">
        <v>357.68458295087345</v>
      </c>
      <c r="Q106">
        <v>357.68458295087345</v>
      </c>
      <c r="R106">
        <v>156.48085069920216</v>
      </c>
      <c r="S106">
        <v>145.65368639897932</v>
      </c>
      <c r="T106">
        <v>160.24010424886791</v>
      </c>
      <c r="U106">
        <v>149.41293994864506</v>
      </c>
    </row>
    <row r="107" spans="1:30">
      <c r="A107">
        <v>99</v>
      </c>
      <c r="B107">
        <v>251.52512962334973</v>
      </c>
      <c r="C107">
        <v>0.75</v>
      </c>
      <c r="D107">
        <v>120</v>
      </c>
      <c r="E107">
        <v>234.79196384470052</v>
      </c>
      <c r="F107">
        <v>0.85</v>
      </c>
      <c r="G107">
        <v>120</v>
      </c>
      <c r="H107">
        <v>246.42538095537589</v>
      </c>
      <c r="I107">
        <v>0.9</v>
      </c>
      <c r="J107">
        <v>100</v>
      </c>
      <c r="K107">
        <v>229.69221517672668</v>
      </c>
      <c r="L107">
        <v>1</v>
      </c>
      <c r="M107">
        <v>100</v>
      </c>
      <c r="N107">
        <v>428.24762823990426</v>
      </c>
      <c r="O107">
        <v>428.24762823990426</v>
      </c>
      <c r="P107">
        <v>428.24762823990426</v>
      </c>
      <c r="Q107">
        <v>428.24762823990426</v>
      </c>
      <c r="R107">
        <v>161.94363415311722</v>
      </c>
      <c r="S107">
        <v>142.43643494154563</v>
      </c>
      <c r="T107">
        <v>152.68283533575979</v>
      </c>
      <c r="U107">
        <v>133.1756361241882</v>
      </c>
    </row>
    <row r="108" spans="1:30">
      <c r="A108">
        <v>100</v>
      </c>
      <c r="B108">
        <v>175.4774517754405</v>
      </c>
      <c r="C108">
        <v>0.75</v>
      </c>
      <c r="D108">
        <v>120</v>
      </c>
      <c r="E108">
        <v>160.80440035488891</v>
      </c>
      <c r="F108">
        <v>0.85</v>
      </c>
      <c r="G108">
        <v>120</v>
      </c>
      <c r="H108">
        <v>173.46787464461312</v>
      </c>
      <c r="I108">
        <v>0.9</v>
      </c>
      <c r="J108">
        <v>100</v>
      </c>
      <c r="K108">
        <v>158.79482322406156</v>
      </c>
      <c r="L108">
        <v>1</v>
      </c>
      <c r="M108">
        <v>100</v>
      </c>
      <c r="N108">
        <v>546.2760453628365</v>
      </c>
      <c r="O108">
        <v>546.2760453628365</v>
      </c>
      <c r="P108">
        <v>546.2760453628365</v>
      </c>
      <c r="Q108">
        <v>546.2760453628365</v>
      </c>
      <c r="R108">
        <v>281.67502819712251</v>
      </c>
      <c r="S108">
        <v>262.39489257502726</v>
      </c>
      <c r="T108">
        <v>272.75482476397968</v>
      </c>
      <c r="U108">
        <v>253.47468914188448</v>
      </c>
    </row>
    <row r="109" spans="1:30">
      <c r="A109">
        <v>101</v>
      </c>
      <c r="B109">
        <v>302.7528867480525</v>
      </c>
      <c r="C109">
        <v>0.75</v>
      </c>
      <c r="D109">
        <v>120</v>
      </c>
      <c r="E109">
        <v>287.53308556443687</v>
      </c>
      <c r="F109">
        <v>0.85</v>
      </c>
      <c r="G109">
        <v>120</v>
      </c>
      <c r="H109">
        <v>299.92318497262903</v>
      </c>
      <c r="I109">
        <v>0.9</v>
      </c>
      <c r="J109">
        <v>100</v>
      </c>
      <c r="K109">
        <v>284.7033837890134</v>
      </c>
      <c r="L109">
        <v>1</v>
      </c>
      <c r="M109">
        <v>100</v>
      </c>
    </row>
    <row r="110" spans="1:30">
      <c r="A110">
        <v>102</v>
      </c>
      <c r="B110">
        <v>241.42116074456251</v>
      </c>
      <c r="C110">
        <v>0.75</v>
      </c>
      <c r="D110">
        <v>120</v>
      </c>
      <c r="E110">
        <v>226.79432671486313</v>
      </c>
      <c r="F110">
        <v>0.85</v>
      </c>
      <c r="G110">
        <v>120</v>
      </c>
      <c r="H110">
        <v>239.48090970001343</v>
      </c>
      <c r="I110">
        <v>0.9</v>
      </c>
      <c r="J110">
        <v>100</v>
      </c>
      <c r="K110">
        <v>224.85407567031402</v>
      </c>
      <c r="L110">
        <v>1</v>
      </c>
      <c r="M110">
        <v>100</v>
      </c>
    </row>
    <row r="111" spans="1:30">
      <c r="A111">
        <v>103</v>
      </c>
      <c r="B111">
        <v>216.28810892636804</v>
      </c>
      <c r="C111">
        <v>0.75</v>
      </c>
      <c r="D111">
        <v>120</v>
      </c>
      <c r="E111">
        <v>202.39494422049103</v>
      </c>
      <c r="F111">
        <v>0.85</v>
      </c>
      <c r="G111">
        <v>120</v>
      </c>
      <c r="H111">
        <v>215.44836186755253</v>
      </c>
      <c r="I111">
        <v>0.9</v>
      </c>
      <c r="J111">
        <v>100</v>
      </c>
      <c r="K111">
        <v>201.55519716167552</v>
      </c>
      <c r="L111">
        <v>1</v>
      </c>
      <c r="M111">
        <v>100</v>
      </c>
      <c r="N111" t="str">
        <f>IF(ISBLANK($N110)=TRUE,"",_xll.EDF(N9:N108,$N110))</f>
        <v/>
      </c>
      <c r="O111" t="str">
        <f>IF(ISBLANK($O110)=TRUE,"",_xll.EDF(O9:O108,$O110))</f>
        <v/>
      </c>
      <c r="P111" t="str">
        <f>IF(ISBLANK($P110)=TRUE,"",_xll.EDF(P9:P108,$P110))</f>
        <v/>
      </c>
      <c r="Q111" t="str">
        <f>IF(ISBLANK($Q110)=TRUE,"",_xll.EDF(Q9:Q108,$Q110))</f>
        <v/>
      </c>
      <c r="R111" t="str">
        <f>IF(ISBLANK($R110)=TRUE,"",_xll.EDF(R9:R108,$R110))</f>
        <v/>
      </c>
      <c r="S111" t="str">
        <f>IF(ISBLANK($S110)=TRUE,"",_xll.EDF(S9:S108,$S110))</f>
        <v/>
      </c>
      <c r="T111" t="str">
        <f>IF(ISBLANK($T110)=TRUE,"",_xll.EDF(T9:T108,$T110))</f>
        <v/>
      </c>
      <c r="U111" t="str">
        <f>IF(ISBLANK($U110)=TRUE,"",_xll.EDF(U9:U108,$U110))</f>
        <v/>
      </c>
    </row>
    <row r="112" spans="1:30">
      <c r="A112">
        <v>104</v>
      </c>
      <c r="B112">
        <v>154.21266683292257</v>
      </c>
      <c r="C112">
        <v>0.75</v>
      </c>
      <c r="D112">
        <v>120</v>
      </c>
      <c r="E112">
        <v>140.13714306149888</v>
      </c>
      <c r="F112">
        <v>0.85</v>
      </c>
      <c r="G112">
        <v>120</v>
      </c>
      <c r="H112">
        <v>153.09938117578702</v>
      </c>
      <c r="I112">
        <v>0.9</v>
      </c>
      <c r="J112">
        <v>100</v>
      </c>
      <c r="K112">
        <v>139.0238574043633</v>
      </c>
      <c r="L112">
        <v>1</v>
      </c>
      <c r="M112">
        <v>100</v>
      </c>
    </row>
    <row r="113" spans="1:21">
      <c r="A113">
        <v>105</v>
      </c>
      <c r="B113">
        <v>273.00520504471251</v>
      </c>
      <c r="C113">
        <v>0.75</v>
      </c>
      <c r="D113">
        <v>120</v>
      </c>
      <c r="E113">
        <v>256.78943281239765</v>
      </c>
      <c r="F113">
        <v>0.85</v>
      </c>
      <c r="G113">
        <v>120</v>
      </c>
      <c r="H113">
        <v>268.68154669624016</v>
      </c>
      <c r="I113">
        <v>0.9</v>
      </c>
      <c r="J113">
        <v>100</v>
      </c>
      <c r="K113">
        <v>252.46577446392527</v>
      </c>
      <c r="L113">
        <v>1</v>
      </c>
      <c r="M113">
        <v>100</v>
      </c>
      <c r="N113" t="str">
        <f>IF(ISBLANK($N112)=TRUE,"",_xll.EDF(N9:N108,$N112))</f>
        <v/>
      </c>
      <c r="O113" t="str">
        <f>IF(ISBLANK($O112)=TRUE,"",_xll.EDF(O9:O108,$O112))</f>
        <v/>
      </c>
      <c r="P113" t="str">
        <f>IF(ISBLANK($P112)=TRUE,"",_xll.EDF(P9:P108,$P112))</f>
        <v/>
      </c>
      <c r="Q113" t="str">
        <f>IF(ISBLANK($Q112)=TRUE,"",_xll.EDF(Q9:Q108,$Q112))</f>
        <v/>
      </c>
      <c r="R113" t="str">
        <f>IF(ISBLANK($R112)=TRUE,"",_xll.EDF(R9:R108,$R112))</f>
        <v/>
      </c>
      <c r="S113" t="str">
        <f>IF(ISBLANK($S112)=TRUE,"",_xll.EDF(S9:S108,$S112))</f>
        <v/>
      </c>
      <c r="T113" t="str">
        <f>IF(ISBLANK($T112)=TRUE,"",_xll.EDF(T9:T108,$T112))</f>
        <v/>
      </c>
      <c r="U113" t="str">
        <f>IF(ISBLANK($U112)=TRUE,"",_xll.EDF(U9:U108,$U112))</f>
        <v/>
      </c>
    </row>
    <row r="114" spans="1:21">
      <c r="A114">
        <v>106</v>
      </c>
      <c r="B114">
        <v>152.67855171049277</v>
      </c>
      <c r="C114">
        <v>0.75</v>
      </c>
      <c r="D114">
        <v>120</v>
      </c>
      <c r="E114">
        <v>139.96171936186818</v>
      </c>
      <c r="F114">
        <v>0.85</v>
      </c>
      <c r="G114">
        <v>120</v>
      </c>
      <c r="H114">
        <v>153.60330318755587</v>
      </c>
      <c r="I114">
        <v>0.9</v>
      </c>
      <c r="J114">
        <v>100</v>
      </c>
      <c r="K114">
        <v>140.88647083893125</v>
      </c>
      <c r="L114">
        <v>1</v>
      </c>
      <c r="M114">
        <v>100</v>
      </c>
    </row>
    <row r="115" spans="1:21">
      <c r="A115">
        <v>107</v>
      </c>
      <c r="B115">
        <v>242.17906480088948</v>
      </c>
      <c r="C115">
        <v>0.75</v>
      </c>
      <c r="D115">
        <v>120</v>
      </c>
      <c r="E115">
        <v>229.63036012124149</v>
      </c>
      <c r="F115">
        <v>0.85</v>
      </c>
      <c r="G115">
        <v>120</v>
      </c>
      <c r="H115">
        <v>243.35600778141753</v>
      </c>
      <c r="I115">
        <v>0.9</v>
      </c>
      <c r="J115">
        <v>100</v>
      </c>
      <c r="K115">
        <v>230.80730310176955</v>
      </c>
      <c r="L115">
        <v>1</v>
      </c>
      <c r="M115">
        <v>100</v>
      </c>
      <c r="N115" t="str">
        <f>IF(ISBLANK($N114)=TRUE,"",_xll.EDF(N9:N108,$N114))</f>
        <v/>
      </c>
      <c r="O115" t="str">
        <f>IF(ISBLANK($O114)=TRUE,"",_xll.EDF(O9:O108,$O114))</f>
        <v/>
      </c>
      <c r="P115" t="str">
        <f>IF(ISBLANK($P114)=TRUE,"",_xll.EDF(P9:P108,$P114))</f>
        <v/>
      </c>
      <c r="Q115" t="str">
        <f>IF(ISBLANK($Q114)=TRUE,"",_xll.EDF(Q9:Q108,$Q114))</f>
        <v/>
      </c>
      <c r="R115" t="str">
        <f>IF(ISBLANK($R114)=TRUE,"",_xll.EDF(R9:R108,$R114))</f>
        <v/>
      </c>
      <c r="S115" t="str">
        <f>IF(ISBLANK($S114)=TRUE,"",_xll.EDF(S9:S108,$S114))</f>
        <v/>
      </c>
      <c r="T115" t="str">
        <f>IF(ISBLANK($T114)=TRUE,"",_xll.EDF(T9:T108,$T114))</f>
        <v/>
      </c>
      <c r="U115" t="str">
        <f>IF(ISBLANK($U114)=TRUE,"",_xll.EDF(U9:U108,$U114))</f>
        <v/>
      </c>
    </row>
    <row r="116" spans="1:21">
      <c r="A116">
        <v>108</v>
      </c>
      <c r="B116">
        <v>111.98120061190738</v>
      </c>
      <c r="C116">
        <v>0.75</v>
      </c>
      <c r="D116">
        <v>120</v>
      </c>
      <c r="E116">
        <v>97.794590628806418</v>
      </c>
      <c r="F116">
        <v>0.85</v>
      </c>
      <c r="G116">
        <v>120</v>
      </c>
      <c r="H116">
        <v>110.70128563725592</v>
      </c>
      <c r="I116">
        <v>0.9</v>
      </c>
      <c r="J116">
        <v>100</v>
      </c>
      <c r="K116">
        <v>96.514675654154956</v>
      </c>
      <c r="L116">
        <v>1</v>
      </c>
      <c r="M116">
        <v>100</v>
      </c>
    </row>
    <row r="117" spans="1:21">
      <c r="A117">
        <v>109</v>
      </c>
      <c r="B117">
        <v>191.22279962621886</v>
      </c>
      <c r="C117">
        <v>0.75</v>
      </c>
      <c r="D117">
        <v>120</v>
      </c>
      <c r="E117">
        <v>176.18911167257585</v>
      </c>
      <c r="F117">
        <v>0.85</v>
      </c>
      <c r="G117">
        <v>120</v>
      </c>
      <c r="H117">
        <v>188.67226769575436</v>
      </c>
      <c r="I117">
        <v>0.9</v>
      </c>
      <c r="J117">
        <v>100</v>
      </c>
      <c r="K117">
        <v>173.63857974211135</v>
      </c>
      <c r="L117">
        <v>1</v>
      </c>
      <c r="M117">
        <v>100</v>
      </c>
      <c r="N117" t="str">
        <f>IF(ISBLANK($N116)=TRUE,"",_xll.EDF(N9:N108,$N116))</f>
        <v/>
      </c>
      <c r="O117" t="str">
        <f>IF(ISBLANK($O116)=TRUE,"",_xll.EDF(O9:O108,$O116))</f>
        <v/>
      </c>
      <c r="P117" t="str">
        <f>IF(ISBLANK($P116)=TRUE,"",_xll.EDF(P9:P108,$P116))</f>
        <v/>
      </c>
      <c r="Q117" t="str">
        <f>IF(ISBLANK($Q116)=TRUE,"",_xll.EDF(Q9:Q108,$Q116))</f>
        <v/>
      </c>
      <c r="R117" t="str">
        <f>IF(ISBLANK($R116)=TRUE,"",_xll.EDF(R9:R108,$R116))</f>
        <v/>
      </c>
      <c r="S117" t="str">
        <f>IF(ISBLANK($S116)=TRUE,"",_xll.EDF(S9:S108,$S116))</f>
        <v/>
      </c>
      <c r="T117" t="str">
        <f>IF(ISBLANK($T116)=TRUE,"",_xll.EDF(T9:T108,$T116))</f>
        <v/>
      </c>
      <c r="U117" t="str">
        <f>IF(ISBLANK($U116)=TRUE,"",_xll.EDF(U9:U108,$U116))</f>
        <v/>
      </c>
    </row>
    <row r="118" spans="1:21">
      <c r="A118">
        <v>110</v>
      </c>
      <c r="B118">
        <v>225.18719567888866</v>
      </c>
      <c r="C118">
        <v>0.75</v>
      </c>
      <c r="D118">
        <v>120</v>
      </c>
      <c r="E118">
        <v>206.74323688554051</v>
      </c>
      <c r="F118">
        <v>0.85</v>
      </c>
      <c r="G118">
        <v>120</v>
      </c>
      <c r="H118">
        <v>217.52125748886644</v>
      </c>
      <c r="I118">
        <v>0.9</v>
      </c>
      <c r="J118">
        <v>100</v>
      </c>
      <c r="K118">
        <v>199.07729869551832</v>
      </c>
      <c r="L118">
        <v>1</v>
      </c>
      <c r="M118">
        <v>100</v>
      </c>
    </row>
    <row r="119" spans="1:21">
      <c r="A119">
        <v>111</v>
      </c>
      <c r="B119">
        <v>276.291825671651</v>
      </c>
      <c r="C119">
        <v>0.75</v>
      </c>
      <c r="D119">
        <v>120</v>
      </c>
      <c r="E119">
        <v>259.25239682367061</v>
      </c>
      <c r="F119">
        <v>0.85</v>
      </c>
      <c r="G119">
        <v>120</v>
      </c>
      <c r="H119">
        <v>270.73268239968041</v>
      </c>
      <c r="I119">
        <v>0.9</v>
      </c>
      <c r="J119">
        <v>100</v>
      </c>
      <c r="K119">
        <v>253.69325355170002</v>
      </c>
      <c r="L119">
        <v>1</v>
      </c>
      <c r="M119">
        <v>100</v>
      </c>
      <c r="N119" t="str">
        <f>IF(ISBLANK($N118)=TRUE,"",_xll.EDF(N9:N108,$N118))</f>
        <v/>
      </c>
      <c r="O119" t="str">
        <f>IF(ISBLANK($O118)=TRUE,"",_xll.EDF(O9:O108,$O118))</f>
        <v/>
      </c>
      <c r="P119" t="str">
        <f>IF(ISBLANK($P118)=TRUE,"",_xll.EDF(P9:P108,$P118))</f>
        <v/>
      </c>
      <c r="Q119" t="str">
        <f>IF(ISBLANK($Q118)=TRUE,"",_xll.EDF(Q9:Q108,$Q118))</f>
        <v/>
      </c>
      <c r="R119" t="str">
        <f>IF(ISBLANK($R118)=TRUE,"",_xll.EDF(R9:R108,$R118))</f>
        <v/>
      </c>
      <c r="S119" t="str">
        <f>IF(ISBLANK($S118)=TRUE,"",_xll.EDF(S9:S108,$S118))</f>
        <v/>
      </c>
      <c r="T119" t="str">
        <f>IF(ISBLANK($T118)=TRUE,"",_xll.EDF(T9:T108,$T118))</f>
        <v/>
      </c>
      <c r="U119" t="str">
        <f>IF(ISBLANK($U118)=TRUE,"",_xll.EDF(U9:U108,$U118))</f>
        <v/>
      </c>
    </row>
    <row r="120" spans="1:21">
      <c r="A120">
        <v>112</v>
      </c>
      <c r="B120">
        <v>115.62693007096809</v>
      </c>
      <c r="C120">
        <v>0.75</v>
      </c>
      <c r="D120">
        <v>120</v>
      </c>
      <c r="E120">
        <v>101.33492455083527</v>
      </c>
      <c r="F120">
        <v>0.85</v>
      </c>
      <c r="G120">
        <v>120</v>
      </c>
      <c r="H120">
        <v>114.18892179076886</v>
      </c>
      <c r="I120">
        <v>0.9</v>
      </c>
      <c r="J120">
        <v>100</v>
      </c>
      <c r="K120">
        <v>99.896916270636041</v>
      </c>
      <c r="L120">
        <v>1</v>
      </c>
      <c r="M120">
        <v>100</v>
      </c>
    </row>
    <row r="121" spans="1:21">
      <c r="A121">
        <v>113</v>
      </c>
      <c r="B121">
        <v>172.37467698612892</v>
      </c>
      <c r="C121">
        <v>0.75</v>
      </c>
      <c r="D121">
        <v>120</v>
      </c>
      <c r="E121">
        <v>159.74598056831388</v>
      </c>
      <c r="F121">
        <v>0.85</v>
      </c>
      <c r="G121">
        <v>120</v>
      </c>
      <c r="H121">
        <v>173.43163235940634</v>
      </c>
      <c r="I121">
        <v>0.9</v>
      </c>
      <c r="J121">
        <v>100</v>
      </c>
      <c r="K121">
        <v>160.80293594159127</v>
      </c>
      <c r="L121">
        <v>1</v>
      </c>
      <c r="M121">
        <v>100</v>
      </c>
    </row>
    <row r="122" spans="1:21">
      <c r="A122">
        <v>114</v>
      </c>
      <c r="B122">
        <v>318.08560383355785</v>
      </c>
      <c r="C122">
        <v>0.75</v>
      </c>
      <c r="D122">
        <v>120</v>
      </c>
      <c r="E122">
        <v>303.19423629725065</v>
      </c>
      <c r="F122">
        <v>0.85</v>
      </c>
      <c r="G122">
        <v>120</v>
      </c>
      <c r="H122">
        <v>315.74855252909703</v>
      </c>
      <c r="I122">
        <v>0.9</v>
      </c>
      <c r="J122">
        <v>100</v>
      </c>
      <c r="K122">
        <v>300.85718499278983</v>
      </c>
      <c r="L122">
        <v>1</v>
      </c>
      <c r="M122">
        <v>100</v>
      </c>
    </row>
    <row r="123" spans="1:21">
      <c r="A123">
        <v>115</v>
      </c>
      <c r="B123">
        <v>257.45889437596668</v>
      </c>
      <c r="C123">
        <v>0.75</v>
      </c>
      <c r="D123">
        <v>120</v>
      </c>
      <c r="E123">
        <v>241.01948640640921</v>
      </c>
      <c r="F123">
        <v>0.85</v>
      </c>
      <c r="G123">
        <v>120</v>
      </c>
      <c r="H123">
        <v>252.79978242163048</v>
      </c>
      <c r="I123">
        <v>0.9</v>
      </c>
      <c r="J123">
        <v>100</v>
      </c>
      <c r="K123">
        <v>236.36037445207305</v>
      </c>
      <c r="L123">
        <v>1</v>
      </c>
      <c r="M123">
        <v>100</v>
      </c>
    </row>
    <row r="124" spans="1:21">
      <c r="A124">
        <v>116</v>
      </c>
      <c r="B124">
        <v>255.10814959000757</v>
      </c>
      <c r="C124">
        <v>0.75</v>
      </c>
      <c r="D124">
        <v>120</v>
      </c>
      <c r="E124">
        <v>241.77454393221291</v>
      </c>
      <c r="F124">
        <v>0.85</v>
      </c>
      <c r="G124">
        <v>120</v>
      </c>
      <c r="H124">
        <v>255.10774110331553</v>
      </c>
      <c r="I124">
        <v>0.9</v>
      </c>
      <c r="J124">
        <v>100</v>
      </c>
      <c r="K124">
        <v>241.77413544552084</v>
      </c>
      <c r="L124">
        <v>1</v>
      </c>
      <c r="M124">
        <v>100</v>
      </c>
    </row>
    <row r="125" spans="1:21">
      <c r="A125">
        <v>117</v>
      </c>
      <c r="B125">
        <v>262.28488678129258</v>
      </c>
      <c r="C125">
        <v>0.75</v>
      </c>
      <c r="D125">
        <v>120</v>
      </c>
      <c r="E125">
        <v>247.5134443833569</v>
      </c>
      <c r="F125">
        <v>0.85</v>
      </c>
      <c r="G125">
        <v>120</v>
      </c>
      <c r="H125">
        <v>260.12772318438903</v>
      </c>
      <c r="I125">
        <v>0.9</v>
      </c>
      <c r="J125">
        <v>100</v>
      </c>
      <c r="K125">
        <v>245.35628078645331</v>
      </c>
      <c r="L125">
        <v>1</v>
      </c>
      <c r="M125">
        <v>100</v>
      </c>
    </row>
    <row r="126" spans="1:21">
      <c r="A126">
        <v>118</v>
      </c>
      <c r="B126">
        <v>306.94386036944604</v>
      </c>
      <c r="C126">
        <v>0.75</v>
      </c>
      <c r="D126">
        <v>120</v>
      </c>
      <c r="E126">
        <v>289.87743060801949</v>
      </c>
      <c r="F126">
        <v>0.85</v>
      </c>
      <c r="G126">
        <v>120</v>
      </c>
      <c r="H126">
        <v>301.34421572730628</v>
      </c>
      <c r="I126">
        <v>0.9</v>
      </c>
      <c r="J126">
        <v>100</v>
      </c>
      <c r="K126">
        <v>284.27778596587973</v>
      </c>
      <c r="L126">
        <v>1</v>
      </c>
      <c r="M126">
        <v>100</v>
      </c>
    </row>
    <row r="127" spans="1:21">
      <c r="A127">
        <v>119</v>
      </c>
      <c r="B127">
        <v>106.48943818256095</v>
      </c>
      <c r="C127">
        <v>0.75</v>
      </c>
      <c r="D127">
        <v>120</v>
      </c>
      <c r="E127">
        <v>93.41060111552396</v>
      </c>
      <c r="F127">
        <v>0.85</v>
      </c>
      <c r="G127">
        <v>120</v>
      </c>
      <c r="H127">
        <v>106.87118258200545</v>
      </c>
      <c r="I127">
        <v>0.9</v>
      </c>
      <c r="J127">
        <v>100</v>
      </c>
      <c r="K127">
        <v>93.792345514968446</v>
      </c>
      <c r="L127">
        <v>1</v>
      </c>
      <c r="M127">
        <v>100</v>
      </c>
    </row>
    <row r="128" spans="1:21">
      <c r="A128">
        <v>120</v>
      </c>
      <c r="B128">
        <v>190.15604464692228</v>
      </c>
      <c r="C128">
        <v>0.75</v>
      </c>
      <c r="D128">
        <v>120</v>
      </c>
      <c r="E128">
        <v>174.92307799469856</v>
      </c>
      <c r="F128">
        <v>0.85</v>
      </c>
      <c r="G128">
        <v>120</v>
      </c>
      <c r="H128">
        <v>187.30659466858668</v>
      </c>
      <c r="I128">
        <v>0.9</v>
      </c>
      <c r="J128">
        <v>100</v>
      </c>
      <c r="K128">
        <v>172.07362801636296</v>
      </c>
      <c r="L128">
        <v>1</v>
      </c>
      <c r="M128">
        <v>100</v>
      </c>
    </row>
    <row r="129" spans="1:13">
      <c r="A129">
        <v>121</v>
      </c>
      <c r="B129">
        <v>71.642207556851446</v>
      </c>
      <c r="C129">
        <v>0.75</v>
      </c>
      <c r="D129">
        <v>120</v>
      </c>
      <c r="E129">
        <v>62.258542814979279</v>
      </c>
      <c r="F129">
        <v>0.85</v>
      </c>
      <c r="G129">
        <v>120</v>
      </c>
      <c r="H129">
        <v>77.566710444043181</v>
      </c>
      <c r="I129">
        <v>0.9</v>
      </c>
      <c r="J129">
        <v>100</v>
      </c>
      <c r="K129">
        <v>68.183045702171015</v>
      </c>
      <c r="L129">
        <v>1</v>
      </c>
      <c r="M129">
        <v>100</v>
      </c>
    </row>
    <row r="130" spans="1:13">
      <c r="A130">
        <v>122</v>
      </c>
      <c r="B130">
        <v>298.74136312376731</v>
      </c>
      <c r="C130">
        <v>0.75</v>
      </c>
      <c r="D130">
        <v>120</v>
      </c>
      <c r="E130">
        <v>282.88697889318576</v>
      </c>
      <c r="F130">
        <v>0.85</v>
      </c>
      <c r="G130">
        <v>120</v>
      </c>
      <c r="H130">
        <v>294.95978677789498</v>
      </c>
      <c r="I130">
        <v>0.9</v>
      </c>
      <c r="J130">
        <v>100</v>
      </c>
      <c r="K130">
        <v>279.10540254731342</v>
      </c>
      <c r="L130">
        <v>1</v>
      </c>
      <c r="M130">
        <v>100</v>
      </c>
    </row>
    <row r="131" spans="1:13">
      <c r="A131">
        <v>123</v>
      </c>
      <c r="B131">
        <v>311.67079398580745</v>
      </c>
      <c r="C131">
        <v>0.75</v>
      </c>
      <c r="D131">
        <v>120</v>
      </c>
      <c r="E131">
        <v>292.66470380678277</v>
      </c>
      <c r="F131">
        <v>0.85</v>
      </c>
      <c r="G131">
        <v>120</v>
      </c>
      <c r="H131">
        <v>303.16165871727048</v>
      </c>
      <c r="I131">
        <v>0.9</v>
      </c>
      <c r="J131">
        <v>100</v>
      </c>
      <c r="K131">
        <v>284.1555685382458</v>
      </c>
      <c r="L131">
        <v>1</v>
      </c>
      <c r="M131">
        <v>100</v>
      </c>
    </row>
    <row r="132" spans="1:13">
      <c r="A132">
        <v>124</v>
      </c>
      <c r="B132">
        <v>168.50020823230884</v>
      </c>
      <c r="C132">
        <v>0.75</v>
      </c>
      <c r="D132">
        <v>120</v>
      </c>
      <c r="E132">
        <v>153.01421428767713</v>
      </c>
      <c r="F132">
        <v>0.85</v>
      </c>
      <c r="G132">
        <v>120</v>
      </c>
      <c r="H132">
        <v>165.27121731536127</v>
      </c>
      <c r="I132">
        <v>0.9</v>
      </c>
      <c r="J132">
        <v>100</v>
      </c>
      <c r="K132">
        <v>149.78522337072957</v>
      </c>
      <c r="L132">
        <v>1</v>
      </c>
      <c r="M132">
        <v>100</v>
      </c>
    </row>
    <row r="133" spans="1:13">
      <c r="A133">
        <v>125</v>
      </c>
      <c r="B133">
        <v>261.93124192397755</v>
      </c>
      <c r="C133">
        <v>0.75</v>
      </c>
      <c r="D133">
        <v>120</v>
      </c>
      <c r="E133">
        <v>248.45319308273528</v>
      </c>
      <c r="F133">
        <v>0.85</v>
      </c>
      <c r="G133">
        <v>120</v>
      </c>
      <c r="H133">
        <v>261.71416866211416</v>
      </c>
      <c r="I133">
        <v>0.9</v>
      </c>
      <c r="J133">
        <v>100</v>
      </c>
      <c r="K133">
        <v>248.23611982087186</v>
      </c>
      <c r="L133">
        <v>1</v>
      </c>
      <c r="M133">
        <v>100</v>
      </c>
    </row>
    <row r="134" spans="1:13">
      <c r="A134">
        <v>126</v>
      </c>
      <c r="B134">
        <v>100.15643285175943</v>
      </c>
      <c r="C134">
        <v>0.75</v>
      </c>
      <c r="D134">
        <v>120</v>
      </c>
      <c r="E134">
        <v>87.630510908354239</v>
      </c>
      <c r="F134">
        <v>0.85</v>
      </c>
      <c r="G134">
        <v>120</v>
      </c>
      <c r="H134">
        <v>101.36754993665163</v>
      </c>
      <c r="I134">
        <v>0.9</v>
      </c>
      <c r="J134">
        <v>100</v>
      </c>
      <c r="K134">
        <v>88.841627993246433</v>
      </c>
      <c r="L134">
        <v>1</v>
      </c>
      <c r="M134">
        <v>100</v>
      </c>
    </row>
    <row r="135" spans="1:13">
      <c r="A135">
        <v>127</v>
      </c>
      <c r="B135">
        <v>225.57500562593253</v>
      </c>
      <c r="C135">
        <v>0.75</v>
      </c>
      <c r="D135">
        <v>120</v>
      </c>
      <c r="E135">
        <v>211.51716590442788</v>
      </c>
      <c r="F135">
        <v>0.85</v>
      </c>
      <c r="G135">
        <v>120</v>
      </c>
      <c r="H135">
        <v>224.48824604367553</v>
      </c>
      <c r="I135">
        <v>0.9</v>
      </c>
      <c r="J135">
        <v>100</v>
      </c>
      <c r="K135">
        <v>210.43040632217088</v>
      </c>
      <c r="L135">
        <v>1</v>
      </c>
      <c r="M135">
        <v>100</v>
      </c>
    </row>
    <row r="136" spans="1:13">
      <c r="A136">
        <v>128</v>
      </c>
      <c r="B136">
        <v>124.22138033852877</v>
      </c>
      <c r="C136">
        <v>0.75</v>
      </c>
      <c r="D136">
        <v>120</v>
      </c>
      <c r="E136">
        <v>115.37005844948347</v>
      </c>
      <c r="F136">
        <v>0.85</v>
      </c>
      <c r="G136">
        <v>120</v>
      </c>
      <c r="H136">
        <v>130.94439750496082</v>
      </c>
      <c r="I136">
        <v>0.9</v>
      </c>
      <c r="J136">
        <v>100</v>
      </c>
      <c r="K136">
        <v>122.09307561591552</v>
      </c>
      <c r="L136">
        <v>1</v>
      </c>
      <c r="M136">
        <v>100</v>
      </c>
    </row>
    <row r="137" spans="1:13">
      <c r="A137">
        <v>129</v>
      </c>
      <c r="B137">
        <v>211.50383398195859</v>
      </c>
      <c r="C137">
        <v>0.75</v>
      </c>
      <c r="D137">
        <v>120</v>
      </c>
      <c r="E137">
        <v>193.30120681686489</v>
      </c>
      <c r="F137">
        <v>0.85</v>
      </c>
      <c r="G137">
        <v>120</v>
      </c>
      <c r="H137">
        <v>204.19989323431801</v>
      </c>
      <c r="I137">
        <v>0.9</v>
      </c>
      <c r="J137">
        <v>100</v>
      </c>
      <c r="K137">
        <v>185.99726606922431</v>
      </c>
      <c r="L137">
        <v>1</v>
      </c>
      <c r="M137">
        <v>100</v>
      </c>
    </row>
    <row r="138" spans="1:13">
      <c r="A138">
        <v>130</v>
      </c>
      <c r="B138">
        <v>178.97811025674741</v>
      </c>
      <c r="C138">
        <v>0.75</v>
      </c>
      <c r="D138">
        <v>120</v>
      </c>
      <c r="E138">
        <v>165.24809393891235</v>
      </c>
      <c r="F138">
        <v>0.85</v>
      </c>
      <c r="G138">
        <v>120</v>
      </c>
      <c r="H138">
        <v>178.38308577999481</v>
      </c>
      <c r="I138">
        <v>0.9</v>
      </c>
      <c r="J138">
        <v>100</v>
      </c>
      <c r="K138">
        <v>164.65306946215972</v>
      </c>
      <c r="L138">
        <v>1</v>
      </c>
      <c r="M138">
        <v>100</v>
      </c>
    </row>
    <row r="139" spans="1:13">
      <c r="A139">
        <v>131</v>
      </c>
      <c r="B139">
        <v>144.48036949166948</v>
      </c>
      <c r="C139">
        <v>0.75</v>
      </c>
      <c r="D139">
        <v>120</v>
      </c>
      <c r="E139">
        <v>124.26024605783832</v>
      </c>
      <c r="F139">
        <v>0.85</v>
      </c>
      <c r="G139">
        <v>120</v>
      </c>
      <c r="H139">
        <v>134.15018434092272</v>
      </c>
      <c r="I139">
        <v>0.9</v>
      </c>
      <c r="J139">
        <v>100</v>
      </c>
      <c r="K139">
        <v>113.93006090709156</v>
      </c>
      <c r="L139">
        <v>1</v>
      </c>
      <c r="M139">
        <v>100</v>
      </c>
    </row>
    <row r="140" spans="1:13">
      <c r="A140">
        <v>132</v>
      </c>
      <c r="B140">
        <v>254.17491275602387</v>
      </c>
      <c r="C140">
        <v>0.75</v>
      </c>
      <c r="D140">
        <v>120</v>
      </c>
      <c r="E140">
        <v>237.24105674792494</v>
      </c>
      <c r="F140">
        <v>0.85</v>
      </c>
      <c r="G140">
        <v>120</v>
      </c>
      <c r="H140">
        <v>248.77412874387545</v>
      </c>
      <c r="I140">
        <v>0.9</v>
      </c>
      <c r="J140">
        <v>100</v>
      </c>
      <c r="K140">
        <v>231.84027273577652</v>
      </c>
      <c r="L140">
        <v>1</v>
      </c>
      <c r="M140">
        <v>100</v>
      </c>
    </row>
    <row r="141" spans="1:13">
      <c r="A141">
        <v>133</v>
      </c>
      <c r="B141">
        <v>230.31891343982966</v>
      </c>
      <c r="C141">
        <v>0.75</v>
      </c>
      <c r="D141">
        <v>120</v>
      </c>
      <c r="E141">
        <v>215.20831107893682</v>
      </c>
      <c r="F141">
        <v>0.85</v>
      </c>
      <c r="G141">
        <v>120</v>
      </c>
      <c r="H141">
        <v>227.65300989849038</v>
      </c>
      <c r="I141">
        <v>0.9</v>
      </c>
      <c r="J141">
        <v>100</v>
      </c>
      <c r="K141">
        <v>212.54240753759757</v>
      </c>
      <c r="L141">
        <v>1</v>
      </c>
      <c r="M141">
        <v>100</v>
      </c>
    </row>
    <row r="142" spans="1:13">
      <c r="A142">
        <v>134</v>
      </c>
      <c r="B142">
        <v>178.1466724558075</v>
      </c>
      <c r="C142">
        <v>0.75</v>
      </c>
      <c r="D142">
        <v>120</v>
      </c>
      <c r="E142">
        <v>165.83404036052448</v>
      </c>
      <c r="F142">
        <v>0.85</v>
      </c>
      <c r="G142">
        <v>120</v>
      </c>
      <c r="H142">
        <v>179.67772431288296</v>
      </c>
      <c r="I142">
        <v>0.9</v>
      </c>
      <c r="J142">
        <v>100</v>
      </c>
      <c r="K142">
        <v>167.36509221759991</v>
      </c>
      <c r="L142">
        <v>1</v>
      </c>
      <c r="M142">
        <v>100</v>
      </c>
    </row>
    <row r="143" spans="1:13">
      <c r="A143">
        <v>135</v>
      </c>
      <c r="B143">
        <v>93.660959879032163</v>
      </c>
      <c r="C143">
        <v>0.75</v>
      </c>
      <c r="D143">
        <v>120</v>
      </c>
      <c r="E143">
        <v>76.380680466999792</v>
      </c>
      <c r="F143">
        <v>0.85</v>
      </c>
      <c r="G143">
        <v>120</v>
      </c>
      <c r="H143">
        <v>87.740540760983606</v>
      </c>
      <c r="I143">
        <v>0.9</v>
      </c>
      <c r="J143">
        <v>100</v>
      </c>
      <c r="K143">
        <v>70.460261348951263</v>
      </c>
      <c r="L143">
        <v>1</v>
      </c>
      <c r="M143">
        <v>100</v>
      </c>
    </row>
    <row r="144" spans="1:13">
      <c r="A144">
        <v>136</v>
      </c>
      <c r="B144">
        <v>232.98847396594519</v>
      </c>
      <c r="C144">
        <v>0.75</v>
      </c>
      <c r="D144">
        <v>120</v>
      </c>
      <c r="E144">
        <v>216.96697033286114</v>
      </c>
      <c r="F144">
        <v>0.85</v>
      </c>
      <c r="G144">
        <v>120</v>
      </c>
      <c r="H144">
        <v>228.9562185163191</v>
      </c>
      <c r="I144">
        <v>0.9</v>
      </c>
      <c r="J144">
        <v>100</v>
      </c>
      <c r="K144">
        <v>212.93471488323505</v>
      </c>
      <c r="L144">
        <v>1</v>
      </c>
      <c r="M144">
        <v>100</v>
      </c>
    </row>
    <row r="145" spans="1:13">
      <c r="A145">
        <v>137</v>
      </c>
      <c r="B145">
        <v>252.9186711958121</v>
      </c>
      <c r="C145">
        <v>0.75</v>
      </c>
      <c r="D145">
        <v>120</v>
      </c>
      <c r="E145">
        <v>236.57330338187455</v>
      </c>
      <c r="F145">
        <v>0.85</v>
      </c>
      <c r="G145">
        <v>120</v>
      </c>
      <c r="H145">
        <v>248.4006194749058</v>
      </c>
      <c r="I145">
        <v>0.9</v>
      </c>
      <c r="J145">
        <v>100</v>
      </c>
      <c r="K145">
        <v>232.05525166096825</v>
      </c>
      <c r="L145">
        <v>1</v>
      </c>
      <c r="M145">
        <v>100</v>
      </c>
    </row>
    <row r="146" spans="1:13">
      <c r="A146">
        <v>138</v>
      </c>
      <c r="B146">
        <v>170.85653311798148</v>
      </c>
      <c r="C146">
        <v>0.75</v>
      </c>
      <c r="D146">
        <v>120</v>
      </c>
      <c r="E146">
        <v>157.94293844410495</v>
      </c>
      <c r="F146">
        <v>0.85</v>
      </c>
      <c r="G146">
        <v>120</v>
      </c>
      <c r="H146">
        <v>171.48614110716667</v>
      </c>
      <c r="I146">
        <v>0.9</v>
      </c>
      <c r="J146">
        <v>100</v>
      </c>
      <c r="K146">
        <v>158.57254643329014</v>
      </c>
      <c r="L146">
        <v>1</v>
      </c>
      <c r="M146">
        <v>100</v>
      </c>
    </row>
    <row r="147" spans="1:13">
      <c r="A147">
        <v>139</v>
      </c>
      <c r="B147">
        <v>164.62425460114173</v>
      </c>
      <c r="C147">
        <v>0.75</v>
      </c>
      <c r="D147">
        <v>120</v>
      </c>
      <c r="E147">
        <v>149.36925754054135</v>
      </c>
      <c r="F147">
        <v>0.85</v>
      </c>
      <c r="G147">
        <v>120</v>
      </c>
      <c r="H147">
        <v>161.74175901024114</v>
      </c>
      <c r="I147">
        <v>0.9</v>
      </c>
      <c r="J147">
        <v>100</v>
      </c>
      <c r="K147">
        <v>146.48676194964077</v>
      </c>
      <c r="L147">
        <v>1</v>
      </c>
      <c r="M147">
        <v>100</v>
      </c>
    </row>
    <row r="148" spans="1:13">
      <c r="A148">
        <v>140</v>
      </c>
      <c r="B148">
        <v>156.66441090037938</v>
      </c>
      <c r="C148">
        <v>0.75</v>
      </c>
      <c r="D148">
        <v>120</v>
      </c>
      <c r="E148">
        <v>141.37056828158367</v>
      </c>
      <c r="F148">
        <v>0.85</v>
      </c>
      <c r="G148">
        <v>120</v>
      </c>
      <c r="H148">
        <v>153.72364697218583</v>
      </c>
      <c r="I148">
        <v>0.9</v>
      </c>
      <c r="J148">
        <v>100</v>
      </c>
      <c r="K148">
        <v>138.42980435339013</v>
      </c>
      <c r="L148">
        <v>1</v>
      </c>
      <c r="M148">
        <v>100</v>
      </c>
    </row>
    <row r="149" spans="1:13">
      <c r="A149">
        <v>141</v>
      </c>
      <c r="B149">
        <v>204.11927384838927</v>
      </c>
      <c r="C149">
        <v>0.75</v>
      </c>
      <c r="D149">
        <v>120</v>
      </c>
      <c r="E149">
        <v>184.18044936679061</v>
      </c>
      <c r="F149">
        <v>0.85</v>
      </c>
      <c r="G149">
        <v>120</v>
      </c>
      <c r="H149">
        <v>194.21103712599128</v>
      </c>
      <c r="I149">
        <v>0.9</v>
      </c>
      <c r="J149">
        <v>100</v>
      </c>
      <c r="K149">
        <v>174.27221264439262</v>
      </c>
      <c r="L149">
        <v>1</v>
      </c>
      <c r="M149">
        <v>100</v>
      </c>
    </row>
    <row r="150" spans="1:13">
      <c r="A150">
        <v>142</v>
      </c>
      <c r="B150">
        <v>342.24284456003562</v>
      </c>
      <c r="C150">
        <v>0.75</v>
      </c>
      <c r="D150">
        <v>120</v>
      </c>
      <c r="E150">
        <v>326.46869622583802</v>
      </c>
      <c r="F150">
        <v>0.85</v>
      </c>
      <c r="G150">
        <v>120</v>
      </c>
      <c r="H150">
        <v>338.58162205873919</v>
      </c>
      <c r="I150">
        <v>0.9</v>
      </c>
      <c r="J150">
        <v>100</v>
      </c>
      <c r="K150">
        <v>322.80747372454152</v>
      </c>
      <c r="L150">
        <v>1</v>
      </c>
      <c r="M150">
        <v>100</v>
      </c>
    </row>
    <row r="151" spans="1:13">
      <c r="A151">
        <v>143</v>
      </c>
      <c r="B151">
        <v>164.56339689710828</v>
      </c>
      <c r="C151">
        <v>0.75</v>
      </c>
      <c r="D151">
        <v>120</v>
      </c>
      <c r="E151">
        <v>150.53931725911727</v>
      </c>
      <c r="F151">
        <v>0.85</v>
      </c>
      <c r="G151">
        <v>120</v>
      </c>
      <c r="H151">
        <v>163.52727744012176</v>
      </c>
      <c r="I151">
        <v>0.9</v>
      </c>
      <c r="J151">
        <v>100</v>
      </c>
      <c r="K151">
        <v>149.50319780213076</v>
      </c>
      <c r="L151">
        <v>1</v>
      </c>
      <c r="M151">
        <v>100</v>
      </c>
    </row>
    <row r="152" spans="1:13">
      <c r="A152">
        <v>144</v>
      </c>
      <c r="B152">
        <v>84.007334978737475</v>
      </c>
      <c r="C152">
        <v>0.75</v>
      </c>
      <c r="D152">
        <v>120</v>
      </c>
      <c r="E152">
        <v>71.265381405842575</v>
      </c>
      <c r="F152">
        <v>0.85</v>
      </c>
      <c r="G152">
        <v>120</v>
      </c>
      <c r="H152">
        <v>84.894404619395118</v>
      </c>
      <c r="I152">
        <v>0.9</v>
      </c>
      <c r="J152">
        <v>100</v>
      </c>
      <c r="K152">
        <v>72.152451046500218</v>
      </c>
      <c r="L152">
        <v>1</v>
      </c>
      <c r="M152">
        <v>100</v>
      </c>
    </row>
    <row r="153" spans="1:13">
      <c r="A153">
        <v>145</v>
      </c>
      <c r="B153">
        <v>122.21822694730855</v>
      </c>
      <c r="C153">
        <v>0.75</v>
      </c>
      <c r="D153">
        <v>120</v>
      </c>
      <c r="E153">
        <v>106.87696277569748</v>
      </c>
      <c r="F153">
        <v>0.85</v>
      </c>
      <c r="G153">
        <v>120</v>
      </c>
      <c r="H153">
        <v>119.20633068989196</v>
      </c>
      <c r="I153">
        <v>0.9</v>
      </c>
      <c r="J153">
        <v>100</v>
      </c>
      <c r="K153">
        <v>103.86506651828088</v>
      </c>
      <c r="L153">
        <v>1</v>
      </c>
      <c r="M153">
        <v>100</v>
      </c>
    </row>
    <row r="154" spans="1:13">
      <c r="A154">
        <v>146</v>
      </c>
      <c r="B154">
        <v>164.36614255876273</v>
      </c>
      <c r="C154">
        <v>0.75</v>
      </c>
      <c r="D154">
        <v>120</v>
      </c>
      <c r="E154">
        <v>153.54540549850597</v>
      </c>
      <c r="F154">
        <v>0.85</v>
      </c>
      <c r="G154">
        <v>120</v>
      </c>
      <c r="H154">
        <v>168.13503696837759</v>
      </c>
      <c r="I154">
        <v>0.9</v>
      </c>
      <c r="J154">
        <v>100</v>
      </c>
      <c r="K154">
        <v>157.31429990812083</v>
      </c>
      <c r="L154">
        <v>1</v>
      </c>
      <c r="M154">
        <v>100</v>
      </c>
    </row>
    <row r="155" spans="1:13">
      <c r="A155">
        <v>147</v>
      </c>
      <c r="B155">
        <v>353.1159653175917</v>
      </c>
      <c r="C155">
        <v>0.75</v>
      </c>
      <c r="D155">
        <v>120</v>
      </c>
      <c r="E155">
        <v>333.33883181314485</v>
      </c>
      <c r="F155">
        <v>0.85</v>
      </c>
      <c r="G155">
        <v>120</v>
      </c>
      <c r="H155">
        <v>343.45026506092142</v>
      </c>
      <c r="I155">
        <v>0.9</v>
      </c>
      <c r="J155">
        <v>100</v>
      </c>
      <c r="K155">
        <v>323.67313155647452</v>
      </c>
      <c r="L155">
        <v>1</v>
      </c>
      <c r="M155">
        <v>100</v>
      </c>
    </row>
    <row r="156" spans="1:13">
      <c r="A156">
        <v>148</v>
      </c>
      <c r="B156">
        <v>195.80672974633808</v>
      </c>
      <c r="C156">
        <v>0.75</v>
      </c>
      <c r="D156">
        <v>120</v>
      </c>
      <c r="E156">
        <v>180.76548230611698</v>
      </c>
      <c r="F156">
        <v>0.85</v>
      </c>
      <c r="G156">
        <v>120</v>
      </c>
      <c r="H156">
        <v>193.24485858600642</v>
      </c>
      <c r="I156">
        <v>0.9</v>
      </c>
      <c r="J156">
        <v>100</v>
      </c>
      <c r="K156">
        <v>178.20361114578532</v>
      </c>
      <c r="L156">
        <v>1</v>
      </c>
      <c r="M156">
        <v>100</v>
      </c>
    </row>
    <row r="157" spans="1:13">
      <c r="A157">
        <v>149</v>
      </c>
      <c r="B157">
        <v>201.01307545766778</v>
      </c>
      <c r="C157">
        <v>0.75</v>
      </c>
      <c r="D157">
        <v>120</v>
      </c>
      <c r="E157">
        <v>187.18167052381915</v>
      </c>
      <c r="F157">
        <v>0.85</v>
      </c>
      <c r="G157">
        <v>120</v>
      </c>
      <c r="H157">
        <v>200.26596805689485</v>
      </c>
      <c r="I157">
        <v>0.9</v>
      </c>
      <c r="J157">
        <v>100</v>
      </c>
      <c r="K157">
        <v>186.43456312304625</v>
      </c>
      <c r="L157">
        <v>1</v>
      </c>
      <c r="M157">
        <v>100</v>
      </c>
    </row>
    <row r="158" spans="1:13">
      <c r="A158">
        <v>150</v>
      </c>
      <c r="B158">
        <v>191.04740195936722</v>
      </c>
      <c r="C158">
        <v>0.75</v>
      </c>
      <c r="D158">
        <v>120</v>
      </c>
      <c r="E158">
        <v>177.36389553140015</v>
      </c>
      <c r="F158">
        <v>0.85</v>
      </c>
      <c r="G158">
        <v>120</v>
      </c>
      <c r="H158">
        <v>190.52214231741658</v>
      </c>
      <c r="I158">
        <v>0.9</v>
      </c>
      <c r="J158">
        <v>100</v>
      </c>
      <c r="K158">
        <v>176.83863588944948</v>
      </c>
      <c r="L158">
        <v>1</v>
      </c>
      <c r="M158">
        <v>100</v>
      </c>
    </row>
    <row r="159" spans="1:13">
      <c r="A159">
        <v>151</v>
      </c>
      <c r="B159">
        <v>313.91241794708861</v>
      </c>
      <c r="C159">
        <v>0.75</v>
      </c>
      <c r="D159">
        <v>120</v>
      </c>
      <c r="E159">
        <v>296.90932285326528</v>
      </c>
      <c r="F159">
        <v>0.85</v>
      </c>
      <c r="G159">
        <v>120</v>
      </c>
      <c r="H159">
        <v>308.40777530635364</v>
      </c>
      <c r="I159">
        <v>0.9</v>
      </c>
      <c r="J159">
        <v>100</v>
      </c>
      <c r="K159">
        <v>291.40468021253025</v>
      </c>
      <c r="L159">
        <v>1</v>
      </c>
      <c r="M159">
        <v>100</v>
      </c>
    </row>
    <row r="160" spans="1:13">
      <c r="A160">
        <v>152</v>
      </c>
      <c r="B160">
        <v>191.05072693937083</v>
      </c>
      <c r="C160">
        <v>0.75</v>
      </c>
      <c r="D160">
        <v>120</v>
      </c>
      <c r="E160">
        <v>178.34772661843812</v>
      </c>
      <c r="F160">
        <v>0.85</v>
      </c>
      <c r="G160">
        <v>120</v>
      </c>
      <c r="H160">
        <v>191.99622645797174</v>
      </c>
      <c r="I160">
        <v>0.9</v>
      </c>
      <c r="J160">
        <v>100</v>
      </c>
      <c r="K160">
        <v>179.29322613703903</v>
      </c>
      <c r="L160">
        <v>1</v>
      </c>
      <c r="M160">
        <v>100</v>
      </c>
    </row>
    <row r="161" spans="1:13">
      <c r="A161">
        <v>153</v>
      </c>
      <c r="B161">
        <v>363.73834052574773</v>
      </c>
      <c r="C161">
        <v>0.75</v>
      </c>
      <c r="D161">
        <v>120</v>
      </c>
      <c r="E161">
        <v>344.09803215322938</v>
      </c>
      <c r="F161">
        <v>0.85</v>
      </c>
      <c r="G161">
        <v>120</v>
      </c>
      <c r="H161">
        <v>354.27787796697021</v>
      </c>
      <c r="I161">
        <v>0.9</v>
      </c>
      <c r="J161">
        <v>100</v>
      </c>
      <c r="K161">
        <v>334.6375695944518</v>
      </c>
      <c r="L161">
        <v>1</v>
      </c>
      <c r="M161">
        <v>100</v>
      </c>
    </row>
    <row r="162" spans="1:13">
      <c r="A162">
        <v>154</v>
      </c>
      <c r="B162">
        <v>165.09809059119411</v>
      </c>
      <c r="C162">
        <v>0.75</v>
      </c>
      <c r="D162">
        <v>120</v>
      </c>
      <c r="E162">
        <v>150.03741409058526</v>
      </c>
      <c r="F162">
        <v>0.85</v>
      </c>
      <c r="G162">
        <v>120</v>
      </c>
      <c r="H162">
        <v>162.50707584028081</v>
      </c>
      <c r="I162">
        <v>0.9</v>
      </c>
      <c r="J162">
        <v>100</v>
      </c>
      <c r="K162">
        <v>147.44639933967196</v>
      </c>
      <c r="L162">
        <v>1</v>
      </c>
      <c r="M162">
        <v>100</v>
      </c>
    </row>
    <row r="163" spans="1:13">
      <c r="A163">
        <v>155</v>
      </c>
      <c r="B163">
        <v>146.42973214896946</v>
      </c>
      <c r="C163">
        <v>0.75</v>
      </c>
      <c r="D163">
        <v>120</v>
      </c>
      <c r="E163">
        <v>131.62127073639687</v>
      </c>
      <c r="F163">
        <v>0.85</v>
      </c>
      <c r="G163">
        <v>120</v>
      </c>
      <c r="H163">
        <v>144.21704003011058</v>
      </c>
      <c r="I163">
        <v>0.9</v>
      </c>
      <c r="J163">
        <v>100</v>
      </c>
      <c r="K163">
        <v>129.40857861753798</v>
      </c>
      <c r="L163">
        <v>1</v>
      </c>
      <c r="M163">
        <v>100</v>
      </c>
    </row>
    <row r="164" spans="1:13">
      <c r="A164">
        <v>156</v>
      </c>
      <c r="B164">
        <v>415.93593535562849</v>
      </c>
      <c r="C164">
        <v>0.75</v>
      </c>
      <c r="D164">
        <v>120</v>
      </c>
      <c r="E164">
        <v>398.37677981187352</v>
      </c>
      <c r="F164">
        <v>0.85</v>
      </c>
      <c r="G164">
        <v>120</v>
      </c>
      <c r="H164">
        <v>409.59720203999603</v>
      </c>
      <c r="I164">
        <v>0.9</v>
      </c>
      <c r="J164">
        <v>100</v>
      </c>
      <c r="K164">
        <v>392.03804649624107</v>
      </c>
      <c r="L164">
        <v>1</v>
      </c>
      <c r="M164">
        <v>100</v>
      </c>
    </row>
    <row r="165" spans="1:13">
      <c r="A165">
        <v>157</v>
      </c>
      <c r="B165">
        <v>131.00615423402456</v>
      </c>
      <c r="C165">
        <v>0.75</v>
      </c>
      <c r="D165">
        <v>120</v>
      </c>
      <c r="E165">
        <v>115.38292338067717</v>
      </c>
      <c r="F165">
        <v>0.85</v>
      </c>
      <c r="G165">
        <v>120</v>
      </c>
      <c r="H165">
        <v>127.57130795400346</v>
      </c>
      <c r="I165">
        <v>0.9</v>
      </c>
      <c r="J165">
        <v>100</v>
      </c>
      <c r="K165">
        <v>111.94807710065606</v>
      </c>
      <c r="L165">
        <v>1</v>
      </c>
      <c r="M165">
        <v>100</v>
      </c>
    </row>
    <row r="166" spans="1:13">
      <c r="A166">
        <v>158</v>
      </c>
      <c r="B166">
        <v>295.43244759628828</v>
      </c>
      <c r="C166">
        <v>0.75</v>
      </c>
      <c r="D166">
        <v>120</v>
      </c>
      <c r="E166">
        <v>279.71372523642731</v>
      </c>
      <c r="F166">
        <v>0.85</v>
      </c>
      <c r="G166">
        <v>120</v>
      </c>
      <c r="H166">
        <v>291.85436405649682</v>
      </c>
      <c r="I166">
        <v>0.9</v>
      </c>
      <c r="J166">
        <v>100</v>
      </c>
      <c r="K166">
        <v>276.13564169663584</v>
      </c>
      <c r="L166">
        <v>1</v>
      </c>
      <c r="M166">
        <v>100</v>
      </c>
    </row>
    <row r="167" spans="1:13">
      <c r="A167">
        <v>159</v>
      </c>
      <c r="B167">
        <v>167.25919424512358</v>
      </c>
      <c r="C167">
        <v>0.75</v>
      </c>
      <c r="D167">
        <v>120</v>
      </c>
      <c r="E167">
        <v>152.63768045346686</v>
      </c>
      <c r="F167">
        <v>0.85</v>
      </c>
      <c r="G167">
        <v>120</v>
      </c>
      <c r="H167">
        <v>165.32692355763848</v>
      </c>
      <c r="I167">
        <v>0.9</v>
      </c>
      <c r="J167">
        <v>100</v>
      </c>
      <c r="K167">
        <v>150.70540976598176</v>
      </c>
      <c r="L167">
        <v>1</v>
      </c>
      <c r="M167">
        <v>100</v>
      </c>
    </row>
    <row r="168" spans="1:13">
      <c r="A168">
        <v>160</v>
      </c>
      <c r="B168">
        <v>231.00657615802803</v>
      </c>
      <c r="C168">
        <v>0.75</v>
      </c>
      <c r="D168">
        <v>120</v>
      </c>
      <c r="E168">
        <v>217.27428546701395</v>
      </c>
      <c r="F168">
        <v>0.85</v>
      </c>
      <c r="G168">
        <v>120</v>
      </c>
      <c r="H168">
        <v>230.40814012150688</v>
      </c>
      <c r="I168">
        <v>0.9</v>
      </c>
      <c r="J168">
        <v>100</v>
      </c>
      <c r="K168">
        <v>216.67584943049278</v>
      </c>
      <c r="L168">
        <v>1</v>
      </c>
      <c r="M168">
        <v>100</v>
      </c>
    </row>
    <row r="169" spans="1:13">
      <c r="A169">
        <v>161</v>
      </c>
      <c r="B169">
        <v>129.8257144457649</v>
      </c>
      <c r="C169">
        <v>0.75</v>
      </c>
      <c r="D169">
        <v>120</v>
      </c>
      <c r="E169">
        <v>118.43301937206002</v>
      </c>
      <c r="F169">
        <v>0.85</v>
      </c>
      <c r="G169">
        <v>120</v>
      </c>
      <c r="H169">
        <v>132.73667183520757</v>
      </c>
      <c r="I169">
        <v>0.9</v>
      </c>
      <c r="J169">
        <v>100</v>
      </c>
      <c r="K169">
        <v>121.34397676150266</v>
      </c>
      <c r="L169">
        <v>1</v>
      </c>
      <c r="M169">
        <v>100</v>
      </c>
    </row>
    <row r="170" spans="1:13">
      <c r="A170">
        <v>162</v>
      </c>
      <c r="B170">
        <v>220.02351248648384</v>
      </c>
      <c r="C170">
        <v>0.75</v>
      </c>
      <c r="D170">
        <v>120</v>
      </c>
      <c r="E170">
        <v>208.35200794041745</v>
      </c>
      <c r="F170">
        <v>0.85</v>
      </c>
      <c r="G170">
        <v>120</v>
      </c>
      <c r="H170">
        <v>222.51625566738426</v>
      </c>
      <c r="I170">
        <v>0.9</v>
      </c>
      <c r="J170">
        <v>100</v>
      </c>
      <c r="K170">
        <v>210.84475112131787</v>
      </c>
      <c r="L170">
        <v>1</v>
      </c>
      <c r="M170">
        <v>100</v>
      </c>
    </row>
    <row r="171" spans="1:13">
      <c r="A171">
        <v>163</v>
      </c>
      <c r="B171">
        <v>192.03193720710652</v>
      </c>
      <c r="C171">
        <v>0.75</v>
      </c>
      <c r="D171">
        <v>120</v>
      </c>
      <c r="E171">
        <v>175.25309358867122</v>
      </c>
      <c r="F171">
        <v>0.85</v>
      </c>
      <c r="G171">
        <v>120</v>
      </c>
      <c r="H171">
        <v>186.86367177945357</v>
      </c>
      <c r="I171">
        <v>0.9</v>
      </c>
      <c r="J171">
        <v>100</v>
      </c>
      <c r="K171">
        <v>170.08482816101827</v>
      </c>
      <c r="L171">
        <v>1</v>
      </c>
      <c r="M171">
        <v>100</v>
      </c>
    </row>
    <row r="172" spans="1:13">
      <c r="A172">
        <v>164</v>
      </c>
      <c r="B172">
        <v>232.03125900935385</v>
      </c>
      <c r="C172">
        <v>0.75</v>
      </c>
      <c r="D172">
        <v>120</v>
      </c>
      <c r="E172">
        <v>215.72479902032006</v>
      </c>
      <c r="F172">
        <v>0.85</v>
      </c>
      <c r="G172">
        <v>120</v>
      </c>
      <c r="H172">
        <v>227.57156902580317</v>
      </c>
      <c r="I172">
        <v>0.9</v>
      </c>
      <c r="J172">
        <v>100</v>
      </c>
      <c r="K172">
        <v>211.26510903676942</v>
      </c>
      <c r="L172">
        <v>1</v>
      </c>
      <c r="M172">
        <v>100</v>
      </c>
    </row>
    <row r="173" spans="1:13">
      <c r="A173">
        <v>165</v>
      </c>
      <c r="B173">
        <v>260.62605997643391</v>
      </c>
      <c r="C173">
        <v>0.75</v>
      </c>
      <c r="D173">
        <v>120</v>
      </c>
      <c r="E173">
        <v>242.22204115445297</v>
      </c>
      <c r="F173">
        <v>0.85</v>
      </c>
      <c r="G173">
        <v>120</v>
      </c>
      <c r="H173">
        <v>253.02003174346248</v>
      </c>
      <c r="I173">
        <v>0.9</v>
      </c>
      <c r="J173">
        <v>100</v>
      </c>
      <c r="K173">
        <v>234.61601292148151</v>
      </c>
      <c r="L173">
        <v>1</v>
      </c>
      <c r="M173">
        <v>100</v>
      </c>
    </row>
    <row r="174" spans="1:13">
      <c r="A174">
        <v>166</v>
      </c>
      <c r="B174">
        <v>249.26335951795937</v>
      </c>
      <c r="C174">
        <v>0.75</v>
      </c>
      <c r="D174">
        <v>120</v>
      </c>
      <c r="E174">
        <v>235.32788637645479</v>
      </c>
      <c r="F174">
        <v>0.85</v>
      </c>
      <c r="G174">
        <v>120</v>
      </c>
      <c r="H174">
        <v>248.36014980570249</v>
      </c>
      <c r="I174">
        <v>0.9</v>
      </c>
      <c r="J174">
        <v>100</v>
      </c>
      <c r="K174">
        <v>234.4246766641979</v>
      </c>
      <c r="L174">
        <v>1</v>
      </c>
      <c r="M174">
        <v>100</v>
      </c>
    </row>
    <row r="175" spans="1:13">
      <c r="A175">
        <v>167</v>
      </c>
      <c r="B175">
        <v>147.99808253809866</v>
      </c>
      <c r="C175">
        <v>0.75</v>
      </c>
      <c r="D175">
        <v>120</v>
      </c>
      <c r="E175">
        <v>137.11253882445442</v>
      </c>
      <c r="F175">
        <v>0.85</v>
      </c>
      <c r="G175">
        <v>120</v>
      </c>
      <c r="H175">
        <v>151.66976696763231</v>
      </c>
      <c r="I175">
        <v>0.9</v>
      </c>
      <c r="J175">
        <v>100</v>
      </c>
      <c r="K175">
        <v>140.7842232539881</v>
      </c>
      <c r="L175">
        <v>1</v>
      </c>
      <c r="M175">
        <v>100</v>
      </c>
    </row>
    <row r="176" spans="1:13">
      <c r="A176">
        <v>168</v>
      </c>
      <c r="B176">
        <v>180.45512010939052</v>
      </c>
      <c r="C176">
        <v>0.75</v>
      </c>
      <c r="D176">
        <v>120</v>
      </c>
      <c r="E176">
        <v>165.53757716801346</v>
      </c>
      <c r="F176">
        <v>0.85</v>
      </c>
      <c r="G176">
        <v>120</v>
      </c>
      <c r="H176">
        <v>178.0788056973249</v>
      </c>
      <c r="I176">
        <v>0.9</v>
      </c>
      <c r="J176">
        <v>100</v>
      </c>
      <c r="K176">
        <v>163.16126275594783</v>
      </c>
      <c r="L176">
        <v>1</v>
      </c>
      <c r="M176">
        <v>100</v>
      </c>
    </row>
    <row r="177" spans="1:13">
      <c r="A177">
        <v>169</v>
      </c>
      <c r="B177">
        <v>280.62993461019687</v>
      </c>
      <c r="C177">
        <v>0.75</v>
      </c>
      <c r="D177">
        <v>120</v>
      </c>
      <c r="E177">
        <v>260.12536223237709</v>
      </c>
      <c r="F177">
        <v>0.85</v>
      </c>
      <c r="G177">
        <v>120</v>
      </c>
      <c r="H177">
        <v>269.87307604346717</v>
      </c>
      <c r="I177">
        <v>0.9</v>
      </c>
      <c r="J177">
        <v>100</v>
      </c>
      <c r="K177">
        <v>249.36850366564735</v>
      </c>
      <c r="L177">
        <v>1</v>
      </c>
      <c r="M177">
        <v>100</v>
      </c>
    </row>
    <row r="178" spans="1:13">
      <c r="A178">
        <v>170</v>
      </c>
      <c r="B178">
        <v>151.60218552525532</v>
      </c>
      <c r="C178">
        <v>0.75</v>
      </c>
      <c r="D178">
        <v>120</v>
      </c>
      <c r="E178">
        <v>138.68840040519169</v>
      </c>
      <c r="F178">
        <v>0.85</v>
      </c>
      <c r="G178">
        <v>120</v>
      </c>
      <c r="H178">
        <v>152.23150784515985</v>
      </c>
      <c r="I178">
        <v>0.9</v>
      </c>
      <c r="J178">
        <v>100</v>
      </c>
      <c r="K178">
        <v>139.31772272509619</v>
      </c>
      <c r="L178">
        <v>1</v>
      </c>
      <c r="M178">
        <v>100</v>
      </c>
    </row>
    <row r="179" spans="1:13">
      <c r="A179">
        <v>171</v>
      </c>
      <c r="B179">
        <v>208.8167668691151</v>
      </c>
      <c r="C179">
        <v>0.75</v>
      </c>
      <c r="D179">
        <v>120</v>
      </c>
      <c r="E179">
        <v>193.22620095085631</v>
      </c>
      <c r="F179">
        <v>0.85</v>
      </c>
      <c r="G179">
        <v>120</v>
      </c>
      <c r="H179">
        <v>205.43091799172689</v>
      </c>
      <c r="I179">
        <v>0.9</v>
      </c>
      <c r="J179">
        <v>100</v>
      </c>
      <c r="K179">
        <v>189.84035207346807</v>
      </c>
      <c r="L179">
        <v>1</v>
      </c>
      <c r="M179">
        <v>100</v>
      </c>
    </row>
    <row r="180" spans="1:13">
      <c r="A180">
        <v>172</v>
      </c>
      <c r="B180">
        <v>165.13584911581847</v>
      </c>
      <c r="C180">
        <v>0.75</v>
      </c>
      <c r="D180">
        <v>120</v>
      </c>
      <c r="E180">
        <v>153.50066307855042</v>
      </c>
      <c r="F180">
        <v>0.85</v>
      </c>
      <c r="G180">
        <v>120</v>
      </c>
      <c r="H180">
        <v>167.68307005991636</v>
      </c>
      <c r="I180">
        <v>0.9</v>
      </c>
      <c r="J180">
        <v>100</v>
      </c>
      <c r="K180">
        <v>156.0478840226483</v>
      </c>
      <c r="L180">
        <v>1</v>
      </c>
      <c r="M180">
        <v>100</v>
      </c>
    </row>
    <row r="181" spans="1:13">
      <c r="A181">
        <v>173</v>
      </c>
      <c r="B181">
        <v>63.783797700180855</v>
      </c>
      <c r="C181">
        <v>0.75</v>
      </c>
      <c r="D181">
        <v>120</v>
      </c>
      <c r="E181">
        <v>50.455628701179634</v>
      </c>
      <c r="F181">
        <v>0.85</v>
      </c>
      <c r="G181">
        <v>120</v>
      </c>
      <c r="H181">
        <v>63.791544201679031</v>
      </c>
      <c r="I181">
        <v>0.9</v>
      </c>
      <c r="J181">
        <v>100</v>
      </c>
      <c r="K181">
        <v>50.46337520267781</v>
      </c>
      <c r="L181">
        <v>1</v>
      </c>
      <c r="M181">
        <v>100</v>
      </c>
    </row>
    <row r="182" spans="1:13">
      <c r="A182">
        <v>174</v>
      </c>
      <c r="B182">
        <v>123.82892316299757</v>
      </c>
      <c r="C182">
        <v>0.75</v>
      </c>
      <c r="D182">
        <v>120</v>
      </c>
      <c r="E182">
        <v>106.86888701410922</v>
      </c>
      <c r="F182">
        <v>0.85</v>
      </c>
      <c r="G182">
        <v>120</v>
      </c>
      <c r="H182">
        <v>118.38886893966503</v>
      </c>
      <c r="I182">
        <v>0.9</v>
      </c>
      <c r="J182">
        <v>100</v>
      </c>
      <c r="K182">
        <v>101.42883279077668</v>
      </c>
      <c r="L182">
        <v>1</v>
      </c>
      <c r="M182">
        <v>100</v>
      </c>
    </row>
    <row r="183" spans="1:13">
      <c r="A183">
        <v>175</v>
      </c>
      <c r="B183">
        <v>149.66445275322275</v>
      </c>
      <c r="C183">
        <v>0.75</v>
      </c>
      <c r="D183">
        <v>120</v>
      </c>
      <c r="E183">
        <v>134.9512549708229</v>
      </c>
      <c r="F183">
        <v>0.85</v>
      </c>
      <c r="G183">
        <v>120</v>
      </c>
      <c r="H183">
        <v>147.59465607962295</v>
      </c>
      <c r="I183">
        <v>0.9</v>
      </c>
      <c r="J183">
        <v>100</v>
      </c>
      <c r="K183">
        <v>132.88145829722311</v>
      </c>
      <c r="L183">
        <v>1</v>
      </c>
      <c r="M183">
        <v>100</v>
      </c>
    </row>
    <row r="184" spans="1:13">
      <c r="A184">
        <v>176</v>
      </c>
      <c r="B184">
        <v>199.71165847696074</v>
      </c>
      <c r="C184">
        <v>0.75</v>
      </c>
      <c r="D184">
        <v>120</v>
      </c>
      <c r="E184">
        <v>184.54061833005022</v>
      </c>
      <c r="F184">
        <v>0.85</v>
      </c>
      <c r="G184">
        <v>120</v>
      </c>
      <c r="H184">
        <v>196.95509825659497</v>
      </c>
      <c r="I184">
        <v>0.9</v>
      </c>
      <c r="J184">
        <v>100</v>
      </c>
      <c r="K184">
        <v>181.78405810968445</v>
      </c>
      <c r="L184">
        <v>1</v>
      </c>
      <c r="M184">
        <v>100</v>
      </c>
    </row>
    <row r="185" spans="1:13">
      <c r="A185">
        <v>177</v>
      </c>
      <c r="B185">
        <v>153.27093078235004</v>
      </c>
      <c r="C185">
        <v>0.75</v>
      </c>
      <c r="D185">
        <v>120</v>
      </c>
      <c r="E185">
        <v>142.67308936531674</v>
      </c>
      <c r="F185">
        <v>0.85</v>
      </c>
      <c r="G185">
        <v>120</v>
      </c>
      <c r="H185">
        <v>157.37416865680012</v>
      </c>
      <c r="I185">
        <v>0.9</v>
      </c>
      <c r="J185">
        <v>100</v>
      </c>
      <c r="K185">
        <v>146.77632723976686</v>
      </c>
      <c r="L185">
        <v>1</v>
      </c>
      <c r="M185">
        <v>100</v>
      </c>
    </row>
    <row r="186" spans="1:13">
      <c r="A186">
        <v>178</v>
      </c>
      <c r="B186">
        <v>357.18314569250845</v>
      </c>
      <c r="C186">
        <v>0.75</v>
      </c>
      <c r="D186">
        <v>120</v>
      </c>
      <c r="E186">
        <v>342.95981657167965</v>
      </c>
      <c r="F186">
        <v>0.85</v>
      </c>
      <c r="G186">
        <v>120</v>
      </c>
      <c r="H186">
        <v>355.84815201126526</v>
      </c>
      <c r="I186">
        <v>0.9</v>
      </c>
      <c r="J186">
        <v>100</v>
      </c>
      <c r="K186">
        <v>341.62482289043658</v>
      </c>
      <c r="L186">
        <v>1</v>
      </c>
      <c r="M186">
        <v>100</v>
      </c>
    </row>
    <row r="187" spans="1:13">
      <c r="A187">
        <v>179</v>
      </c>
      <c r="B187">
        <v>205.3104447796465</v>
      </c>
      <c r="C187">
        <v>0.75</v>
      </c>
      <c r="D187">
        <v>120</v>
      </c>
      <c r="E187">
        <v>190.52755429092591</v>
      </c>
      <c r="F187">
        <v>0.85</v>
      </c>
      <c r="G187">
        <v>120</v>
      </c>
      <c r="H187">
        <v>203.13610904656559</v>
      </c>
      <c r="I187">
        <v>0.9</v>
      </c>
      <c r="J187">
        <v>100</v>
      </c>
      <c r="K187">
        <v>188.35321855784497</v>
      </c>
      <c r="L187">
        <v>1</v>
      </c>
      <c r="M187">
        <v>100</v>
      </c>
    </row>
    <row r="188" spans="1:13">
      <c r="A188">
        <v>180</v>
      </c>
      <c r="B188">
        <v>225.79477939586593</v>
      </c>
      <c r="C188">
        <v>0.75</v>
      </c>
      <c r="D188">
        <v>120</v>
      </c>
      <c r="E188">
        <v>210.18400481429552</v>
      </c>
      <c r="F188">
        <v>0.85</v>
      </c>
      <c r="G188">
        <v>120</v>
      </c>
      <c r="H188">
        <v>222.37861752351031</v>
      </c>
      <c r="I188">
        <v>0.9</v>
      </c>
      <c r="J188">
        <v>100</v>
      </c>
      <c r="K188">
        <v>206.76784294193993</v>
      </c>
      <c r="L188">
        <v>1</v>
      </c>
      <c r="M188">
        <v>100</v>
      </c>
    </row>
    <row r="189" spans="1:13">
      <c r="A189">
        <v>181</v>
      </c>
      <c r="B189">
        <v>93.94780951752125</v>
      </c>
      <c r="C189">
        <v>0.75</v>
      </c>
      <c r="D189">
        <v>120</v>
      </c>
      <c r="E189">
        <v>80.909429103359827</v>
      </c>
      <c r="F189">
        <v>0.85</v>
      </c>
      <c r="G189">
        <v>120</v>
      </c>
      <c r="H189">
        <v>94.390238896279115</v>
      </c>
      <c r="I189">
        <v>0.9</v>
      </c>
      <c r="J189">
        <v>100</v>
      </c>
      <c r="K189">
        <v>81.351858482117706</v>
      </c>
      <c r="L189">
        <v>1</v>
      </c>
      <c r="M189">
        <v>100</v>
      </c>
    </row>
    <row r="190" spans="1:13">
      <c r="A190">
        <v>182</v>
      </c>
      <c r="B190">
        <v>274.97068444293325</v>
      </c>
      <c r="C190">
        <v>0.75</v>
      </c>
      <c r="D190">
        <v>120</v>
      </c>
      <c r="E190">
        <v>262.86209862529296</v>
      </c>
      <c r="F190">
        <v>0.85</v>
      </c>
      <c r="G190">
        <v>120</v>
      </c>
      <c r="H190">
        <v>276.80780571647279</v>
      </c>
      <c r="I190">
        <v>0.9</v>
      </c>
      <c r="J190">
        <v>100</v>
      </c>
      <c r="K190">
        <v>264.6992198988325</v>
      </c>
      <c r="L190">
        <v>1</v>
      </c>
      <c r="M190">
        <v>100</v>
      </c>
    </row>
    <row r="191" spans="1:13">
      <c r="A191">
        <v>183</v>
      </c>
      <c r="B191">
        <v>313.40494607487938</v>
      </c>
      <c r="C191">
        <v>0.75</v>
      </c>
      <c r="D191">
        <v>120</v>
      </c>
      <c r="E191">
        <v>294.86981668277474</v>
      </c>
      <c r="F191">
        <v>0.85</v>
      </c>
      <c r="G191">
        <v>120</v>
      </c>
      <c r="H191">
        <v>305.60225198672248</v>
      </c>
      <c r="I191">
        <v>0.9</v>
      </c>
      <c r="J191">
        <v>100</v>
      </c>
      <c r="K191">
        <v>287.0671225946179</v>
      </c>
      <c r="L191">
        <v>1</v>
      </c>
      <c r="M191">
        <v>100</v>
      </c>
    </row>
    <row r="192" spans="1:13">
      <c r="A192">
        <v>184</v>
      </c>
      <c r="B192">
        <v>374.24814078589162</v>
      </c>
      <c r="C192">
        <v>0.75</v>
      </c>
      <c r="D192">
        <v>120</v>
      </c>
      <c r="E192">
        <v>357.03634734521711</v>
      </c>
      <c r="F192">
        <v>0.85</v>
      </c>
      <c r="G192">
        <v>120</v>
      </c>
      <c r="H192">
        <v>368.43045062487988</v>
      </c>
      <c r="I192">
        <v>0.9</v>
      </c>
      <c r="J192">
        <v>100</v>
      </c>
      <c r="K192">
        <v>351.21865718420537</v>
      </c>
      <c r="L192">
        <v>1</v>
      </c>
      <c r="M192">
        <v>100</v>
      </c>
    </row>
    <row r="193" spans="1:13">
      <c r="A193">
        <v>185</v>
      </c>
      <c r="B193">
        <v>314.00158491238579</v>
      </c>
      <c r="C193">
        <v>0.75</v>
      </c>
      <c r="D193">
        <v>120</v>
      </c>
      <c r="E193">
        <v>297.20459940578297</v>
      </c>
      <c r="F193">
        <v>0.85</v>
      </c>
      <c r="G193">
        <v>120</v>
      </c>
      <c r="H193">
        <v>308.80610665248156</v>
      </c>
      <c r="I193">
        <v>0.9</v>
      </c>
      <c r="J193">
        <v>100</v>
      </c>
      <c r="K193">
        <v>292.00912114587874</v>
      </c>
      <c r="L193">
        <v>1</v>
      </c>
      <c r="M193">
        <v>100</v>
      </c>
    </row>
    <row r="194" spans="1:13">
      <c r="A194">
        <v>186</v>
      </c>
      <c r="B194">
        <v>258.28853155214836</v>
      </c>
      <c r="C194">
        <v>0.75</v>
      </c>
      <c r="D194">
        <v>120</v>
      </c>
      <c r="E194">
        <v>241.5378981692385</v>
      </c>
      <c r="F194">
        <v>0.85</v>
      </c>
      <c r="G194">
        <v>120</v>
      </c>
      <c r="H194">
        <v>253.16258147778359</v>
      </c>
      <c r="I194">
        <v>0.9</v>
      </c>
      <c r="J194">
        <v>100</v>
      </c>
      <c r="K194">
        <v>236.41194809487374</v>
      </c>
      <c r="L194">
        <v>1</v>
      </c>
      <c r="M194">
        <v>100</v>
      </c>
    </row>
    <row r="195" spans="1:13">
      <c r="A195">
        <v>187</v>
      </c>
      <c r="B195">
        <v>199.67869639711921</v>
      </c>
      <c r="C195">
        <v>0.75</v>
      </c>
      <c r="D195">
        <v>120</v>
      </c>
      <c r="E195">
        <v>186.58039942161369</v>
      </c>
      <c r="F195">
        <v>0.85</v>
      </c>
      <c r="G195">
        <v>120</v>
      </c>
      <c r="H195">
        <v>200.03125093386092</v>
      </c>
      <c r="I195">
        <v>0.9</v>
      </c>
      <c r="J195">
        <v>100</v>
      </c>
      <c r="K195">
        <v>186.93295395835543</v>
      </c>
      <c r="L195">
        <v>1</v>
      </c>
      <c r="M195">
        <v>100</v>
      </c>
    </row>
    <row r="196" spans="1:13">
      <c r="A196">
        <v>188</v>
      </c>
      <c r="B196">
        <v>90.569941069968607</v>
      </c>
      <c r="C196">
        <v>0.75</v>
      </c>
      <c r="D196">
        <v>120</v>
      </c>
      <c r="E196">
        <v>80.423972698353765</v>
      </c>
      <c r="F196">
        <v>0.85</v>
      </c>
      <c r="G196">
        <v>120</v>
      </c>
      <c r="H196">
        <v>95.350988512546337</v>
      </c>
      <c r="I196">
        <v>0.9</v>
      </c>
      <c r="J196">
        <v>100</v>
      </c>
      <c r="K196">
        <v>85.205020140931495</v>
      </c>
      <c r="L196">
        <v>1</v>
      </c>
      <c r="M196">
        <v>100</v>
      </c>
    </row>
    <row r="197" spans="1:13">
      <c r="A197">
        <v>189</v>
      </c>
      <c r="B197">
        <v>356.38274640106886</v>
      </c>
      <c r="C197">
        <v>0.75</v>
      </c>
      <c r="D197">
        <v>120</v>
      </c>
      <c r="E197">
        <v>336.89984214740173</v>
      </c>
      <c r="F197">
        <v>0.85</v>
      </c>
      <c r="G197">
        <v>120</v>
      </c>
      <c r="H197">
        <v>347.15839002056805</v>
      </c>
      <c r="I197">
        <v>0.9</v>
      </c>
      <c r="J197">
        <v>100</v>
      </c>
      <c r="K197">
        <v>327.67548576690092</v>
      </c>
      <c r="L197">
        <v>1</v>
      </c>
      <c r="M197">
        <v>100</v>
      </c>
    </row>
    <row r="198" spans="1:13">
      <c r="A198">
        <v>190</v>
      </c>
      <c r="B198">
        <v>230.21763689883386</v>
      </c>
      <c r="C198">
        <v>0.75</v>
      </c>
      <c r="D198">
        <v>120</v>
      </c>
      <c r="E198">
        <v>215.15252026446186</v>
      </c>
      <c r="F198">
        <v>0.85</v>
      </c>
      <c r="G198">
        <v>120</v>
      </c>
      <c r="H198">
        <v>227.61996194727584</v>
      </c>
      <c r="I198">
        <v>0.9</v>
      </c>
      <c r="J198">
        <v>100</v>
      </c>
      <c r="K198">
        <v>212.55484531290384</v>
      </c>
      <c r="L198">
        <v>1</v>
      </c>
      <c r="M198">
        <v>100</v>
      </c>
    </row>
    <row r="199" spans="1:13">
      <c r="A199">
        <v>191</v>
      </c>
      <c r="B199">
        <v>80.171740392282317</v>
      </c>
      <c r="C199">
        <v>0.75</v>
      </c>
      <c r="D199">
        <v>120</v>
      </c>
      <c r="E199">
        <v>67.223007715092223</v>
      </c>
      <c r="F199">
        <v>0.85</v>
      </c>
      <c r="G199">
        <v>120</v>
      </c>
      <c r="H199">
        <v>80.748641376497162</v>
      </c>
      <c r="I199">
        <v>0.9</v>
      </c>
      <c r="J199">
        <v>100</v>
      </c>
      <c r="K199">
        <v>67.799908699307053</v>
      </c>
      <c r="L199">
        <v>1</v>
      </c>
      <c r="M199">
        <v>100</v>
      </c>
    </row>
    <row r="200" spans="1:13">
      <c r="A200">
        <v>192</v>
      </c>
      <c r="B200">
        <v>246.06132352646924</v>
      </c>
      <c r="C200">
        <v>0.75</v>
      </c>
      <c r="D200">
        <v>120</v>
      </c>
      <c r="E200">
        <v>231.82453038032389</v>
      </c>
      <c r="F200">
        <v>0.85</v>
      </c>
      <c r="G200">
        <v>120</v>
      </c>
      <c r="H200">
        <v>244.70613380725118</v>
      </c>
      <c r="I200">
        <v>0.9</v>
      </c>
      <c r="J200">
        <v>100</v>
      </c>
      <c r="K200">
        <v>230.46934066110583</v>
      </c>
      <c r="L200">
        <v>1</v>
      </c>
      <c r="M200">
        <v>100</v>
      </c>
    </row>
    <row r="201" spans="1:13">
      <c r="A201">
        <v>193</v>
      </c>
      <c r="B201">
        <v>335.38818511291436</v>
      </c>
      <c r="C201">
        <v>0.75</v>
      </c>
      <c r="D201">
        <v>120</v>
      </c>
      <c r="E201">
        <v>319.48520562810734</v>
      </c>
      <c r="F201">
        <v>0.85</v>
      </c>
      <c r="G201">
        <v>120</v>
      </c>
      <c r="H201">
        <v>331.53371588570377</v>
      </c>
      <c r="I201">
        <v>0.9</v>
      </c>
      <c r="J201">
        <v>100</v>
      </c>
      <c r="K201">
        <v>315.63073640089669</v>
      </c>
      <c r="L201">
        <v>1</v>
      </c>
      <c r="M201">
        <v>100</v>
      </c>
    </row>
    <row r="202" spans="1:13">
      <c r="A202">
        <v>194</v>
      </c>
      <c r="B202">
        <v>94.111535958458091</v>
      </c>
      <c r="C202">
        <v>0.75</v>
      </c>
      <c r="D202">
        <v>120</v>
      </c>
      <c r="E202">
        <v>80.66180599868845</v>
      </c>
      <c r="F202">
        <v>0.85</v>
      </c>
      <c r="G202">
        <v>120</v>
      </c>
      <c r="H202">
        <v>93.936941018803637</v>
      </c>
      <c r="I202">
        <v>0.9</v>
      </c>
      <c r="J202">
        <v>100</v>
      </c>
      <c r="K202">
        <v>80.487211059033996</v>
      </c>
      <c r="L202">
        <v>1</v>
      </c>
      <c r="M202">
        <v>100</v>
      </c>
    </row>
    <row r="203" spans="1:13">
      <c r="A203">
        <v>195</v>
      </c>
      <c r="B203">
        <v>366.48516557470521</v>
      </c>
      <c r="C203">
        <v>0.75</v>
      </c>
      <c r="D203">
        <v>120</v>
      </c>
      <c r="E203">
        <v>348.14946851468136</v>
      </c>
      <c r="F203">
        <v>0.85</v>
      </c>
      <c r="G203">
        <v>120</v>
      </c>
      <c r="H203">
        <v>358.98161998466946</v>
      </c>
      <c r="I203">
        <v>0.9</v>
      </c>
      <c r="J203">
        <v>100</v>
      </c>
      <c r="K203">
        <v>340.64592292464556</v>
      </c>
      <c r="L203">
        <v>1</v>
      </c>
      <c r="M203">
        <v>100</v>
      </c>
    </row>
    <row r="204" spans="1:13">
      <c r="A204">
        <v>196</v>
      </c>
      <c r="B204">
        <v>330.46627350311059</v>
      </c>
      <c r="C204">
        <v>0.75</v>
      </c>
      <c r="D204">
        <v>120</v>
      </c>
      <c r="E204">
        <v>312.88113624854623</v>
      </c>
      <c r="F204">
        <v>0.85</v>
      </c>
      <c r="G204">
        <v>120</v>
      </c>
      <c r="H204">
        <v>324.08856762126402</v>
      </c>
      <c r="I204">
        <v>0.9</v>
      </c>
      <c r="J204">
        <v>100</v>
      </c>
      <c r="K204">
        <v>306.50343036669972</v>
      </c>
      <c r="L204">
        <v>1</v>
      </c>
      <c r="M204">
        <v>100</v>
      </c>
    </row>
    <row r="205" spans="1:13">
      <c r="A205">
        <v>197</v>
      </c>
      <c r="B205">
        <v>175.54003588831304</v>
      </c>
      <c r="C205">
        <v>0.75</v>
      </c>
      <c r="D205">
        <v>120</v>
      </c>
      <c r="E205">
        <v>161.67246389771111</v>
      </c>
      <c r="F205">
        <v>0.85</v>
      </c>
      <c r="G205">
        <v>120</v>
      </c>
      <c r="H205">
        <v>174.73867790241013</v>
      </c>
      <c r="I205">
        <v>0.9</v>
      </c>
      <c r="J205">
        <v>100</v>
      </c>
      <c r="K205">
        <v>160.87110591180817</v>
      </c>
      <c r="L205">
        <v>1</v>
      </c>
      <c r="M205">
        <v>100</v>
      </c>
    </row>
    <row r="206" spans="1:13">
      <c r="A206">
        <v>198</v>
      </c>
      <c r="B206">
        <v>261.58356404194097</v>
      </c>
      <c r="C206">
        <v>0.75</v>
      </c>
      <c r="D206">
        <v>120</v>
      </c>
      <c r="E206">
        <v>247.17099288966304</v>
      </c>
      <c r="F206">
        <v>0.85</v>
      </c>
      <c r="G206">
        <v>120</v>
      </c>
      <c r="H206">
        <v>259.96470731352406</v>
      </c>
      <c r="I206">
        <v>0.9</v>
      </c>
      <c r="J206">
        <v>100</v>
      </c>
      <c r="K206">
        <v>245.55213616124612</v>
      </c>
      <c r="L206">
        <v>1</v>
      </c>
      <c r="M206">
        <v>100</v>
      </c>
    </row>
    <row r="207" spans="1:13">
      <c r="A207">
        <v>199</v>
      </c>
      <c r="B207">
        <v>298.1105653523137</v>
      </c>
      <c r="C207">
        <v>0.75</v>
      </c>
      <c r="D207">
        <v>120</v>
      </c>
      <c r="E207">
        <v>281.58254594577318</v>
      </c>
      <c r="F207">
        <v>0.85</v>
      </c>
      <c r="G207">
        <v>120</v>
      </c>
      <c r="H207">
        <v>293.31853624250289</v>
      </c>
      <c r="I207">
        <v>0.9</v>
      </c>
      <c r="J207">
        <v>100</v>
      </c>
      <c r="K207">
        <v>276.79051683596236</v>
      </c>
      <c r="L207">
        <v>1</v>
      </c>
      <c r="M207">
        <v>100</v>
      </c>
    </row>
    <row r="208" spans="1:13">
      <c r="A208">
        <v>200</v>
      </c>
      <c r="B208">
        <v>305.81560295901301</v>
      </c>
      <c r="C208">
        <v>0.75</v>
      </c>
      <c r="D208">
        <v>120</v>
      </c>
      <c r="E208">
        <v>291.38166982125796</v>
      </c>
      <c r="F208">
        <v>0.85</v>
      </c>
      <c r="G208">
        <v>120</v>
      </c>
      <c r="H208">
        <v>304.16470325238043</v>
      </c>
      <c r="I208">
        <v>0.9</v>
      </c>
      <c r="J208">
        <v>100</v>
      </c>
      <c r="K208">
        <v>289.73077011462539</v>
      </c>
      <c r="L208">
        <v>1</v>
      </c>
      <c r="M208">
        <v>100</v>
      </c>
    </row>
    <row r="209" spans="1:13">
      <c r="A209">
        <v>201</v>
      </c>
      <c r="B209">
        <v>154.60476359048644</v>
      </c>
      <c r="C209">
        <v>0.75</v>
      </c>
      <c r="D209">
        <v>120</v>
      </c>
      <c r="E209">
        <v>139.27846128658445</v>
      </c>
      <c r="F209">
        <v>0.85</v>
      </c>
      <c r="G209">
        <v>120</v>
      </c>
      <c r="H209">
        <v>151.61531013463343</v>
      </c>
      <c r="I209">
        <v>0.9</v>
      </c>
      <c r="J209">
        <v>100</v>
      </c>
      <c r="K209">
        <v>136.28900783073144</v>
      </c>
      <c r="L209">
        <v>1</v>
      </c>
      <c r="M209">
        <v>100</v>
      </c>
    </row>
    <row r="210" spans="1:13">
      <c r="A210">
        <v>202</v>
      </c>
      <c r="B210">
        <v>111.78159107208754</v>
      </c>
      <c r="C210">
        <v>0.75</v>
      </c>
      <c r="D210">
        <v>120</v>
      </c>
      <c r="E210">
        <v>97.770950463901059</v>
      </c>
      <c r="F210">
        <v>0.85</v>
      </c>
      <c r="G210">
        <v>120</v>
      </c>
      <c r="H210">
        <v>110.76563015980783</v>
      </c>
      <c r="I210">
        <v>0.9</v>
      </c>
      <c r="J210">
        <v>100</v>
      </c>
      <c r="K210">
        <v>96.75498955162135</v>
      </c>
      <c r="L210">
        <v>1</v>
      </c>
      <c r="M210">
        <v>100</v>
      </c>
    </row>
    <row r="211" spans="1:13">
      <c r="A211">
        <v>203</v>
      </c>
      <c r="B211">
        <v>251.36045675975058</v>
      </c>
      <c r="C211">
        <v>0.75</v>
      </c>
      <c r="D211">
        <v>120</v>
      </c>
      <c r="E211">
        <v>237.03200719227851</v>
      </c>
      <c r="F211">
        <v>0.85</v>
      </c>
      <c r="G211">
        <v>120</v>
      </c>
      <c r="H211">
        <v>249.8677824085425</v>
      </c>
      <c r="I211">
        <v>0.9</v>
      </c>
      <c r="J211">
        <v>100</v>
      </c>
      <c r="K211">
        <v>235.53933284107043</v>
      </c>
      <c r="L211">
        <v>1</v>
      </c>
      <c r="M211">
        <v>100</v>
      </c>
    </row>
    <row r="212" spans="1:13">
      <c r="A212">
        <v>204</v>
      </c>
      <c r="B212">
        <v>242.59924155173877</v>
      </c>
      <c r="C212">
        <v>0.75</v>
      </c>
      <c r="D212">
        <v>120</v>
      </c>
      <c r="E212">
        <v>227.22496280780851</v>
      </c>
      <c r="F212">
        <v>0.85</v>
      </c>
      <c r="G212">
        <v>120</v>
      </c>
      <c r="H212">
        <v>239.53782343584336</v>
      </c>
      <c r="I212">
        <v>0.9</v>
      </c>
      <c r="J212">
        <v>100</v>
      </c>
      <c r="K212">
        <v>224.16354469191307</v>
      </c>
      <c r="L212">
        <v>1</v>
      </c>
      <c r="M212">
        <v>100</v>
      </c>
    </row>
    <row r="213" spans="1:13">
      <c r="A213">
        <v>205</v>
      </c>
      <c r="B213">
        <v>135.78440262513516</v>
      </c>
      <c r="C213">
        <v>0.75</v>
      </c>
      <c r="D213">
        <v>120</v>
      </c>
      <c r="E213">
        <v>120.76317335206011</v>
      </c>
      <c r="F213">
        <v>0.85</v>
      </c>
      <c r="G213">
        <v>120</v>
      </c>
      <c r="H213">
        <v>133.25255871552258</v>
      </c>
      <c r="I213">
        <v>0.9</v>
      </c>
      <c r="J213">
        <v>100</v>
      </c>
      <c r="K213">
        <v>118.23132944244753</v>
      </c>
      <c r="L213">
        <v>1</v>
      </c>
      <c r="M213">
        <v>100</v>
      </c>
    </row>
    <row r="214" spans="1:13">
      <c r="A214">
        <v>206</v>
      </c>
      <c r="B214">
        <v>180.06782189671947</v>
      </c>
      <c r="C214">
        <v>0.75</v>
      </c>
      <c r="D214">
        <v>120</v>
      </c>
      <c r="E214">
        <v>166.09607556547007</v>
      </c>
      <c r="F214">
        <v>0.85</v>
      </c>
      <c r="G214">
        <v>120</v>
      </c>
      <c r="H214">
        <v>179.11020239984538</v>
      </c>
      <c r="I214">
        <v>0.9</v>
      </c>
      <c r="J214">
        <v>100</v>
      </c>
      <c r="K214">
        <v>165.13845606859596</v>
      </c>
      <c r="L214">
        <v>1</v>
      </c>
      <c r="M214">
        <v>100</v>
      </c>
    </row>
    <row r="215" spans="1:13">
      <c r="A215">
        <v>207</v>
      </c>
      <c r="B215">
        <v>102.42136785218133</v>
      </c>
      <c r="C215">
        <v>0.75</v>
      </c>
      <c r="D215">
        <v>120</v>
      </c>
      <c r="E215">
        <v>95.471326754296044</v>
      </c>
      <c r="F215">
        <v>0.85</v>
      </c>
      <c r="G215">
        <v>120</v>
      </c>
      <c r="H215">
        <v>111.99630620535339</v>
      </c>
      <c r="I215">
        <v>0.9</v>
      </c>
      <c r="J215">
        <v>100</v>
      </c>
      <c r="K215">
        <v>105.04626510746809</v>
      </c>
      <c r="L215">
        <v>1</v>
      </c>
      <c r="M215">
        <v>100</v>
      </c>
    </row>
    <row r="216" spans="1:13">
      <c r="A216">
        <v>208</v>
      </c>
      <c r="B216">
        <v>235.37045732042881</v>
      </c>
      <c r="C216">
        <v>0.75</v>
      </c>
      <c r="D216">
        <v>120</v>
      </c>
      <c r="E216">
        <v>221.0257106627177</v>
      </c>
      <c r="F216">
        <v>0.85</v>
      </c>
      <c r="G216">
        <v>120</v>
      </c>
      <c r="H216">
        <v>233.85333733386216</v>
      </c>
      <c r="I216">
        <v>0.9</v>
      </c>
      <c r="J216">
        <v>100</v>
      </c>
      <c r="K216">
        <v>219.50859067615104</v>
      </c>
      <c r="L216">
        <v>1</v>
      </c>
      <c r="M216">
        <v>100</v>
      </c>
    </row>
    <row r="217" spans="1:13">
      <c r="A217">
        <v>209</v>
      </c>
      <c r="B217">
        <v>354.8620269094331</v>
      </c>
      <c r="C217">
        <v>0.75</v>
      </c>
      <c r="D217">
        <v>120</v>
      </c>
      <c r="E217">
        <v>338.89427405815218</v>
      </c>
      <c r="F217">
        <v>0.85</v>
      </c>
      <c r="G217">
        <v>120</v>
      </c>
      <c r="H217">
        <v>350.91039763251166</v>
      </c>
      <c r="I217">
        <v>0.9</v>
      </c>
      <c r="J217">
        <v>100</v>
      </c>
      <c r="K217">
        <v>334.94264478123068</v>
      </c>
      <c r="L217">
        <v>1</v>
      </c>
      <c r="M217">
        <v>100</v>
      </c>
    </row>
    <row r="218" spans="1:13">
      <c r="A218">
        <v>210</v>
      </c>
      <c r="B218">
        <v>196.422625529019</v>
      </c>
      <c r="C218">
        <v>0.75</v>
      </c>
      <c r="D218">
        <v>120</v>
      </c>
      <c r="E218">
        <v>182.53822643208827</v>
      </c>
      <c r="F218">
        <v>0.85</v>
      </c>
      <c r="G218">
        <v>120</v>
      </c>
      <c r="H218">
        <v>195.5960268836229</v>
      </c>
      <c r="I218">
        <v>0.9</v>
      </c>
      <c r="J218">
        <v>100</v>
      </c>
      <c r="K218">
        <v>181.71162778669216</v>
      </c>
      <c r="L218">
        <v>1</v>
      </c>
      <c r="M218">
        <v>100</v>
      </c>
    </row>
    <row r="219" spans="1:13">
      <c r="A219">
        <v>211</v>
      </c>
      <c r="B219">
        <v>288.00587304676583</v>
      </c>
      <c r="C219">
        <v>0.75</v>
      </c>
      <c r="D219">
        <v>120</v>
      </c>
      <c r="E219">
        <v>269.74938240697531</v>
      </c>
      <c r="F219">
        <v>0.85</v>
      </c>
      <c r="G219">
        <v>120</v>
      </c>
      <c r="H219">
        <v>280.62113708708011</v>
      </c>
      <c r="I219">
        <v>0.9</v>
      </c>
      <c r="J219">
        <v>100</v>
      </c>
      <c r="K219">
        <v>262.3646464472896</v>
      </c>
      <c r="L219">
        <v>1</v>
      </c>
      <c r="M219">
        <v>100</v>
      </c>
    </row>
    <row r="220" spans="1:13">
      <c r="A220">
        <v>212</v>
      </c>
      <c r="B220">
        <v>212.41128027706196</v>
      </c>
      <c r="C220">
        <v>0.75</v>
      </c>
      <c r="D220">
        <v>120</v>
      </c>
      <c r="E220">
        <v>197.56629404327643</v>
      </c>
      <c r="F220">
        <v>0.85</v>
      </c>
      <c r="G220">
        <v>120</v>
      </c>
      <c r="H220">
        <v>210.14380092638368</v>
      </c>
      <c r="I220">
        <v>0.9</v>
      </c>
      <c r="J220">
        <v>100</v>
      </c>
      <c r="K220">
        <v>195.29881469259814</v>
      </c>
      <c r="L220">
        <v>1</v>
      </c>
      <c r="M220">
        <v>100</v>
      </c>
    </row>
    <row r="221" spans="1:13">
      <c r="A221">
        <v>213</v>
      </c>
      <c r="B221">
        <v>275.68231557007385</v>
      </c>
      <c r="C221">
        <v>0.75</v>
      </c>
      <c r="D221">
        <v>120</v>
      </c>
      <c r="E221">
        <v>260.14502896020804</v>
      </c>
      <c r="F221">
        <v>0.85</v>
      </c>
      <c r="G221">
        <v>120</v>
      </c>
      <c r="H221">
        <v>272.37638565527504</v>
      </c>
      <c r="I221">
        <v>0.9</v>
      </c>
      <c r="J221">
        <v>100</v>
      </c>
      <c r="K221">
        <v>256.83909904540923</v>
      </c>
      <c r="L221">
        <v>1</v>
      </c>
      <c r="M221">
        <v>100</v>
      </c>
    </row>
    <row r="222" spans="1:13">
      <c r="A222">
        <v>214</v>
      </c>
      <c r="B222">
        <v>276.16553215811814</v>
      </c>
      <c r="C222">
        <v>0.75</v>
      </c>
      <c r="D222">
        <v>120</v>
      </c>
      <c r="E222">
        <v>259.46658082097338</v>
      </c>
      <c r="F222">
        <v>0.85</v>
      </c>
      <c r="G222">
        <v>120</v>
      </c>
      <c r="H222">
        <v>271.117105152401</v>
      </c>
      <c r="I222">
        <v>0.9</v>
      </c>
      <c r="J222">
        <v>100</v>
      </c>
      <c r="K222">
        <v>254.41815381525623</v>
      </c>
      <c r="L222">
        <v>1</v>
      </c>
      <c r="M222">
        <v>100</v>
      </c>
    </row>
    <row r="223" spans="1:13">
      <c r="A223">
        <v>215</v>
      </c>
      <c r="B223">
        <v>233.74483769168148</v>
      </c>
      <c r="C223">
        <v>0.75</v>
      </c>
      <c r="D223">
        <v>120</v>
      </c>
      <c r="E223">
        <v>219.09581023765867</v>
      </c>
      <c r="F223">
        <v>0.85</v>
      </c>
      <c r="G223">
        <v>120</v>
      </c>
      <c r="H223">
        <v>231.77129651064723</v>
      </c>
      <c r="I223">
        <v>0.9</v>
      </c>
      <c r="J223">
        <v>100</v>
      </c>
      <c r="K223">
        <v>217.12226905662442</v>
      </c>
      <c r="L223">
        <v>1</v>
      </c>
      <c r="M223">
        <v>100</v>
      </c>
    </row>
    <row r="224" spans="1:13">
      <c r="A224">
        <v>216</v>
      </c>
      <c r="B224">
        <v>155.36527062733538</v>
      </c>
      <c r="C224">
        <v>0.75</v>
      </c>
      <c r="D224">
        <v>120</v>
      </c>
      <c r="E224">
        <v>141.50780139697082</v>
      </c>
      <c r="F224">
        <v>0.85</v>
      </c>
      <c r="G224">
        <v>120</v>
      </c>
      <c r="H224">
        <v>154.57906678178853</v>
      </c>
      <c r="I224">
        <v>0.9</v>
      </c>
      <c r="J224">
        <v>100</v>
      </c>
      <c r="K224">
        <v>140.72159755142397</v>
      </c>
      <c r="L224">
        <v>1</v>
      </c>
      <c r="M224">
        <v>100</v>
      </c>
    </row>
    <row r="225" spans="1:13">
      <c r="A225">
        <v>217</v>
      </c>
      <c r="B225">
        <v>111.47579508398582</v>
      </c>
      <c r="C225">
        <v>0.75</v>
      </c>
      <c r="D225">
        <v>120</v>
      </c>
      <c r="E225">
        <v>101.66802035008251</v>
      </c>
      <c r="F225">
        <v>0.85</v>
      </c>
      <c r="G225">
        <v>120</v>
      </c>
      <c r="H225">
        <v>116.76413298313086</v>
      </c>
      <c r="I225">
        <v>0.9</v>
      </c>
      <c r="J225">
        <v>100</v>
      </c>
      <c r="K225">
        <v>106.95635824922758</v>
      </c>
      <c r="L225">
        <v>1</v>
      </c>
      <c r="M225">
        <v>100</v>
      </c>
    </row>
    <row r="226" spans="1:13">
      <c r="A226">
        <v>218</v>
      </c>
      <c r="B226">
        <v>137.68280035175411</v>
      </c>
      <c r="C226">
        <v>0.75</v>
      </c>
      <c r="D226">
        <v>120</v>
      </c>
      <c r="E226">
        <v>127.75611746287919</v>
      </c>
      <c r="F226">
        <v>0.85</v>
      </c>
      <c r="G226">
        <v>120</v>
      </c>
      <c r="H226">
        <v>142.79277601844171</v>
      </c>
      <c r="I226">
        <v>0.9</v>
      </c>
      <c r="J226">
        <v>100</v>
      </c>
      <c r="K226">
        <v>132.86609312956676</v>
      </c>
      <c r="L226">
        <v>1</v>
      </c>
      <c r="M226">
        <v>100</v>
      </c>
    </row>
    <row r="227" spans="1:13">
      <c r="A227">
        <v>219</v>
      </c>
      <c r="B227">
        <v>216.50913041443377</v>
      </c>
      <c r="C227">
        <v>0.75</v>
      </c>
      <c r="D227">
        <v>120</v>
      </c>
      <c r="E227">
        <v>200.58698087550354</v>
      </c>
      <c r="F227">
        <v>0.85</v>
      </c>
      <c r="G227">
        <v>120</v>
      </c>
      <c r="H227">
        <v>212.6259061060384</v>
      </c>
      <c r="I227">
        <v>0.9</v>
      </c>
      <c r="J227">
        <v>100</v>
      </c>
      <c r="K227">
        <v>196.70375656710817</v>
      </c>
      <c r="L227">
        <v>1</v>
      </c>
      <c r="M227">
        <v>100</v>
      </c>
    </row>
    <row r="228" spans="1:13">
      <c r="A228">
        <v>220</v>
      </c>
      <c r="B228">
        <v>190.90968856185214</v>
      </c>
      <c r="C228">
        <v>0.75</v>
      </c>
      <c r="D228">
        <v>120</v>
      </c>
      <c r="E228">
        <v>174.53426788283809</v>
      </c>
      <c r="F228">
        <v>0.85</v>
      </c>
      <c r="G228">
        <v>120</v>
      </c>
      <c r="H228">
        <v>186.34655754333104</v>
      </c>
      <c r="I228">
        <v>0.9</v>
      </c>
      <c r="J228">
        <v>100</v>
      </c>
      <c r="K228">
        <v>169.971136864317</v>
      </c>
      <c r="L228">
        <v>1</v>
      </c>
      <c r="M228">
        <v>100</v>
      </c>
    </row>
    <row r="229" spans="1:13">
      <c r="A229">
        <v>221</v>
      </c>
      <c r="B229">
        <v>208.99492445800431</v>
      </c>
      <c r="C229">
        <v>0.75</v>
      </c>
      <c r="D229">
        <v>120</v>
      </c>
      <c r="E229">
        <v>192.59123439229356</v>
      </c>
      <c r="F229">
        <v>0.85</v>
      </c>
      <c r="G229">
        <v>120</v>
      </c>
      <c r="H229">
        <v>204.38938935943818</v>
      </c>
      <c r="I229">
        <v>0.9</v>
      </c>
      <c r="J229">
        <v>100</v>
      </c>
      <c r="K229">
        <v>187.98569929372744</v>
      </c>
      <c r="L229">
        <v>1</v>
      </c>
      <c r="M229">
        <v>100</v>
      </c>
    </row>
    <row r="230" spans="1:13">
      <c r="A230">
        <v>222</v>
      </c>
      <c r="B230">
        <v>260.9922756064127</v>
      </c>
      <c r="C230">
        <v>0.75</v>
      </c>
      <c r="D230">
        <v>120</v>
      </c>
      <c r="E230">
        <v>246.52083219680856</v>
      </c>
      <c r="F230">
        <v>0.85</v>
      </c>
      <c r="G230">
        <v>120</v>
      </c>
      <c r="H230">
        <v>259.28511049200648</v>
      </c>
      <c r="I230">
        <v>0.9</v>
      </c>
      <c r="J230">
        <v>100</v>
      </c>
      <c r="K230">
        <v>244.81366708240233</v>
      </c>
      <c r="L230">
        <v>1</v>
      </c>
      <c r="M230">
        <v>100</v>
      </c>
    </row>
    <row r="231" spans="1:13">
      <c r="A231">
        <v>223</v>
      </c>
      <c r="B231">
        <v>153.62114455314691</v>
      </c>
      <c r="C231">
        <v>0.75</v>
      </c>
      <c r="D231">
        <v>120</v>
      </c>
      <c r="E231">
        <v>139.24305133236788</v>
      </c>
      <c r="F231">
        <v>0.85</v>
      </c>
      <c r="G231">
        <v>120</v>
      </c>
      <c r="H231">
        <v>152.05400472197837</v>
      </c>
      <c r="I231">
        <v>0.9</v>
      </c>
      <c r="J231">
        <v>100</v>
      </c>
      <c r="K231">
        <v>137.67591150119935</v>
      </c>
      <c r="L231">
        <v>1</v>
      </c>
      <c r="M231">
        <v>100</v>
      </c>
    </row>
    <row r="232" spans="1:13">
      <c r="A232">
        <v>224</v>
      </c>
      <c r="B232">
        <v>63.246182262306192</v>
      </c>
      <c r="C232">
        <v>0.75</v>
      </c>
      <c r="D232">
        <v>120</v>
      </c>
      <c r="E232">
        <v>54.909170339530888</v>
      </c>
      <c r="F232">
        <v>0.85</v>
      </c>
      <c r="G232">
        <v>120</v>
      </c>
      <c r="H232">
        <v>70.740664378143222</v>
      </c>
      <c r="I232">
        <v>0.9</v>
      </c>
      <c r="J232">
        <v>100</v>
      </c>
      <c r="K232">
        <v>62.403652455367919</v>
      </c>
      <c r="L232">
        <v>1</v>
      </c>
      <c r="M232">
        <v>100</v>
      </c>
    </row>
    <row r="233" spans="1:13">
      <c r="A233">
        <v>225</v>
      </c>
      <c r="B233">
        <v>155.03992672490762</v>
      </c>
      <c r="C233">
        <v>0.75</v>
      </c>
      <c r="D233">
        <v>120</v>
      </c>
      <c r="E233">
        <v>142.85025938663745</v>
      </c>
      <c r="F233">
        <v>0.85</v>
      </c>
      <c r="G233">
        <v>120</v>
      </c>
      <c r="H233">
        <v>156.75542571750236</v>
      </c>
      <c r="I233">
        <v>0.9</v>
      </c>
      <c r="J233">
        <v>100</v>
      </c>
      <c r="K233">
        <v>144.56575837923219</v>
      </c>
      <c r="L233">
        <v>1</v>
      </c>
      <c r="M233">
        <v>100</v>
      </c>
    </row>
    <row r="234" spans="1:13">
      <c r="A234">
        <v>226</v>
      </c>
      <c r="B234">
        <v>312.0680304560766</v>
      </c>
      <c r="C234">
        <v>0.75</v>
      </c>
      <c r="D234">
        <v>120</v>
      </c>
      <c r="E234">
        <v>297.58302438696114</v>
      </c>
      <c r="F234">
        <v>0.85</v>
      </c>
      <c r="G234">
        <v>120</v>
      </c>
      <c r="H234">
        <v>310.34052135240347</v>
      </c>
      <c r="I234">
        <v>0.9</v>
      </c>
      <c r="J234">
        <v>100</v>
      </c>
      <c r="K234">
        <v>295.85551528328801</v>
      </c>
      <c r="L234">
        <v>1</v>
      </c>
      <c r="M234">
        <v>100</v>
      </c>
    </row>
    <row r="235" spans="1:13">
      <c r="A235">
        <v>227</v>
      </c>
      <c r="B235">
        <v>87.305118555260009</v>
      </c>
      <c r="C235">
        <v>0.75</v>
      </c>
      <c r="D235">
        <v>120</v>
      </c>
      <c r="E235">
        <v>74.900439466137257</v>
      </c>
      <c r="F235">
        <v>0.85</v>
      </c>
      <c r="G235">
        <v>120</v>
      </c>
      <c r="H235">
        <v>88.698099921575874</v>
      </c>
      <c r="I235">
        <v>0.9</v>
      </c>
      <c r="J235">
        <v>100</v>
      </c>
      <c r="K235">
        <v>76.293420832453108</v>
      </c>
      <c r="L235">
        <v>1</v>
      </c>
      <c r="M235">
        <v>100</v>
      </c>
    </row>
    <row r="236" spans="1:13">
      <c r="A236">
        <v>228</v>
      </c>
      <c r="B236">
        <v>208.85978807085826</v>
      </c>
      <c r="C236">
        <v>0.75</v>
      </c>
      <c r="D236">
        <v>120</v>
      </c>
      <c r="E236">
        <v>195.9040024482764</v>
      </c>
      <c r="F236">
        <v>0.85</v>
      </c>
      <c r="G236">
        <v>120</v>
      </c>
      <c r="H236">
        <v>209.42610963698544</v>
      </c>
      <c r="I236">
        <v>0.9</v>
      </c>
      <c r="J236">
        <v>100</v>
      </c>
      <c r="K236">
        <v>196.47032401440356</v>
      </c>
      <c r="L236">
        <v>1</v>
      </c>
      <c r="M236">
        <v>100</v>
      </c>
    </row>
    <row r="237" spans="1:13">
      <c r="A237">
        <v>229</v>
      </c>
      <c r="B237">
        <v>136.4117637721169</v>
      </c>
      <c r="C237">
        <v>0.75</v>
      </c>
      <c r="D237">
        <v>120</v>
      </c>
      <c r="E237">
        <v>124.67946964275379</v>
      </c>
      <c r="F237">
        <v>0.85</v>
      </c>
      <c r="G237">
        <v>120</v>
      </c>
      <c r="H237">
        <v>138.81332257807225</v>
      </c>
      <c r="I237">
        <v>0.9</v>
      </c>
      <c r="J237">
        <v>100</v>
      </c>
      <c r="K237">
        <v>127.08102844870913</v>
      </c>
      <c r="L237">
        <v>1</v>
      </c>
      <c r="M237">
        <v>100</v>
      </c>
    </row>
    <row r="238" spans="1:13">
      <c r="A238">
        <v>230</v>
      </c>
      <c r="B238">
        <v>152.9819437302111</v>
      </c>
      <c r="C238">
        <v>0.75</v>
      </c>
      <c r="D238">
        <v>120</v>
      </c>
      <c r="E238">
        <v>136.35577985899198</v>
      </c>
      <c r="F238">
        <v>0.85</v>
      </c>
      <c r="G238">
        <v>120</v>
      </c>
      <c r="H238">
        <v>148.04269792338241</v>
      </c>
      <c r="I238">
        <v>0.9</v>
      </c>
      <c r="J238">
        <v>100</v>
      </c>
      <c r="K238">
        <v>131.41653405216329</v>
      </c>
      <c r="L238">
        <v>1</v>
      </c>
      <c r="M238">
        <v>100</v>
      </c>
    </row>
    <row r="239" spans="1:13">
      <c r="A239">
        <v>231</v>
      </c>
      <c r="B239">
        <v>317.94103493962723</v>
      </c>
      <c r="C239">
        <v>0.75</v>
      </c>
      <c r="D239">
        <v>120</v>
      </c>
      <c r="E239">
        <v>301.08279456225114</v>
      </c>
      <c r="F239">
        <v>0.85</v>
      </c>
      <c r="G239">
        <v>120</v>
      </c>
      <c r="H239">
        <v>312.65367437356304</v>
      </c>
      <c r="I239">
        <v>0.9</v>
      </c>
      <c r="J239">
        <v>100</v>
      </c>
      <c r="K239">
        <v>295.79543399618689</v>
      </c>
      <c r="L239">
        <v>1</v>
      </c>
      <c r="M239">
        <v>100</v>
      </c>
    </row>
    <row r="240" spans="1:13">
      <c r="A240">
        <v>232</v>
      </c>
      <c r="B240">
        <v>78.507748137036472</v>
      </c>
      <c r="C240">
        <v>0.75</v>
      </c>
      <c r="D240">
        <v>120</v>
      </c>
      <c r="E240">
        <v>62.113291066444333</v>
      </c>
      <c r="F240">
        <v>0.85</v>
      </c>
      <c r="G240">
        <v>120</v>
      </c>
      <c r="H240">
        <v>73.91606253114827</v>
      </c>
      <c r="I240">
        <v>0.9</v>
      </c>
      <c r="J240">
        <v>100</v>
      </c>
      <c r="K240">
        <v>57.521605460556145</v>
      </c>
      <c r="L240">
        <v>1</v>
      </c>
      <c r="M240">
        <v>100</v>
      </c>
    </row>
    <row r="241" spans="1:13">
      <c r="A241">
        <v>233</v>
      </c>
      <c r="B241">
        <v>208.36273661192121</v>
      </c>
      <c r="C241">
        <v>0.75</v>
      </c>
      <c r="D241">
        <v>120</v>
      </c>
      <c r="E241">
        <v>197.228195291904</v>
      </c>
      <c r="F241">
        <v>0.85</v>
      </c>
      <c r="G241">
        <v>120</v>
      </c>
      <c r="H241">
        <v>211.66092463189537</v>
      </c>
      <c r="I241">
        <v>0.9</v>
      </c>
      <c r="J241">
        <v>100</v>
      </c>
      <c r="K241">
        <v>200.52638331187816</v>
      </c>
      <c r="L241">
        <v>1</v>
      </c>
      <c r="M241">
        <v>100</v>
      </c>
    </row>
    <row r="242" spans="1:13">
      <c r="A242">
        <v>234</v>
      </c>
      <c r="B242">
        <v>229.759200840696</v>
      </c>
      <c r="C242">
        <v>0.75</v>
      </c>
      <c r="D242">
        <v>120</v>
      </c>
      <c r="E242">
        <v>216.17600386761296</v>
      </c>
      <c r="F242">
        <v>0.85</v>
      </c>
      <c r="G242">
        <v>120</v>
      </c>
      <c r="H242">
        <v>229.38440538107147</v>
      </c>
      <c r="I242">
        <v>0.9</v>
      </c>
      <c r="J242">
        <v>100</v>
      </c>
      <c r="K242">
        <v>215.80120840798844</v>
      </c>
      <c r="L242">
        <v>1</v>
      </c>
      <c r="M242">
        <v>100</v>
      </c>
    </row>
    <row r="243" spans="1:13">
      <c r="A243">
        <v>235</v>
      </c>
      <c r="B243">
        <v>194.05744094267976</v>
      </c>
      <c r="C243">
        <v>0.75</v>
      </c>
      <c r="D243">
        <v>120</v>
      </c>
      <c r="E243">
        <v>180.70683704145375</v>
      </c>
      <c r="F243">
        <v>0.85</v>
      </c>
      <c r="G243">
        <v>120</v>
      </c>
      <c r="H243">
        <v>194.03153509084072</v>
      </c>
      <c r="I243">
        <v>0.9</v>
      </c>
      <c r="J243">
        <v>100</v>
      </c>
      <c r="K243">
        <v>180.68093118961471</v>
      </c>
      <c r="L243">
        <v>1</v>
      </c>
      <c r="M243">
        <v>100</v>
      </c>
    </row>
    <row r="244" spans="1:13">
      <c r="A244">
        <v>236</v>
      </c>
      <c r="B244">
        <v>308.3583961720409</v>
      </c>
      <c r="C244">
        <v>0.75</v>
      </c>
      <c r="D244">
        <v>120</v>
      </c>
      <c r="E244">
        <v>293.28025687014053</v>
      </c>
      <c r="F244">
        <v>0.85</v>
      </c>
      <c r="G244">
        <v>120</v>
      </c>
      <c r="H244">
        <v>305.74118721919035</v>
      </c>
      <c r="I244">
        <v>0.9</v>
      </c>
      <c r="J244">
        <v>100</v>
      </c>
      <c r="K244">
        <v>290.66304791728999</v>
      </c>
      <c r="L244">
        <v>1</v>
      </c>
      <c r="M244">
        <v>100</v>
      </c>
    </row>
    <row r="245" spans="1:13">
      <c r="A245">
        <v>237</v>
      </c>
      <c r="B245">
        <v>220.74847802188907</v>
      </c>
      <c r="C245">
        <v>0.75</v>
      </c>
      <c r="D245">
        <v>120</v>
      </c>
      <c r="E245">
        <v>203.85401863734262</v>
      </c>
      <c r="F245">
        <v>0.85</v>
      </c>
      <c r="G245">
        <v>120</v>
      </c>
      <c r="H245">
        <v>215.40678894506939</v>
      </c>
      <c r="I245">
        <v>0.9</v>
      </c>
      <c r="J245">
        <v>100</v>
      </c>
      <c r="K245">
        <v>198.51232956052294</v>
      </c>
      <c r="L245">
        <v>1</v>
      </c>
      <c r="M245">
        <v>100</v>
      </c>
    </row>
    <row r="246" spans="1:13">
      <c r="A246">
        <v>238</v>
      </c>
      <c r="B246">
        <v>206.5423277211676</v>
      </c>
      <c r="C246">
        <v>0.75</v>
      </c>
      <c r="D246">
        <v>120</v>
      </c>
      <c r="E246">
        <v>189.24308871634111</v>
      </c>
      <c r="F246">
        <v>0.85</v>
      </c>
      <c r="G246">
        <v>120</v>
      </c>
      <c r="H246">
        <v>200.59346921392788</v>
      </c>
      <c r="I246">
        <v>0.9</v>
      </c>
      <c r="J246">
        <v>100</v>
      </c>
      <c r="K246">
        <v>183.29423020910139</v>
      </c>
      <c r="L246">
        <v>1</v>
      </c>
      <c r="M246">
        <v>100</v>
      </c>
    </row>
    <row r="247" spans="1:13">
      <c r="A247">
        <v>239</v>
      </c>
      <c r="B247">
        <v>235.43178329685946</v>
      </c>
      <c r="C247">
        <v>0.75</v>
      </c>
      <c r="D247">
        <v>120</v>
      </c>
      <c r="E247">
        <v>219.48673853214558</v>
      </c>
      <c r="F247">
        <v>0.85</v>
      </c>
      <c r="G247">
        <v>120</v>
      </c>
      <c r="H247">
        <v>231.51421614978861</v>
      </c>
      <c r="I247">
        <v>0.9</v>
      </c>
      <c r="J247">
        <v>100</v>
      </c>
      <c r="K247">
        <v>215.5691713850747</v>
      </c>
      <c r="L247">
        <v>1</v>
      </c>
      <c r="M247">
        <v>100</v>
      </c>
    </row>
    <row r="248" spans="1:13">
      <c r="A248">
        <v>240</v>
      </c>
      <c r="B248">
        <v>326.42401312740458</v>
      </c>
      <c r="C248">
        <v>0.75</v>
      </c>
      <c r="D248">
        <v>120</v>
      </c>
      <c r="E248">
        <v>310.41313133198383</v>
      </c>
      <c r="F248">
        <v>0.85</v>
      </c>
      <c r="G248">
        <v>120</v>
      </c>
      <c r="H248">
        <v>322.40769043427343</v>
      </c>
      <c r="I248">
        <v>0.9</v>
      </c>
      <c r="J248">
        <v>100</v>
      </c>
      <c r="K248">
        <v>306.39680863885269</v>
      </c>
      <c r="L248">
        <v>1</v>
      </c>
      <c r="M248">
        <v>100</v>
      </c>
    </row>
    <row r="249" spans="1:13">
      <c r="A249">
        <v>241</v>
      </c>
      <c r="B249">
        <v>218.06422508268136</v>
      </c>
      <c r="C249">
        <v>0.75</v>
      </c>
      <c r="D249">
        <v>120</v>
      </c>
      <c r="E249">
        <v>202.53509810481845</v>
      </c>
      <c r="F249">
        <v>0.85</v>
      </c>
      <c r="G249">
        <v>120</v>
      </c>
      <c r="H249">
        <v>214.77053461588699</v>
      </c>
      <c r="I249">
        <v>0.9</v>
      </c>
      <c r="J249">
        <v>100</v>
      </c>
      <c r="K249">
        <v>199.24140763802407</v>
      </c>
      <c r="L249">
        <v>1</v>
      </c>
      <c r="M249">
        <v>100</v>
      </c>
    </row>
    <row r="250" spans="1:13">
      <c r="A250">
        <v>242</v>
      </c>
      <c r="B250">
        <v>175.50013587605935</v>
      </c>
      <c r="C250">
        <v>0.75</v>
      </c>
      <c r="D250">
        <v>120</v>
      </c>
      <c r="E250">
        <v>161.33777128859421</v>
      </c>
      <c r="F250">
        <v>0.85</v>
      </c>
      <c r="G250">
        <v>120</v>
      </c>
      <c r="H250">
        <v>174.25658899486163</v>
      </c>
      <c r="I250">
        <v>0.9</v>
      </c>
      <c r="J250">
        <v>100</v>
      </c>
      <c r="K250">
        <v>160.0942244073965</v>
      </c>
      <c r="L250">
        <v>1</v>
      </c>
      <c r="M250">
        <v>100</v>
      </c>
    </row>
    <row r="251" spans="1:13">
      <c r="A251">
        <v>243</v>
      </c>
      <c r="B251">
        <v>331.94994115818452</v>
      </c>
      <c r="C251">
        <v>0.75</v>
      </c>
      <c r="D251">
        <v>120</v>
      </c>
      <c r="E251">
        <v>315.85228590608756</v>
      </c>
      <c r="F251">
        <v>0.85</v>
      </c>
      <c r="G251">
        <v>120</v>
      </c>
      <c r="H251">
        <v>327.80345828003902</v>
      </c>
      <c r="I251">
        <v>0.9</v>
      </c>
      <c r="J251">
        <v>100</v>
      </c>
      <c r="K251">
        <v>311.70580302794207</v>
      </c>
      <c r="L251">
        <v>1</v>
      </c>
      <c r="M251">
        <v>100</v>
      </c>
    </row>
    <row r="252" spans="1:13">
      <c r="A252">
        <v>244</v>
      </c>
      <c r="B252">
        <v>284.88115122773462</v>
      </c>
      <c r="C252">
        <v>0.75</v>
      </c>
      <c r="D252">
        <v>120</v>
      </c>
      <c r="E252">
        <v>271.76018225331001</v>
      </c>
      <c r="F252">
        <v>0.85</v>
      </c>
      <c r="G252">
        <v>120</v>
      </c>
      <c r="H252">
        <v>285.1996977660977</v>
      </c>
      <c r="I252">
        <v>0.9</v>
      </c>
      <c r="J252">
        <v>100</v>
      </c>
      <c r="K252">
        <v>272.07872879167309</v>
      </c>
      <c r="L252">
        <v>1</v>
      </c>
      <c r="M252">
        <v>100</v>
      </c>
    </row>
    <row r="253" spans="1:13">
      <c r="A253">
        <v>245</v>
      </c>
      <c r="B253">
        <v>171.62997200349918</v>
      </c>
      <c r="C253">
        <v>0.75</v>
      </c>
      <c r="D253">
        <v>120</v>
      </c>
      <c r="E253">
        <v>158.16245890981264</v>
      </c>
      <c r="F253">
        <v>0.85</v>
      </c>
      <c r="G253">
        <v>120</v>
      </c>
      <c r="H253">
        <v>171.42870236296935</v>
      </c>
      <c r="I253">
        <v>0.9</v>
      </c>
      <c r="J253">
        <v>100</v>
      </c>
      <c r="K253">
        <v>157.96118926928278</v>
      </c>
      <c r="L253">
        <v>1</v>
      </c>
      <c r="M253">
        <v>100</v>
      </c>
    </row>
    <row r="254" spans="1:13">
      <c r="A254">
        <v>246</v>
      </c>
      <c r="B254">
        <v>151.38067566622874</v>
      </c>
      <c r="C254">
        <v>0.75</v>
      </c>
      <c r="D254">
        <v>120</v>
      </c>
      <c r="E254">
        <v>138.74081006531952</v>
      </c>
      <c r="F254">
        <v>0.85</v>
      </c>
      <c r="G254">
        <v>120</v>
      </c>
      <c r="H254">
        <v>152.42087726486488</v>
      </c>
      <c r="I254">
        <v>0.9</v>
      </c>
      <c r="J254">
        <v>100</v>
      </c>
      <c r="K254">
        <v>139.78101166395561</v>
      </c>
      <c r="L254">
        <v>1</v>
      </c>
      <c r="M254">
        <v>100</v>
      </c>
    </row>
    <row r="255" spans="1:13">
      <c r="A255">
        <v>247</v>
      </c>
      <c r="B255">
        <v>390.70052423116948</v>
      </c>
      <c r="C255">
        <v>0.75</v>
      </c>
      <c r="D255">
        <v>120</v>
      </c>
      <c r="E255">
        <v>373.8586660666133</v>
      </c>
      <c r="F255">
        <v>0.85</v>
      </c>
      <c r="G255">
        <v>120</v>
      </c>
      <c r="H255">
        <v>385.43773698433517</v>
      </c>
      <c r="I255">
        <v>0.9</v>
      </c>
      <c r="J255">
        <v>100</v>
      </c>
      <c r="K255">
        <v>368.59587881977899</v>
      </c>
      <c r="L255">
        <v>1</v>
      </c>
      <c r="M255">
        <v>100</v>
      </c>
    </row>
    <row r="256" spans="1:13">
      <c r="A256">
        <v>248</v>
      </c>
      <c r="B256">
        <v>114.92010224657989</v>
      </c>
      <c r="C256">
        <v>0.75</v>
      </c>
      <c r="D256">
        <v>120</v>
      </c>
      <c r="E256">
        <v>101.65189570327846</v>
      </c>
      <c r="F256">
        <v>0.85</v>
      </c>
      <c r="G256">
        <v>120</v>
      </c>
      <c r="H256">
        <v>115.01779243162773</v>
      </c>
      <c r="I256">
        <v>0.9</v>
      </c>
      <c r="J256">
        <v>100</v>
      </c>
      <c r="K256">
        <v>101.74958588832629</v>
      </c>
      <c r="L256">
        <v>1</v>
      </c>
      <c r="M256">
        <v>100</v>
      </c>
    </row>
    <row r="257" spans="1:13">
      <c r="A257">
        <v>249</v>
      </c>
      <c r="B257">
        <v>122.35740735574056</v>
      </c>
      <c r="C257">
        <v>0.75</v>
      </c>
      <c r="D257">
        <v>120</v>
      </c>
      <c r="E257">
        <v>110.10930726268774</v>
      </c>
      <c r="F257">
        <v>0.85</v>
      </c>
      <c r="G257">
        <v>120</v>
      </c>
      <c r="H257">
        <v>123.98525721616133</v>
      </c>
      <c r="I257">
        <v>0.9</v>
      </c>
      <c r="J257">
        <v>100</v>
      </c>
      <c r="K257">
        <v>111.7371571231085</v>
      </c>
      <c r="L257">
        <v>1</v>
      </c>
      <c r="M257">
        <v>100</v>
      </c>
    </row>
    <row r="258" spans="1:13">
      <c r="A258">
        <v>250</v>
      </c>
      <c r="B258">
        <v>318.36556716292534</v>
      </c>
      <c r="C258">
        <v>0.75</v>
      </c>
      <c r="D258">
        <v>120</v>
      </c>
      <c r="E258">
        <v>302.00401655464617</v>
      </c>
      <c r="F258">
        <v>0.85</v>
      </c>
      <c r="G258">
        <v>120</v>
      </c>
      <c r="H258">
        <v>313.82324125050661</v>
      </c>
      <c r="I258">
        <v>0.9</v>
      </c>
      <c r="J258">
        <v>100</v>
      </c>
      <c r="K258">
        <v>297.4616906422275</v>
      </c>
      <c r="L258">
        <v>1</v>
      </c>
      <c r="M258">
        <v>100</v>
      </c>
    </row>
    <row r="259" spans="1:13">
      <c r="A259">
        <v>251</v>
      </c>
      <c r="B259">
        <v>343.19456236789301</v>
      </c>
      <c r="C259">
        <v>0.75</v>
      </c>
      <c r="D259">
        <v>120</v>
      </c>
      <c r="E259">
        <v>327.11685458685315</v>
      </c>
      <c r="F259">
        <v>0.85</v>
      </c>
      <c r="G259">
        <v>120</v>
      </c>
      <c r="H259">
        <v>339.07800069633316</v>
      </c>
      <c r="I259">
        <v>0.9</v>
      </c>
      <c r="J259">
        <v>100</v>
      </c>
      <c r="K259">
        <v>323.00029291529324</v>
      </c>
      <c r="L259">
        <v>1</v>
      </c>
      <c r="M259">
        <v>100</v>
      </c>
    </row>
    <row r="260" spans="1:13">
      <c r="A260">
        <v>252</v>
      </c>
      <c r="B260">
        <v>83.751991959918684</v>
      </c>
      <c r="C260">
        <v>0.75</v>
      </c>
      <c r="D260">
        <v>120</v>
      </c>
      <c r="E260">
        <v>70.539890785951727</v>
      </c>
      <c r="F260">
        <v>0.85</v>
      </c>
      <c r="G260">
        <v>120</v>
      </c>
      <c r="H260">
        <v>83.933840198968227</v>
      </c>
      <c r="I260">
        <v>0.9</v>
      </c>
      <c r="J260">
        <v>100</v>
      </c>
      <c r="K260">
        <v>70.721739025001256</v>
      </c>
      <c r="L260">
        <v>1</v>
      </c>
      <c r="M260">
        <v>100</v>
      </c>
    </row>
    <row r="261" spans="1:13">
      <c r="A261">
        <v>253</v>
      </c>
      <c r="B261">
        <v>314.61635642367207</v>
      </c>
      <c r="C261">
        <v>0.75</v>
      </c>
      <c r="D261">
        <v>120</v>
      </c>
      <c r="E261">
        <v>302.15467354216042</v>
      </c>
      <c r="F261">
        <v>0.85</v>
      </c>
      <c r="G261">
        <v>120</v>
      </c>
      <c r="H261">
        <v>315.92383210140457</v>
      </c>
      <c r="I261">
        <v>0.9</v>
      </c>
      <c r="J261">
        <v>100</v>
      </c>
      <c r="K261">
        <v>303.46214921989292</v>
      </c>
      <c r="L261">
        <v>1</v>
      </c>
      <c r="M261">
        <v>100</v>
      </c>
    </row>
    <row r="262" spans="1:13">
      <c r="A262">
        <v>254</v>
      </c>
      <c r="B262">
        <v>357.37501457365488</v>
      </c>
      <c r="C262">
        <v>0.75</v>
      </c>
      <c r="D262">
        <v>120</v>
      </c>
      <c r="E262">
        <v>339.56390954476291</v>
      </c>
      <c r="F262">
        <v>0.85</v>
      </c>
      <c r="G262">
        <v>120</v>
      </c>
      <c r="H262">
        <v>350.65835703031689</v>
      </c>
      <c r="I262">
        <v>0.9</v>
      </c>
      <c r="J262">
        <v>100</v>
      </c>
      <c r="K262">
        <v>332.84725200142486</v>
      </c>
      <c r="L262">
        <v>1</v>
      </c>
      <c r="M262">
        <v>100</v>
      </c>
    </row>
    <row r="263" spans="1:13">
      <c r="A263">
        <v>255</v>
      </c>
      <c r="B263">
        <v>215.39522635979557</v>
      </c>
      <c r="C263">
        <v>0.75</v>
      </c>
      <c r="D263">
        <v>120</v>
      </c>
      <c r="E263">
        <v>199.73363172788424</v>
      </c>
      <c r="F263">
        <v>0.85</v>
      </c>
      <c r="G263">
        <v>120</v>
      </c>
      <c r="H263">
        <v>211.90283441192858</v>
      </c>
      <c r="I263">
        <v>0.9</v>
      </c>
      <c r="J263">
        <v>100</v>
      </c>
      <c r="K263">
        <v>196.24123978001725</v>
      </c>
      <c r="L263">
        <v>1</v>
      </c>
      <c r="M263">
        <v>100</v>
      </c>
    </row>
    <row r="264" spans="1:13">
      <c r="A264">
        <v>256</v>
      </c>
      <c r="B264">
        <v>106.19605058154724</v>
      </c>
      <c r="C264">
        <v>0.75</v>
      </c>
      <c r="D264">
        <v>120</v>
      </c>
      <c r="E264">
        <v>89.221516976898215</v>
      </c>
      <c r="F264">
        <v>0.85</v>
      </c>
      <c r="G264">
        <v>120</v>
      </c>
      <c r="H264">
        <v>100.73425017457367</v>
      </c>
      <c r="I264">
        <v>0.9</v>
      </c>
      <c r="J264">
        <v>100</v>
      </c>
      <c r="K264">
        <v>83.759716569924649</v>
      </c>
      <c r="L264">
        <v>1</v>
      </c>
      <c r="M264">
        <v>100</v>
      </c>
    </row>
    <row r="265" spans="1:13">
      <c r="A265">
        <v>257</v>
      </c>
      <c r="B265">
        <v>387.99901124836072</v>
      </c>
      <c r="C265">
        <v>0.75</v>
      </c>
      <c r="D265">
        <v>120</v>
      </c>
      <c r="E265">
        <v>371.88668366459717</v>
      </c>
      <c r="F265">
        <v>0.85</v>
      </c>
      <c r="G265">
        <v>120</v>
      </c>
      <c r="H265">
        <v>383.8305198727154</v>
      </c>
      <c r="I265">
        <v>0.9</v>
      </c>
      <c r="J265">
        <v>100</v>
      </c>
      <c r="K265">
        <v>367.71819228895185</v>
      </c>
      <c r="L265">
        <v>1</v>
      </c>
      <c r="M265">
        <v>100</v>
      </c>
    </row>
    <row r="266" spans="1:13">
      <c r="A266">
        <v>258</v>
      </c>
      <c r="B266">
        <v>325.8905594889527</v>
      </c>
      <c r="C266">
        <v>0.75</v>
      </c>
      <c r="D266">
        <v>120</v>
      </c>
      <c r="E266">
        <v>306.96264115710159</v>
      </c>
      <c r="F266">
        <v>0.85</v>
      </c>
      <c r="G266">
        <v>120</v>
      </c>
      <c r="H266">
        <v>317.498681991176</v>
      </c>
      <c r="I266">
        <v>0.9</v>
      </c>
      <c r="J266">
        <v>100</v>
      </c>
      <c r="K266">
        <v>298.57076365932494</v>
      </c>
      <c r="L266">
        <v>1</v>
      </c>
      <c r="M266">
        <v>100</v>
      </c>
    </row>
    <row r="267" spans="1:13">
      <c r="A267">
        <v>259</v>
      </c>
      <c r="B267">
        <v>237.35951770088181</v>
      </c>
      <c r="C267">
        <v>0.75</v>
      </c>
      <c r="D267">
        <v>120</v>
      </c>
      <c r="E267">
        <v>219.22688261882163</v>
      </c>
      <c r="F267">
        <v>0.85</v>
      </c>
      <c r="G267">
        <v>120</v>
      </c>
      <c r="H267">
        <v>230.16056507779152</v>
      </c>
      <c r="I267">
        <v>0.9</v>
      </c>
      <c r="J267">
        <v>100</v>
      </c>
      <c r="K267">
        <v>212.02792999573134</v>
      </c>
      <c r="L267">
        <v>1</v>
      </c>
      <c r="M267">
        <v>100</v>
      </c>
    </row>
    <row r="268" spans="1:13">
      <c r="A268">
        <v>260</v>
      </c>
      <c r="B268">
        <v>232.85955935180962</v>
      </c>
      <c r="C268">
        <v>0.75</v>
      </c>
      <c r="D268">
        <v>120</v>
      </c>
      <c r="E268">
        <v>216.21733464017879</v>
      </c>
      <c r="F268">
        <v>0.85</v>
      </c>
      <c r="G268">
        <v>120</v>
      </c>
      <c r="H268">
        <v>227.89622228436335</v>
      </c>
      <c r="I268">
        <v>0.9</v>
      </c>
      <c r="J268">
        <v>100</v>
      </c>
      <c r="K268">
        <v>211.25399757273252</v>
      </c>
      <c r="L268">
        <v>1</v>
      </c>
      <c r="M268">
        <v>100</v>
      </c>
    </row>
    <row r="269" spans="1:13">
      <c r="A269">
        <v>261</v>
      </c>
      <c r="B269">
        <v>218.32362617513709</v>
      </c>
      <c r="C269">
        <v>0.75</v>
      </c>
      <c r="D269">
        <v>120</v>
      </c>
      <c r="E269">
        <v>201.57469469117007</v>
      </c>
      <c r="F269">
        <v>0.85</v>
      </c>
      <c r="G269">
        <v>120</v>
      </c>
      <c r="H269">
        <v>213.20022894918657</v>
      </c>
      <c r="I269">
        <v>0.9</v>
      </c>
      <c r="J269">
        <v>100</v>
      </c>
      <c r="K269">
        <v>196.45129746521954</v>
      </c>
      <c r="L269">
        <v>1</v>
      </c>
      <c r="M269">
        <v>100</v>
      </c>
    </row>
    <row r="270" spans="1:13">
      <c r="A270">
        <v>262</v>
      </c>
      <c r="B270">
        <v>337.44036953273155</v>
      </c>
      <c r="C270">
        <v>0.75</v>
      </c>
      <c r="D270">
        <v>120</v>
      </c>
      <c r="E270">
        <v>321.79590769383412</v>
      </c>
      <c r="F270">
        <v>0.85</v>
      </c>
      <c r="G270">
        <v>120</v>
      </c>
      <c r="H270">
        <v>333.97367677438547</v>
      </c>
      <c r="I270">
        <v>0.9</v>
      </c>
      <c r="J270">
        <v>100</v>
      </c>
      <c r="K270">
        <v>318.32921493548804</v>
      </c>
      <c r="L270">
        <v>1</v>
      </c>
      <c r="M270">
        <v>100</v>
      </c>
    </row>
    <row r="271" spans="1:13">
      <c r="A271">
        <v>263</v>
      </c>
      <c r="B271">
        <v>448.29152592721078</v>
      </c>
      <c r="C271">
        <v>0.75</v>
      </c>
      <c r="D271">
        <v>120</v>
      </c>
      <c r="E271">
        <v>431.13996042333167</v>
      </c>
      <c r="F271">
        <v>0.85</v>
      </c>
      <c r="G271">
        <v>120</v>
      </c>
      <c r="H271">
        <v>442.56417767139203</v>
      </c>
      <c r="I271">
        <v>0.9</v>
      </c>
      <c r="J271">
        <v>100</v>
      </c>
      <c r="K271">
        <v>425.41261216751292</v>
      </c>
      <c r="L271">
        <v>1</v>
      </c>
      <c r="M271">
        <v>100</v>
      </c>
    </row>
    <row r="272" spans="1:13">
      <c r="A272">
        <v>264</v>
      </c>
      <c r="B272">
        <v>179.83350684832439</v>
      </c>
      <c r="C272">
        <v>0.75</v>
      </c>
      <c r="D272">
        <v>120</v>
      </c>
      <c r="E272">
        <v>165.67989362184625</v>
      </c>
      <c r="F272">
        <v>0.85</v>
      </c>
      <c r="G272">
        <v>120</v>
      </c>
      <c r="H272">
        <v>178.60308700860719</v>
      </c>
      <c r="I272">
        <v>0.9</v>
      </c>
      <c r="J272">
        <v>100</v>
      </c>
      <c r="K272">
        <v>164.44947378212905</v>
      </c>
      <c r="L272">
        <v>1</v>
      </c>
      <c r="M272">
        <v>100</v>
      </c>
    </row>
    <row r="273" spans="1:13">
      <c r="A273">
        <v>265</v>
      </c>
      <c r="B273">
        <v>306.7714300763904</v>
      </c>
      <c r="C273">
        <v>0.75</v>
      </c>
      <c r="D273">
        <v>120</v>
      </c>
      <c r="E273">
        <v>290.96243419876134</v>
      </c>
      <c r="F273">
        <v>0.85</v>
      </c>
      <c r="G273">
        <v>120</v>
      </c>
      <c r="H273">
        <v>303.05793625994681</v>
      </c>
      <c r="I273">
        <v>0.9</v>
      </c>
      <c r="J273">
        <v>100</v>
      </c>
      <c r="K273">
        <v>287.24894038231781</v>
      </c>
      <c r="L273">
        <v>1</v>
      </c>
      <c r="M273">
        <v>100</v>
      </c>
    </row>
    <row r="274" spans="1:13">
      <c r="A274">
        <v>266</v>
      </c>
      <c r="B274">
        <v>197.51519970834494</v>
      </c>
      <c r="C274">
        <v>0.75</v>
      </c>
      <c r="D274">
        <v>120</v>
      </c>
      <c r="E274">
        <v>185.56918251035751</v>
      </c>
      <c r="F274">
        <v>0.85</v>
      </c>
      <c r="G274">
        <v>120</v>
      </c>
      <c r="H274">
        <v>199.59617391136379</v>
      </c>
      <c r="I274">
        <v>0.9</v>
      </c>
      <c r="J274">
        <v>100</v>
      </c>
      <c r="K274">
        <v>187.65015671337633</v>
      </c>
      <c r="L274">
        <v>1</v>
      </c>
      <c r="M274">
        <v>100</v>
      </c>
    </row>
    <row r="275" spans="1:13">
      <c r="A275">
        <v>267</v>
      </c>
      <c r="B275">
        <v>211.24312383207811</v>
      </c>
      <c r="C275">
        <v>0.75</v>
      </c>
      <c r="D275">
        <v>120</v>
      </c>
      <c r="E275">
        <v>197.48428612682414</v>
      </c>
      <c r="F275">
        <v>0.85</v>
      </c>
      <c r="G275">
        <v>120</v>
      </c>
      <c r="H275">
        <v>210.60486727419712</v>
      </c>
      <c r="I275">
        <v>0.9</v>
      </c>
      <c r="J275">
        <v>100</v>
      </c>
      <c r="K275">
        <v>196.84602956894312</v>
      </c>
      <c r="L275">
        <v>1</v>
      </c>
      <c r="M275">
        <v>100</v>
      </c>
    </row>
    <row r="276" spans="1:13">
      <c r="A276">
        <v>268</v>
      </c>
      <c r="B276">
        <v>48.338786545595866</v>
      </c>
      <c r="C276">
        <v>0.75</v>
      </c>
      <c r="D276">
        <v>120</v>
      </c>
      <c r="E276">
        <v>38.353629526160432</v>
      </c>
      <c r="F276">
        <v>0.85</v>
      </c>
      <c r="G276">
        <v>120</v>
      </c>
      <c r="H276">
        <v>53.361051016442715</v>
      </c>
      <c r="I276">
        <v>0.9</v>
      </c>
      <c r="J276">
        <v>100</v>
      </c>
      <c r="K276">
        <v>43.375893997007296</v>
      </c>
      <c r="L276">
        <v>1</v>
      </c>
      <c r="M276">
        <v>100</v>
      </c>
    </row>
    <row r="277" spans="1:13">
      <c r="A277">
        <v>269</v>
      </c>
      <c r="B277">
        <v>285.95692476537329</v>
      </c>
      <c r="C277">
        <v>0.75</v>
      </c>
      <c r="D277">
        <v>120</v>
      </c>
      <c r="E277">
        <v>266.83016799206058</v>
      </c>
      <c r="F277">
        <v>0.85</v>
      </c>
      <c r="G277">
        <v>120</v>
      </c>
      <c r="H277">
        <v>277.2667896054042</v>
      </c>
      <c r="I277">
        <v>0.9</v>
      </c>
      <c r="J277">
        <v>100</v>
      </c>
      <c r="K277">
        <v>258.14003283209149</v>
      </c>
      <c r="L277">
        <v>1</v>
      </c>
      <c r="M277">
        <v>100</v>
      </c>
    </row>
    <row r="278" spans="1:13">
      <c r="A278">
        <v>270</v>
      </c>
      <c r="B278">
        <v>221.11537278559433</v>
      </c>
      <c r="C278">
        <v>0.75</v>
      </c>
      <c r="D278">
        <v>120</v>
      </c>
      <c r="E278">
        <v>208.12276539905361</v>
      </c>
      <c r="F278">
        <v>0.85</v>
      </c>
      <c r="G278">
        <v>120</v>
      </c>
      <c r="H278">
        <v>221.62646170578319</v>
      </c>
      <c r="I278">
        <v>0.9</v>
      </c>
      <c r="J278">
        <v>100</v>
      </c>
      <c r="K278">
        <v>208.63385431924246</v>
      </c>
      <c r="L278">
        <v>1</v>
      </c>
      <c r="M278">
        <v>100</v>
      </c>
    </row>
    <row r="279" spans="1:13">
      <c r="A279">
        <v>271</v>
      </c>
      <c r="B279">
        <v>337.95488836058155</v>
      </c>
      <c r="C279">
        <v>0.75</v>
      </c>
      <c r="D279">
        <v>120</v>
      </c>
      <c r="E279">
        <v>318.09765006757004</v>
      </c>
      <c r="F279">
        <v>0.85</v>
      </c>
      <c r="G279">
        <v>120</v>
      </c>
      <c r="H279">
        <v>328.16903092106429</v>
      </c>
      <c r="I279">
        <v>0.9</v>
      </c>
      <c r="J279">
        <v>100</v>
      </c>
      <c r="K279">
        <v>308.31179262805279</v>
      </c>
      <c r="L279">
        <v>1</v>
      </c>
      <c r="M279">
        <v>100</v>
      </c>
    </row>
    <row r="280" spans="1:13">
      <c r="A280">
        <v>272</v>
      </c>
      <c r="B280">
        <v>241.85727478828215</v>
      </c>
      <c r="C280">
        <v>0.75</v>
      </c>
      <c r="D280">
        <v>120</v>
      </c>
      <c r="E280">
        <v>230.64580205893498</v>
      </c>
      <c r="F280">
        <v>0.85</v>
      </c>
      <c r="G280">
        <v>120</v>
      </c>
      <c r="H280">
        <v>245.04006569426139</v>
      </c>
      <c r="I280">
        <v>0.9</v>
      </c>
      <c r="J280">
        <v>100</v>
      </c>
      <c r="K280">
        <v>233.82859296491424</v>
      </c>
      <c r="L280">
        <v>1</v>
      </c>
      <c r="M280">
        <v>100</v>
      </c>
    </row>
    <row r="281" spans="1:13">
      <c r="A281">
        <v>273</v>
      </c>
      <c r="B281">
        <v>409.19258771718381</v>
      </c>
      <c r="C281">
        <v>0.75</v>
      </c>
      <c r="D281">
        <v>120</v>
      </c>
      <c r="E281">
        <v>392.16432636656975</v>
      </c>
      <c r="F281">
        <v>0.85</v>
      </c>
      <c r="G281">
        <v>120</v>
      </c>
      <c r="H281">
        <v>403.6501956912627</v>
      </c>
      <c r="I281">
        <v>0.9</v>
      </c>
      <c r="J281">
        <v>100</v>
      </c>
      <c r="K281">
        <v>386.62193434064864</v>
      </c>
      <c r="L281">
        <v>1</v>
      </c>
      <c r="M281">
        <v>100</v>
      </c>
    </row>
    <row r="282" spans="1:13">
      <c r="A282">
        <v>274</v>
      </c>
      <c r="B282">
        <v>128.75046963953719</v>
      </c>
      <c r="C282">
        <v>0.75</v>
      </c>
      <c r="D282">
        <v>120</v>
      </c>
      <c r="E282">
        <v>118.24994607832397</v>
      </c>
      <c r="F282">
        <v>0.85</v>
      </c>
      <c r="G282">
        <v>120</v>
      </c>
      <c r="H282">
        <v>132.99968429771735</v>
      </c>
      <c r="I282">
        <v>0.9</v>
      </c>
      <c r="J282">
        <v>100</v>
      </c>
      <c r="K282">
        <v>122.49916073650417</v>
      </c>
      <c r="L282">
        <v>1</v>
      </c>
      <c r="M282">
        <v>100</v>
      </c>
    </row>
    <row r="283" spans="1:13">
      <c r="A283">
        <v>275</v>
      </c>
      <c r="B283">
        <v>410.78343365211492</v>
      </c>
      <c r="C283">
        <v>0.75</v>
      </c>
      <c r="D283">
        <v>120</v>
      </c>
      <c r="E283">
        <v>393.12958575197797</v>
      </c>
      <c r="F283">
        <v>0.85</v>
      </c>
      <c r="G283">
        <v>120</v>
      </c>
      <c r="H283">
        <v>404.30266180190949</v>
      </c>
      <c r="I283">
        <v>0.9</v>
      </c>
      <c r="J283">
        <v>100</v>
      </c>
      <c r="K283">
        <v>386.64881390177254</v>
      </c>
      <c r="L283">
        <v>1</v>
      </c>
      <c r="M283">
        <v>100</v>
      </c>
    </row>
    <row r="284" spans="1:13">
      <c r="A284">
        <v>276</v>
      </c>
      <c r="B284">
        <v>223.42604723204829</v>
      </c>
      <c r="C284">
        <v>0.75</v>
      </c>
      <c r="D284">
        <v>120</v>
      </c>
      <c r="E284">
        <v>209.7980842764461</v>
      </c>
      <c r="F284">
        <v>0.85</v>
      </c>
      <c r="G284">
        <v>120</v>
      </c>
      <c r="H284">
        <v>222.98410279864501</v>
      </c>
      <c r="I284">
        <v>0.9</v>
      </c>
      <c r="J284">
        <v>100</v>
      </c>
      <c r="K284">
        <v>209.35613984304283</v>
      </c>
      <c r="L284">
        <v>1</v>
      </c>
      <c r="M284">
        <v>100</v>
      </c>
    </row>
    <row r="285" spans="1:13">
      <c r="A285">
        <v>277</v>
      </c>
      <c r="B285">
        <v>161.42301108408191</v>
      </c>
      <c r="C285">
        <v>0.75</v>
      </c>
      <c r="D285">
        <v>120</v>
      </c>
      <c r="E285">
        <v>149.05276148232136</v>
      </c>
      <c r="F285">
        <v>0.85</v>
      </c>
      <c r="G285">
        <v>120</v>
      </c>
      <c r="H285">
        <v>162.86763668144107</v>
      </c>
      <c r="I285">
        <v>0.9</v>
      </c>
      <c r="J285">
        <v>100</v>
      </c>
      <c r="K285">
        <v>150.49738707968049</v>
      </c>
      <c r="L285">
        <v>1</v>
      </c>
      <c r="M285">
        <v>100</v>
      </c>
    </row>
    <row r="286" spans="1:13">
      <c r="A286">
        <v>278</v>
      </c>
      <c r="B286">
        <v>199.74676815466634</v>
      </c>
      <c r="C286">
        <v>0.75</v>
      </c>
      <c r="D286">
        <v>120</v>
      </c>
      <c r="E286">
        <v>186.34034556359234</v>
      </c>
      <c r="F286">
        <v>0.85</v>
      </c>
      <c r="G286">
        <v>120</v>
      </c>
      <c r="H286">
        <v>199.63713426805532</v>
      </c>
      <c r="I286">
        <v>0.9</v>
      </c>
      <c r="J286">
        <v>100</v>
      </c>
      <c r="K286">
        <v>186.23071167698134</v>
      </c>
      <c r="L286">
        <v>1</v>
      </c>
      <c r="M286">
        <v>100</v>
      </c>
    </row>
    <row r="287" spans="1:13">
      <c r="A287">
        <v>279</v>
      </c>
      <c r="B287">
        <v>313.65584709049483</v>
      </c>
      <c r="C287">
        <v>0.75</v>
      </c>
      <c r="D287">
        <v>120</v>
      </c>
      <c r="E287">
        <v>298.26385116444527</v>
      </c>
      <c r="F287">
        <v>0.85</v>
      </c>
      <c r="G287">
        <v>120</v>
      </c>
      <c r="H287">
        <v>310.56785320142046</v>
      </c>
      <c r="I287">
        <v>0.9</v>
      </c>
      <c r="J287">
        <v>100</v>
      </c>
      <c r="K287">
        <v>295.17585727537096</v>
      </c>
      <c r="L287">
        <v>1</v>
      </c>
      <c r="M287">
        <v>100</v>
      </c>
    </row>
    <row r="288" spans="1:13">
      <c r="A288">
        <v>280</v>
      </c>
      <c r="B288">
        <v>151.0696159996431</v>
      </c>
      <c r="C288">
        <v>0.75</v>
      </c>
      <c r="D288">
        <v>120</v>
      </c>
      <c r="E288">
        <v>137.84276965739133</v>
      </c>
      <c r="F288">
        <v>0.85</v>
      </c>
      <c r="G288">
        <v>120</v>
      </c>
      <c r="H288">
        <v>151.22934648626546</v>
      </c>
      <c r="I288">
        <v>0.9</v>
      </c>
      <c r="J288">
        <v>100</v>
      </c>
      <c r="K288">
        <v>138.00250014401371</v>
      </c>
      <c r="L288">
        <v>1</v>
      </c>
      <c r="M288">
        <v>100</v>
      </c>
    </row>
    <row r="289" spans="1:13">
      <c r="A289">
        <v>281</v>
      </c>
      <c r="B289">
        <v>141.84876584727192</v>
      </c>
      <c r="C289">
        <v>0.75</v>
      </c>
      <c r="D289">
        <v>120</v>
      </c>
      <c r="E289">
        <v>128.19499813791566</v>
      </c>
      <c r="F289">
        <v>0.85</v>
      </c>
      <c r="G289">
        <v>120</v>
      </c>
      <c r="H289">
        <v>141.36811428323753</v>
      </c>
      <c r="I289">
        <v>0.9</v>
      </c>
      <c r="J289">
        <v>100</v>
      </c>
      <c r="K289">
        <v>127.71434657388127</v>
      </c>
      <c r="L289">
        <v>1</v>
      </c>
      <c r="M289">
        <v>100</v>
      </c>
    </row>
    <row r="290" spans="1:13">
      <c r="A290">
        <v>282</v>
      </c>
      <c r="B290">
        <v>334.58550491644024</v>
      </c>
      <c r="C290">
        <v>0.75</v>
      </c>
      <c r="D290">
        <v>120</v>
      </c>
      <c r="E290">
        <v>316.52620690397532</v>
      </c>
      <c r="F290">
        <v>0.85</v>
      </c>
      <c r="G290">
        <v>120</v>
      </c>
      <c r="H290">
        <v>327.49655789774283</v>
      </c>
      <c r="I290">
        <v>0.9</v>
      </c>
      <c r="J290">
        <v>100</v>
      </c>
      <c r="K290">
        <v>309.43725988527785</v>
      </c>
      <c r="L290">
        <v>1</v>
      </c>
      <c r="M290">
        <v>100</v>
      </c>
    </row>
    <row r="291" spans="1:13">
      <c r="A291">
        <v>283</v>
      </c>
      <c r="B291">
        <v>262.56356709142779</v>
      </c>
      <c r="C291">
        <v>0.75</v>
      </c>
      <c r="D291">
        <v>120</v>
      </c>
      <c r="E291">
        <v>247.74502719255076</v>
      </c>
      <c r="F291">
        <v>0.85</v>
      </c>
      <c r="G291">
        <v>120</v>
      </c>
      <c r="H291">
        <v>260.33575724311225</v>
      </c>
      <c r="I291">
        <v>0.9</v>
      </c>
      <c r="J291">
        <v>100</v>
      </c>
      <c r="K291">
        <v>245.51721734423526</v>
      </c>
      <c r="L291">
        <v>1</v>
      </c>
      <c r="M291">
        <v>100</v>
      </c>
    </row>
    <row r="292" spans="1:13">
      <c r="A292">
        <v>284</v>
      </c>
      <c r="B292">
        <v>233.67001979273746</v>
      </c>
      <c r="C292">
        <v>0.75</v>
      </c>
      <c r="D292">
        <v>120</v>
      </c>
      <c r="E292">
        <v>216.42323482059953</v>
      </c>
      <c r="F292">
        <v>0.85</v>
      </c>
      <c r="G292">
        <v>120</v>
      </c>
      <c r="H292">
        <v>227.79984233453058</v>
      </c>
      <c r="I292">
        <v>0.9</v>
      </c>
      <c r="J292">
        <v>100</v>
      </c>
      <c r="K292">
        <v>210.55305736239265</v>
      </c>
      <c r="L292">
        <v>1</v>
      </c>
      <c r="M292">
        <v>100</v>
      </c>
    </row>
    <row r="293" spans="1:13">
      <c r="A293">
        <v>285</v>
      </c>
      <c r="B293">
        <v>288.44709516328567</v>
      </c>
      <c r="C293">
        <v>0.75</v>
      </c>
      <c r="D293">
        <v>120</v>
      </c>
      <c r="E293">
        <v>273.70080003756169</v>
      </c>
      <c r="F293">
        <v>0.85</v>
      </c>
      <c r="G293">
        <v>120</v>
      </c>
      <c r="H293">
        <v>286.32765247469968</v>
      </c>
      <c r="I293">
        <v>0.9</v>
      </c>
      <c r="J293">
        <v>100</v>
      </c>
      <c r="K293">
        <v>271.58135734897576</v>
      </c>
      <c r="L293">
        <v>1</v>
      </c>
      <c r="M293">
        <v>100</v>
      </c>
    </row>
    <row r="294" spans="1:13">
      <c r="A294">
        <v>286</v>
      </c>
      <c r="B294">
        <v>134.31167524110026</v>
      </c>
      <c r="C294">
        <v>0.75</v>
      </c>
      <c r="D294">
        <v>120</v>
      </c>
      <c r="E294">
        <v>122.14285205378536</v>
      </c>
      <c r="F294">
        <v>0.85</v>
      </c>
      <c r="G294">
        <v>120</v>
      </c>
      <c r="H294">
        <v>136.05844046012791</v>
      </c>
      <c r="I294">
        <v>0.9</v>
      </c>
      <c r="J294">
        <v>100</v>
      </c>
      <c r="K294">
        <v>123.889617272813</v>
      </c>
      <c r="L294">
        <v>1</v>
      </c>
      <c r="M294">
        <v>100</v>
      </c>
    </row>
    <row r="295" spans="1:13">
      <c r="A295">
        <v>287</v>
      </c>
      <c r="B295">
        <v>176.68076183157024</v>
      </c>
      <c r="C295">
        <v>0.75</v>
      </c>
      <c r="D295">
        <v>120</v>
      </c>
      <c r="E295">
        <v>160.94626876590644</v>
      </c>
      <c r="F295">
        <v>0.85</v>
      </c>
      <c r="G295">
        <v>120</v>
      </c>
      <c r="H295">
        <v>173.07902223307451</v>
      </c>
      <c r="I295">
        <v>0.9</v>
      </c>
      <c r="J295">
        <v>100</v>
      </c>
      <c r="K295">
        <v>157.34452916741071</v>
      </c>
      <c r="L295">
        <v>1</v>
      </c>
      <c r="M295">
        <v>100</v>
      </c>
    </row>
    <row r="296" spans="1:13">
      <c r="A296">
        <v>288</v>
      </c>
      <c r="B296">
        <v>281.06944126905813</v>
      </c>
      <c r="C296">
        <v>0.75</v>
      </c>
      <c r="D296">
        <v>120</v>
      </c>
      <c r="E296">
        <v>266.1639602219567</v>
      </c>
      <c r="F296">
        <v>0.85</v>
      </c>
      <c r="G296">
        <v>120</v>
      </c>
      <c r="H296">
        <v>278.71121969840601</v>
      </c>
      <c r="I296">
        <v>0.9</v>
      </c>
      <c r="J296">
        <v>100</v>
      </c>
      <c r="K296">
        <v>263.80573865130458</v>
      </c>
      <c r="L296">
        <v>1</v>
      </c>
      <c r="M296">
        <v>100</v>
      </c>
    </row>
    <row r="297" spans="1:13">
      <c r="A297">
        <v>289</v>
      </c>
      <c r="B297">
        <v>140.90740387693964</v>
      </c>
      <c r="C297">
        <v>0.75</v>
      </c>
      <c r="D297">
        <v>120</v>
      </c>
      <c r="E297">
        <v>129.73659238659485</v>
      </c>
      <c r="F297">
        <v>0.85</v>
      </c>
      <c r="G297">
        <v>120</v>
      </c>
      <c r="H297">
        <v>144.15118664142247</v>
      </c>
      <c r="I297">
        <v>0.9</v>
      </c>
      <c r="J297">
        <v>100</v>
      </c>
      <c r="K297">
        <v>132.98037515107771</v>
      </c>
      <c r="L297">
        <v>1</v>
      </c>
      <c r="M297">
        <v>100</v>
      </c>
    </row>
    <row r="298" spans="1:13">
      <c r="A298">
        <v>290</v>
      </c>
      <c r="B298">
        <v>434.2156557469948</v>
      </c>
      <c r="C298">
        <v>0.75</v>
      </c>
      <c r="D298">
        <v>120</v>
      </c>
      <c r="E298">
        <v>413.90135194061133</v>
      </c>
      <c r="F298">
        <v>0.85</v>
      </c>
      <c r="G298">
        <v>120</v>
      </c>
      <c r="H298">
        <v>423.7442000374196</v>
      </c>
      <c r="I298">
        <v>0.9</v>
      </c>
      <c r="J298">
        <v>100</v>
      </c>
      <c r="K298">
        <v>403.42989623103614</v>
      </c>
      <c r="L298">
        <v>1</v>
      </c>
      <c r="M298">
        <v>100</v>
      </c>
    </row>
    <row r="299" spans="1:13">
      <c r="A299">
        <v>291</v>
      </c>
      <c r="B299">
        <v>220.28229973400397</v>
      </c>
      <c r="C299">
        <v>0.75</v>
      </c>
      <c r="D299">
        <v>120</v>
      </c>
      <c r="E299">
        <v>204.48195574650612</v>
      </c>
      <c r="F299">
        <v>0.85</v>
      </c>
      <c r="G299">
        <v>120</v>
      </c>
      <c r="H299">
        <v>216.58178375275719</v>
      </c>
      <c r="I299">
        <v>0.9</v>
      </c>
      <c r="J299">
        <v>100</v>
      </c>
      <c r="K299">
        <v>200.78143976525934</v>
      </c>
      <c r="L299">
        <v>1</v>
      </c>
      <c r="M299">
        <v>100</v>
      </c>
    </row>
    <row r="300" spans="1:13">
      <c r="A300">
        <v>292</v>
      </c>
      <c r="B300">
        <v>159.39747168791183</v>
      </c>
      <c r="C300">
        <v>0.75</v>
      </c>
      <c r="D300">
        <v>120</v>
      </c>
      <c r="E300">
        <v>143.90142430161282</v>
      </c>
      <c r="F300">
        <v>0.85</v>
      </c>
      <c r="G300">
        <v>120</v>
      </c>
      <c r="H300">
        <v>156.1534006084633</v>
      </c>
      <c r="I300">
        <v>0.9</v>
      </c>
      <c r="J300">
        <v>100</v>
      </c>
      <c r="K300">
        <v>140.65735322216426</v>
      </c>
      <c r="L300">
        <v>1</v>
      </c>
      <c r="M300">
        <v>100</v>
      </c>
    </row>
    <row r="301" spans="1:13">
      <c r="A301">
        <v>293</v>
      </c>
      <c r="B301">
        <v>307.76206113832347</v>
      </c>
      <c r="C301">
        <v>0.75</v>
      </c>
      <c r="D301">
        <v>120</v>
      </c>
      <c r="E301">
        <v>291.42461573732862</v>
      </c>
      <c r="F301">
        <v>0.85</v>
      </c>
      <c r="G301">
        <v>120</v>
      </c>
      <c r="H301">
        <v>303.25589303683125</v>
      </c>
      <c r="I301">
        <v>0.9</v>
      </c>
      <c r="J301">
        <v>100</v>
      </c>
      <c r="K301">
        <v>286.9184476358364</v>
      </c>
      <c r="L301">
        <v>1</v>
      </c>
      <c r="M301">
        <v>100</v>
      </c>
    </row>
    <row r="302" spans="1:13">
      <c r="A302">
        <v>294</v>
      </c>
      <c r="B302">
        <v>180.90883952792404</v>
      </c>
      <c r="C302">
        <v>0.75</v>
      </c>
      <c r="D302">
        <v>120</v>
      </c>
      <c r="E302">
        <v>167.75523405154556</v>
      </c>
      <c r="F302">
        <v>0.85</v>
      </c>
      <c r="G302">
        <v>120</v>
      </c>
      <c r="H302">
        <v>181.1784313133563</v>
      </c>
      <c r="I302">
        <v>0.9</v>
      </c>
      <c r="J302">
        <v>100</v>
      </c>
      <c r="K302">
        <v>168.02482583697781</v>
      </c>
      <c r="L302">
        <v>1</v>
      </c>
      <c r="M302">
        <v>100</v>
      </c>
    </row>
    <row r="303" spans="1:13">
      <c r="A303">
        <v>295</v>
      </c>
      <c r="B303">
        <v>28.998792580962402</v>
      </c>
      <c r="C303">
        <v>0.75</v>
      </c>
      <c r="D303">
        <v>120</v>
      </c>
      <c r="E303">
        <v>13.865284281099974</v>
      </c>
      <c r="F303">
        <v>0.85</v>
      </c>
      <c r="G303">
        <v>120</v>
      </c>
      <c r="H303">
        <v>26.298530131168775</v>
      </c>
      <c r="I303">
        <v>0.9</v>
      </c>
      <c r="J303">
        <v>100</v>
      </c>
      <c r="K303">
        <v>11.165021831306348</v>
      </c>
      <c r="L303">
        <v>1</v>
      </c>
      <c r="M303">
        <v>100</v>
      </c>
    </row>
    <row r="304" spans="1:13">
      <c r="A304">
        <v>296</v>
      </c>
      <c r="B304">
        <v>295.54552248512482</v>
      </c>
      <c r="C304">
        <v>0.75</v>
      </c>
      <c r="D304">
        <v>120</v>
      </c>
      <c r="E304">
        <v>279.68924826499176</v>
      </c>
      <c r="F304">
        <v>0.85</v>
      </c>
      <c r="G304">
        <v>120</v>
      </c>
      <c r="H304">
        <v>291.76111115492523</v>
      </c>
      <c r="I304">
        <v>0.9</v>
      </c>
      <c r="J304">
        <v>100</v>
      </c>
      <c r="K304">
        <v>275.90483693479217</v>
      </c>
      <c r="L304">
        <v>1</v>
      </c>
      <c r="M304">
        <v>100</v>
      </c>
    </row>
    <row r="305" spans="1:13">
      <c r="A305">
        <v>297</v>
      </c>
      <c r="B305">
        <v>238.33493408339581</v>
      </c>
      <c r="C305">
        <v>0.75</v>
      </c>
      <c r="D305">
        <v>120</v>
      </c>
      <c r="E305">
        <v>222.50133119756453</v>
      </c>
      <c r="F305">
        <v>0.85</v>
      </c>
      <c r="G305">
        <v>120</v>
      </c>
      <c r="H305">
        <v>234.58452975464888</v>
      </c>
      <c r="I305">
        <v>0.9</v>
      </c>
      <c r="J305">
        <v>100</v>
      </c>
      <c r="K305">
        <v>218.75092686881763</v>
      </c>
      <c r="L305">
        <v>1</v>
      </c>
      <c r="M305">
        <v>100</v>
      </c>
    </row>
    <row r="306" spans="1:13">
      <c r="A306">
        <v>298</v>
      </c>
      <c r="B306">
        <v>98.885478740283162</v>
      </c>
      <c r="C306">
        <v>0.75</v>
      </c>
      <c r="D306">
        <v>120</v>
      </c>
      <c r="E306">
        <v>82.81938565127615</v>
      </c>
      <c r="F306">
        <v>0.85</v>
      </c>
      <c r="G306">
        <v>120</v>
      </c>
      <c r="H306">
        <v>94.78633910677263</v>
      </c>
      <c r="I306">
        <v>0.9</v>
      </c>
      <c r="J306">
        <v>100</v>
      </c>
      <c r="K306">
        <v>78.720246017765618</v>
      </c>
      <c r="L306">
        <v>1</v>
      </c>
      <c r="M306">
        <v>100</v>
      </c>
    </row>
    <row r="307" spans="1:13">
      <c r="A307">
        <v>299</v>
      </c>
      <c r="B307">
        <v>297.10703035459755</v>
      </c>
      <c r="C307">
        <v>0.75</v>
      </c>
      <c r="D307">
        <v>120</v>
      </c>
      <c r="E307">
        <v>282.2264193523917</v>
      </c>
      <c r="F307">
        <v>0.85</v>
      </c>
      <c r="G307">
        <v>120</v>
      </c>
      <c r="H307">
        <v>294.78611385128875</v>
      </c>
      <c r="I307">
        <v>0.9</v>
      </c>
      <c r="J307">
        <v>100</v>
      </c>
      <c r="K307">
        <v>279.90550284908289</v>
      </c>
      <c r="L307">
        <v>1</v>
      </c>
      <c r="M307">
        <v>100</v>
      </c>
    </row>
    <row r="308" spans="1:13">
      <c r="A308">
        <v>300</v>
      </c>
      <c r="B308">
        <v>188.63405148713969</v>
      </c>
      <c r="C308">
        <v>0.75</v>
      </c>
      <c r="D308">
        <v>120</v>
      </c>
      <c r="E308">
        <v>175.87032578481234</v>
      </c>
      <c r="F308">
        <v>0.85</v>
      </c>
      <c r="G308">
        <v>120</v>
      </c>
      <c r="H308">
        <v>189.48846293364869</v>
      </c>
      <c r="I308">
        <v>0.9</v>
      </c>
      <c r="J308">
        <v>100</v>
      </c>
      <c r="K308">
        <v>176.72473723132137</v>
      </c>
      <c r="L308">
        <v>1</v>
      </c>
      <c r="M308">
        <v>100</v>
      </c>
    </row>
    <row r="309" spans="1:13">
      <c r="A309">
        <v>301</v>
      </c>
      <c r="B309">
        <v>372.74071380207539</v>
      </c>
      <c r="C309">
        <v>0.75</v>
      </c>
      <c r="D309">
        <v>120</v>
      </c>
      <c r="E309">
        <v>355.8418913699561</v>
      </c>
      <c r="F309">
        <v>0.85</v>
      </c>
      <c r="G309">
        <v>120</v>
      </c>
      <c r="H309">
        <v>367.39248015389649</v>
      </c>
      <c r="I309">
        <v>0.9</v>
      </c>
      <c r="J309">
        <v>100</v>
      </c>
      <c r="K309">
        <v>350.49365772177714</v>
      </c>
      <c r="L309">
        <v>1</v>
      </c>
      <c r="M309">
        <v>100</v>
      </c>
    </row>
    <row r="310" spans="1:13">
      <c r="A310">
        <v>302</v>
      </c>
      <c r="B310">
        <v>288.0911721439461</v>
      </c>
      <c r="C310">
        <v>0.75</v>
      </c>
      <c r="D310">
        <v>120</v>
      </c>
      <c r="E310">
        <v>273.26476412861933</v>
      </c>
      <c r="F310">
        <v>0.85</v>
      </c>
      <c r="G310">
        <v>120</v>
      </c>
      <c r="H310">
        <v>285.85156012095592</v>
      </c>
      <c r="I310">
        <v>0.9</v>
      </c>
      <c r="J310">
        <v>100</v>
      </c>
      <c r="K310">
        <v>271.02515210562922</v>
      </c>
      <c r="L310">
        <v>1</v>
      </c>
      <c r="M310">
        <v>100</v>
      </c>
    </row>
    <row r="311" spans="1:13">
      <c r="A311">
        <v>303</v>
      </c>
      <c r="B311">
        <v>126.95033458941194</v>
      </c>
      <c r="C311">
        <v>0.75</v>
      </c>
      <c r="D311">
        <v>120</v>
      </c>
      <c r="E311">
        <v>113.04686233038147</v>
      </c>
      <c r="F311">
        <v>0.85</v>
      </c>
      <c r="G311">
        <v>120</v>
      </c>
      <c r="H311">
        <v>126.09512620086623</v>
      </c>
      <c r="I311">
        <v>0.9</v>
      </c>
      <c r="J311">
        <v>100</v>
      </c>
      <c r="K311">
        <v>112.19165394183577</v>
      </c>
      <c r="L311">
        <v>1</v>
      </c>
      <c r="M311">
        <v>100</v>
      </c>
    </row>
    <row r="312" spans="1:13">
      <c r="A312">
        <v>304</v>
      </c>
      <c r="B312">
        <v>328.49920398295779</v>
      </c>
      <c r="C312">
        <v>0.75</v>
      </c>
      <c r="D312">
        <v>120</v>
      </c>
      <c r="E312">
        <v>310.60650201795073</v>
      </c>
      <c r="F312">
        <v>0.85</v>
      </c>
      <c r="G312">
        <v>120</v>
      </c>
      <c r="H312">
        <v>321.6601510354472</v>
      </c>
      <c r="I312">
        <v>0.9</v>
      </c>
      <c r="J312">
        <v>100</v>
      </c>
      <c r="K312">
        <v>303.76744907044014</v>
      </c>
      <c r="L312">
        <v>1</v>
      </c>
      <c r="M312">
        <v>100</v>
      </c>
    </row>
    <row r="313" spans="1:13">
      <c r="A313">
        <v>305</v>
      </c>
      <c r="B313">
        <v>162.15640548483785</v>
      </c>
      <c r="C313">
        <v>0.75</v>
      </c>
      <c r="D313">
        <v>120</v>
      </c>
      <c r="E313">
        <v>146.59998673331583</v>
      </c>
      <c r="F313">
        <v>0.85</v>
      </c>
      <c r="G313">
        <v>120</v>
      </c>
      <c r="H313">
        <v>158.82177735755482</v>
      </c>
      <c r="I313">
        <v>0.9</v>
      </c>
      <c r="J313">
        <v>100</v>
      </c>
      <c r="K313">
        <v>143.26535860603283</v>
      </c>
      <c r="L313">
        <v>1</v>
      </c>
      <c r="M313">
        <v>100</v>
      </c>
    </row>
    <row r="314" spans="1:13">
      <c r="A314">
        <v>306</v>
      </c>
      <c r="B314">
        <v>83.38596686915713</v>
      </c>
      <c r="C314">
        <v>0.75</v>
      </c>
      <c r="D314">
        <v>120</v>
      </c>
      <c r="E314">
        <v>71.300221712569495</v>
      </c>
      <c r="F314">
        <v>0.85</v>
      </c>
      <c r="G314">
        <v>120</v>
      </c>
      <c r="H314">
        <v>85.257349134275671</v>
      </c>
      <c r="I314">
        <v>0.9</v>
      </c>
      <c r="J314">
        <v>100</v>
      </c>
      <c r="K314">
        <v>73.171603977688022</v>
      </c>
      <c r="L314">
        <v>1</v>
      </c>
      <c r="M314">
        <v>100</v>
      </c>
    </row>
    <row r="315" spans="1:13">
      <c r="A315">
        <v>307</v>
      </c>
      <c r="B315">
        <v>196.06111269874879</v>
      </c>
      <c r="C315">
        <v>0.75</v>
      </c>
      <c r="D315">
        <v>120</v>
      </c>
      <c r="E315">
        <v>182.95234583863436</v>
      </c>
      <c r="F315">
        <v>0.85</v>
      </c>
      <c r="G315">
        <v>120</v>
      </c>
      <c r="H315">
        <v>196.39796240857714</v>
      </c>
      <c r="I315">
        <v>0.9</v>
      </c>
      <c r="J315">
        <v>100</v>
      </c>
      <c r="K315">
        <v>183.28919554846271</v>
      </c>
      <c r="L315">
        <v>1</v>
      </c>
      <c r="M315">
        <v>100</v>
      </c>
    </row>
    <row r="316" spans="1:13">
      <c r="A316">
        <v>308</v>
      </c>
      <c r="B316">
        <v>262.45785106929088</v>
      </c>
      <c r="C316">
        <v>0.75</v>
      </c>
      <c r="D316">
        <v>120</v>
      </c>
      <c r="E316">
        <v>246.17037878562249</v>
      </c>
      <c r="F316">
        <v>0.85</v>
      </c>
      <c r="G316">
        <v>120</v>
      </c>
      <c r="H316">
        <v>258.02664264378825</v>
      </c>
      <c r="I316">
        <v>0.9</v>
      </c>
      <c r="J316">
        <v>100</v>
      </c>
      <c r="K316">
        <v>241.73917036011989</v>
      </c>
      <c r="L316">
        <v>1</v>
      </c>
      <c r="M316">
        <v>100</v>
      </c>
    </row>
    <row r="317" spans="1:13">
      <c r="A317">
        <v>309</v>
      </c>
      <c r="B317">
        <v>240.85178774373188</v>
      </c>
      <c r="C317">
        <v>0.75</v>
      </c>
      <c r="D317">
        <v>120</v>
      </c>
      <c r="E317">
        <v>225.58588415153767</v>
      </c>
      <c r="F317">
        <v>0.85</v>
      </c>
      <c r="G317">
        <v>120</v>
      </c>
      <c r="H317">
        <v>237.95293235544057</v>
      </c>
      <c r="I317">
        <v>0.9</v>
      </c>
      <c r="J317">
        <v>100</v>
      </c>
      <c r="K317">
        <v>222.68702876324639</v>
      </c>
      <c r="L317">
        <v>1</v>
      </c>
      <c r="M317">
        <v>100</v>
      </c>
    </row>
    <row r="318" spans="1:13">
      <c r="A318">
        <v>310</v>
      </c>
      <c r="B318">
        <v>389.99977945359109</v>
      </c>
      <c r="C318">
        <v>0.75</v>
      </c>
      <c r="D318">
        <v>120</v>
      </c>
      <c r="E318">
        <v>369.03422510245412</v>
      </c>
      <c r="F318">
        <v>0.85</v>
      </c>
      <c r="G318">
        <v>120</v>
      </c>
      <c r="H318">
        <v>378.5514479268856</v>
      </c>
      <c r="I318">
        <v>0.9</v>
      </c>
      <c r="J318">
        <v>100</v>
      </c>
      <c r="K318">
        <v>357.58589357574863</v>
      </c>
      <c r="L318">
        <v>1</v>
      </c>
      <c r="M318">
        <v>100</v>
      </c>
    </row>
    <row r="319" spans="1:13">
      <c r="A319">
        <v>311</v>
      </c>
      <c r="B319">
        <v>71.151000552234024</v>
      </c>
      <c r="C319">
        <v>0.75</v>
      </c>
      <c r="D319">
        <v>120</v>
      </c>
      <c r="E319">
        <v>60.474556853364419</v>
      </c>
      <c r="F319">
        <v>0.85</v>
      </c>
      <c r="G319">
        <v>120</v>
      </c>
      <c r="H319">
        <v>75.136335003929602</v>
      </c>
      <c r="I319">
        <v>0.9</v>
      </c>
      <c r="J319">
        <v>100</v>
      </c>
      <c r="K319">
        <v>64.459891305059983</v>
      </c>
      <c r="L319">
        <v>1</v>
      </c>
      <c r="M319">
        <v>100</v>
      </c>
    </row>
    <row r="320" spans="1:13">
      <c r="A320">
        <v>312</v>
      </c>
      <c r="B320">
        <v>148.70672366734328</v>
      </c>
      <c r="C320">
        <v>0.75</v>
      </c>
      <c r="D320">
        <v>120</v>
      </c>
      <c r="E320">
        <v>133.29611855843578</v>
      </c>
      <c r="F320">
        <v>0.85</v>
      </c>
      <c r="G320">
        <v>120</v>
      </c>
      <c r="H320">
        <v>145.59081600398198</v>
      </c>
      <c r="I320">
        <v>0.9</v>
      </c>
      <c r="J320">
        <v>100</v>
      </c>
      <c r="K320">
        <v>130.18021089507448</v>
      </c>
      <c r="L320">
        <v>1</v>
      </c>
      <c r="M320">
        <v>100</v>
      </c>
    </row>
    <row r="321" spans="1:13">
      <c r="A321">
        <v>313</v>
      </c>
      <c r="B321">
        <v>290.36517299073722</v>
      </c>
      <c r="C321">
        <v>0.75</v>
      </c>
      <c r="D321">
        <v>120</v>
      </c>
      <c r="E321">
        <v>275.68201954676681</v>
      </c>
      <c r="F321">
        <v>0.85</v>
      </c>
      <c r="G321">
        <v>120</v>
      </c>
      <c r="H321">
        <v>288.34044282478158</v>
      </c>
      <c r="I321">
        <v>0.9</v>
      </c>
      <c r="J321">
        <v>100</v>
      </c>
      <c r="K321">
        <v>273.65728938081116</v>
      </c>
      <c r="L321">
        <v>1</v>
      </c>
      <c r="M321">
        <v>100</v>
      </c>
    </row>
    <row r="322" spans="1:13">
      <c r="A322">
        <v>314</v>
      </c>
      <c r="B322">
        <v>249.15286503869862</v>
      </c>
      <c r="C322">
        <v>0.75</v>
      </c>
      <c r="D322">
        <v>120</v>
      </c>
      <c r="E322">
        <v>234.44579432214121</v>
      </c>
      <c r="F322">
        <v>0.85</v>
      </c>
      <c r="G322">
        <v>120</v>
      </c>
      <c r="H322">
        <v>247.09225896386249</v>
      </c>
      <c r="I322">
        <v>0.9</v>
      </c>
      <c r="J322">
        <v>100</v>
      </c>
      <c r="K322">
        <v>232.38518824730511</v>
      </c>
      <c r="L322">
        <v>1</v>
      </c>
      <c r="M322">
        <v>100</v>
      </c>
    </row>
    <row r="323" spans="1:13">
      <c r="A323">
        <v>315</v>
      </c>
      <c r="B323">
        <v>139.16221544766196</v>
      </c>
      <c r="C323">
        <v>0.75</v>
      </c>
      <c r="D323">
        <v>120</v>
      </c>
      <c r="E323">
        <v>123.87639145845202</v>
      </c>
      <c r="F323">
        <v>0.85</v>
      </c>
      <c r="G323">
        <v>120</v>
      </c>
      <c r="H323">
        <v>136.23347946384706</v>
      </c>
      <c r="I323">
        <v>0.9</v>
      </c>
      <c r="J323">
        <v>100</v>
      </c>
      <c r="K323">
        <v>120.94765547463712</v>
      </c>
      <c r="L323">
        <v>1</v>
      </c>
      <c r="M323">
        <v>100</v>
      </c>
    </row>
    <row r="324" spans="1:13">
      <c r="A324">
        <v>316</v>
      </c>
      <c r="B324">
        <v>183.62056599474684</v>
      </c>
      <c r="C324">
        <v>0.75</v>
      </c>
      <c r="D324">
        <v>120</v>
      </c>
      <c r="E324">
        <v>167.43346046301562</v>
      </c>
      <c r="F324">
        <v>0.85</v>
      </c>
      <c r="G324">
        <v>120</v>
      </c>
      <c r="H324">
        <v>179.33990769714998</v>
      </c>
      <c r="I324">
        <v>0.9</v>
      </c>
      <c r="J324">
        <v>100</v>
      </c>
      <c r="K324">
        <v>163.15280216541876</v>
      </c>
      <c r="L324">
        <v>1</v>
      </c>
      <c r="M324">
        <v>100</v>
      </c>
    </row>
    <row r="325" spans="1:13">
      <c r="A325">
        <v>317</v>
      </c>
      <c r="B325">
        <v>128.21125272681209</v>
      </c>
      <c r="C325">
        <v>0.75</v>
      </c>
      <c r="D325">
        <v>120</v>
      </c>
      <c r="E325">
        <v>115.5280130631413</v>
      </c>
      <c r="F325">
        <v>0.85</v>
      </c>
      <c r="G325">
        <v>120</v>
      </c>
      <c r="H325">
        <v>129.18639323130589</v>
      </c>
      <c r="I325">
        <v>0.9</v>
      </c>
      <c r="J325">
        <v>100</v>
      </c>
      <c r="K325">
        <v>116.50315356763511</v>
      </c>
      <c r="L325">
        <v>1</v>
      </c>
      <c r="M325">
        <v>100</v>
      </c>
    </row>
    <row r="326" spans="1:13">
      <c r="A326">
        <v>318</v>
      </c>
      <c r="B326">
        <v>146.67756499204427</v>
      </c>
      <c r="C326">
        <v>0.75</v>
      </c>
      <c r="D326">
        <v>120</v>
      </c>
      <c r="E326">
        <v>133.06115082107698</v>
      </c>
      <c r="F326">
        <v>0.85</v>
      </c>
      <c r="G326">
        <v>120</v>
      </c>
      <c r="H326">
        <v>146.25294373559331</v>
      </c>
      <c r="I326">
        <v>0.9</v>
      </c>
      <c r="J326">
        <v>100</v>
      </c>
      <c r="K326">
        <v>132.63652956462599</v>
      </c>
      <c r="L326">
        <v>1</v>
      </c>
      <c r="M326">
        <v>100</v>
      </c>
    </row>
    <row r="327" spans="1:13">
      <c r="A327">
        <v>319</v>
      </c>
      <c r="B327">
        <v>293.17068889103268</v>
      </c>
      <c r="C327">
        <v>0.75</v>
      </c>
      <c r="D327">
        <v>120</v>
      </c>
      <c r="E327">
        <v>274.31392567436188</v>
      </c>
      <c r="F327">
        <v>0.85</v>
      </c>
      <c r="G327">
        <v>120</v>
      </c>
      <c r="H327">
        <v>284.88554406602645</v>
      </c>
      <c r="I327">
        <v>0.9</v>
      </c>
      <c r="J327">
        <v>100</v>
      </c>
      <c r="K327">
        <v>266.02878084935571</v>
      </c>
      <c r="L327">
        <v>1</v>
      </c>
      <c r="M327">
        <v>100</v>
      </c>
    </row>
    <row r="328" spans="1:13">
      <c r="A328">
        <v>320</v>
      </c>
      <c r="B328">
        <v>312.72467237730308</v>
      </c>
      <c r="C328">
        <v>0.75</v>
      </c>
      <c r="D328">
        <v>120</v>
      </c>
      <c r="E328">
        <v>294.51626822597484</v>
      </c>
      <c r="F328">
        <v>0.85</v>
      </c>
      <c r="G328">
        <v>120</v>
      </c>
      <c r="H328">
        <v>305.41206615031069</v>
      </c>
      <c r="I328">
        <v>0.9</v>
      </c>
      <c r="J328">
        <v>100</v>
      </c>
      <c r="K328">
        <v>287.20366199898251</v>
      </c>
      <c r="L328">
        <v>1</v>
      </c>
      <c r="M328">
        <v>100</v>
      </c>
    </row>
    <row r="329" spans="1:13">
      <c r="A329">
        <v>321</v>
      </c>
      <c r="B329">
        <v>169.19828230938717</v>
      </c>
      <c r="C329">
        <v>0.75</v>
      </c>
      <c r="D329">
        <v>120</v>
      </c>
      <c r="E329">
        <v>155.27261529541948</v>
      </c>
      <c r="F329">
        <v>0.85</v>
      </c>
      <c r="G329">
        <v>120</v>
      </c>
      <c r="H329">
        <v>168.30978178843566</v>
      </c>
      <c r="I329">
        <v>0.9</v>
      </c>
      <c r="J329">
        <v>100</v>
      </c>
      <c r="K329">
        <v>154.38411477446797</v>
      </c>
      <c r="L329">
        <v>1</v>
      </c>
      <c r="M329">
        <v>100</v>
      </c>
    </row>
    <row r="330" spans="1:13">
      <c r="A330">
        <v>322</v>
      </c>
      <c r="B330">
        <v>117.00083080821184</v>
      </c>
      <c r="C330">
        <v>0.75</v>
      </c>
      <c r="D330">
        <v>120</v>
      </c>
      <c r="E330">
        <v>106.26703586641823</v>
      </c>
      <c r="F330">
        <v>0.85</v>
      </c>
      <c r="G330">
        <v>120</v>
      </c>
      <c r="H330">
        <v>120.90013839552142</v>
      </c>
      <c r="I330">
        <v>0.9</v>
      </c>
      <c r="J330">
        <v>100</v>
      </c>
      <c r="K330">
        <v>110.16634345372782</v>
      </c>
      <c r="L330">
        <v>1</v>
      </c>
      <c r="M330">
        <v>100</v>
      </c>
    </row>
    <row r="331" spans="1:13">
      <c r="A331">
        <v>323</v>
      </c>
      <c r="B331">
        <v>275.62973027549936</v>
      </c>
      <c r="C331">
        <v>0.75</v>
      </c>
      <c r="D331">
        <v>120</v>
      </c>
      <c r="E331">
        <v>258.41493732085758</v>
      </c>
      <c r="F331">
        <v>0.85</v>
      </c>
      <c r="G331">
        <v>120</v>
      </c>
      <c r="H331">
        <v>269.80754084353669</v>
      </c>
      <c r="I331">
        <v>0.9</v>
      </c>
      <c r="J331">
        <v>100</v>
      </c>
      <c r="K331">
        <v>252.59274788889496</v>
      </c>
      <c r="L331">
        <v>1</v>
      </c>
      <c r="M331">
        <v>100</v>
      </c>
    </row>
    <row r="332" spans="1:13">
      <c r="A332">
        <v>324</v>
      </c>
      <c r="B332">
        <v>95.741122190952566</v>
      </c>
      <c r="C332">
        <v>0.75</v>
      </c>
      <c r="D332">
        <v>120</v>
      </c>
      <c r="E332">
        <v>80.556643221812152</v>
      </c>
      <c r="F332">
        <v>0.85</v>
      </c>
      <c r="G332">
        <v>120</v>
      </c>
      <c r="H332">
        <v>92.964403737241923</v>
      </c>
      <c r="I332">
        <v>0.9</v>
      </c>
      <c r="J332">
        <v>100</v>
      </c>
      <c r="K332">
        <v>77.779924768101523</v>
      </c>
      <c r="L332">
        <v>1</v>
      </c>
      <c r="M332">
        <v>100</v>
      </c>
    </row>
    <row r="333" spans="1:13">
      <c r="A333">
        <v>325</v>
      </c>
      <c r="B333">
        <v>113.89797762406727</v>
      </c>
      <c r="C333">
        <v>0.75</v>
      </c>
      <c r="D333">
        <v>120</v>
      </c>
      <c r="E333">
        <v>101.23849794310189</v>
      </c>
      <c r="F333">
        <v>0.85</v>
      </c>
      <c r="G333">
        <v>120</v>
      </c>
      <c r="H333">
        <v>114.9087581026192</v>
      </c>
      <c r="I333">
        <v>0.9</v>
      </c>
      <c r="J333">
        <v>100</v>
      </c>
      <c r="K333">
        <v>102.24927842165383</v>
      </c>
      <c r="L333">
        <v>1</v>
      </c>
      <c r="M333">
        <v>100</v>
      </c>
    </row>
    <row r="334" spans="1:13">
      <c r="A334">
        <v>326</v>
      </c>
      <c r="B334">
        <v>205.93160861575322</v>
      </c>
      <c r="C334">
        <v>0.75</v>
      </c>
      <c r="D334">
        <v>120</v>
      </c>
      <c r="E334">
        <v>192.87777089755025</v>
      </c>
      <c r="F334">
        <v>0.85</v>
      </c>
      <c r="G334">
        <v>120</v>
      </c>
      <c r="H334">
        <v>206.35085203844878</v>
      </c>
      <c r="I334">
        <v>0.9</v>
      </c>
      <c r="J334">
        <v>100</v>
      </c>
      <c r="K334">
        <v>193.29701432024584</v>
      </c>
      <c r="L334">
        <v>1</v>
      </c>
      <c r="M334">
        <v>100</v>
      </c>
    </row>
    <row r="335" spans="1:13">
      <c r="A335">
        <v>327</v>
      </c>
      <c r="B335">
        <v>124.06292403721667</v>
      </c>
      <c r="C335">
        <v>0.75</v>
      </c>
      <c r="D335">
        <v>120</v>
      </c>
      <c r="E335">
        <v>112.1744573039459</v>
      </c>
      <c r="F335">
        <v>0.85</v>
      </c>
      <c r="G335">
        <v>120</v>
      </c>
      <c r="H335">
        <v>126.23022393731051</v>
      </c>
      <c r="I335">
        <v>0.9</v>
      </c>
      <c r="J335">
        <v>100</v>
      </c>
      <c r="K335">
        <v>114.34175720403974</v>
      </c>
      <c r="L335">
        <v>1</v>
      </c>
      <c r="M335">
        <v>100</v>
      </c>
    </row>
    <row r="336" spans="1:13">
      <c r="A336">
        <v>328</v>
      </c>
      <c r="B336">
        <v>205.25048559881486</v>
      </c>
      <c r="C336">
        <v>0.75</v>
      </c>
      <c r="D336">
        <v>120</v>
      </c>
      <c r="E336">
        <v>189.94301015649776</v>
      </c>
      <c r="F336">
        <v>0.85</v>
      </c>
      <c r="G336">
        <v>120</v>
      </c>
      <c r="H336">
        <v>202.2892724353392</v>
      </c>
      <c r="I336">
        <v>0.9</v>
      </c>
      <c r="J336">
        <v>100</v>
      </c>
      <c r="K336">
        <v>186.9817969930221</v>
      </c>
      <c r="L336">
        <v>1</v>
      </c>
      <c r="M336">
        <v>100</v>
      </c>
    </row>
    <row r="337" spans="1:13">
      <c r="A337">
        <v>329</v>
      </c>
      <c r="B337">
        <v>185.50030128735989</v>
      </c>
      <c r="C337">
        <v>0.75</v>
      </c>
      <c r="D337">
        <v>120</v>
      </c>
      <c r="E337">
        <v>170.30837909732531</v>
      </c>
      <c r="F337">
        <v>0.85</v>
      </c>
      <c r="G337">
        <v>120</v>
      </c>
      <c r="H337">
        <v>182.712418002308</v>
      </c>
      <c r="I337">
        <v>0.9</v>
      </c>
      <c r="J337">
        <v>100</v>
      </c>
      <c r="K337">
        <v>167.52049581227342</v>
      </c>
      <c r="L337">
        <v>1</v>
      </c>
      <c r="M337">
        <v>100</v>
      </c>
    </row>
    <row r="338" spans="1:13">
      <c r="A338">
        <v>330</v>
      </c>
      <c r="B338">
        <v>237.51515688420545</v>
      </c>
      <c r="C338">
        <v>0.75</v>
      </c>
      <c r="D338">
        <v>120</v>
      </c>
      <c r="E338">
        <v>221.7368402978762</v>
      </c>
      <c r="F338">
        <v>0.85</v>
      </c>
      <c r="G338">
        <v>120</v>
      </c>
      <c r="H338">
        <v>233.84768200471154</v>
      </c>
      <c r="I338">
        <v>0.9</v>
      </c>
      <c r="J338">
        <v>100</v>
      </c>
      <c r="K338">
        <v>218.06936541838229</v>
      </c>
      <c r="L338">
        <v>1</v>
      </c>
      <c r="M338">
        <v>100</v>
      </c>
    </row>
    <row r="339" spans="1:13">
      <c r="A339">
        <v>331</v>
      </c>
      <c r="B339">
        <v>321.85164293357667</v>
      </c>
      <c r="C339">
        <v>0.75</v>
      </c>
      <c r="D339">
        <v>120</v>
      </c>
      <c r="E339">
        <v>307.32612506786381</v>
      </c>
      <c r="F339">
        <v>0.85</v>
      </c>
      <c r="G339">
        <v>120</v>
      </c>
      <c r="H339">
        <v>320.06336613500736</v>
      </c>
      <c r="I339">
        <v>0.9</v>
      </c>
      <c r="J339">
        <v>100</v>
      </c>
      <c r="K339">
        <v>305.5378482692945</v>
      </c>
      <c r="L339">
        <v>1</v>
      </c>
      <c r="M339">
        <v>100</v>
      </c>
    </row>
    <row r="340" spans="1:13">
      <c r="A340">
        <v>332</v>
      </c>
      <c r="B340">
        <v>399.19358186488301</v>
      </c>
      <c r="C340">
        <v>0.75</v>
      </c>
      <c r="D340">
        <v>120</v>
      </c>
      <c r="E340">
        <v>378.53842651803063</v>
      </c>
      <c r="F340">
        <v>0.85</v>
      </c>
      <c r="G340">
        <v>120</v>
      </c>
      <c r="H340">
        <v>388.21084884460441</v>
      </c>
      <c r="I340">
        <v>0.9</v>
      </c>
      <c r="J340">
        <v>100</v>
      </c>
      <c r="K340">
        <v>367.55569349775203</v>
      </c>
      <c r="L340">
        <v>1</v>
      </c>
      <c r="M340">
        <v>100</v>
      </c>
    </row>
    <row r="341" spans="1:13">
      <c r="A341">
        <v>333</v>
      </c>
      <c r="B341">
        <v>373.42301182297518</v>
      </c>
      <c r="C341">
        <v>0.75</v>
      </c>
      <c r="D341">
        <v>120</v>
      </c>
      <c r="E341">
        <v>354.1736456048643</v>
      </c>
      <c r="F341">
        <v>0.85</v>
      </c>
      <c r="G341">
        <v>120</v>
      </c>
      <c r="H341">
        <v>364.54896249580884</v>
      </c>
      <c r="I341">
        <v>0.9</v>
      </c>
      <c r="J341">
        <v>100</v>
      </c>
      <c r="K341">
        <v>345.2995962776979</v>
      </c>
      <c r="L341">
        <v>1</v>
      </c>
      <c r="M341">
        <v>100</v>
      </c>
    </row>
    <row r="342" spans="1:13">
      <c r="A342">
        <v>334</v>
      </c>
      <c r="B342">
        <v>98.265420440798167</v>
      </c>
      <c r="C342">
        <v>0.75</v>
      </c>
      <c r="D342">
        <v>120</v>
      </c>
      <c r="E342">
        <v>83.627803361723608</v>
      </c>
      <c r="F342">
        <v>0.85</v>
      </c>
      <c r="G342">
        <v>120</v>
      </c>
      <c r="H342">
        <v>96.308994822186321</v>
      </c>
      <c r="I342">
        <v>0.9</v>
      </c>
      <c r="J342">
        <v>100</v>
      </c>
      <c r="K342">
        <v>81.671377743111748</v>
      </c>
      <c r="L342">
        <v>1</v>
      </c>
      <c r="M342">
        <v>100</v>
      </c>
    </row>
    <row r="343" spans="1:13">
      <c r="A343">
        <v>335</v>
      </c>
      <c r="B343">
        <v>50.539495387965758</v>
      </c>
      <c r="C343">
        <v>0.75</v>
      </c>
      <c r="D343">
        <v>120</v>
      </c>
      <c r="E343">
        <v>41.246789095154725</v>
      </c>
      <c r="F343">
        <v>0.85</v>
      </c>
      <c r="G343">
        <v>120</v>
      </c>
      <c r="H343">
        <v>56.600435948749208</v>
      </c>
      <c r="I343">
        <v>0.9</v>
      </c>
      <c r="J343">
        <v>100</v>
      </c>
      <c r="K343">
        <v>47.307729655938175</v>
      </c>
      <c r="L343">
        <v>1</v>
      </c>
      <c r="M343">
        <v>100</v>
      </c>
    </row>
    <row r="344" spans="1:13">
      <c r="A344">
        <v>336</v>
      </c>
      <c r="B344">
        <v>320.35710097543745</v>
      </c>
      <c r="C344">
        <v>0.75</v>
      </c>
      <c r="D344">
        <v>120</v>
      </c>
      <c r="E344">
        <v>300.95933863143705</v>
      </c>
      <c r="F344">
        <v>0.85</v>
      </c>
      <c r="G344">
        <v>120</v>
      </c>
      <c r="H344">
        <v>311.26045745943679</v>
      </c>
      <c r="I344">
        <v>0.9</v>
      </c>
      <c r="J344">
        <v>100</v>
      </c>
      <c r="K344">
        <v>291.86269511543634</v>
      </c>
      <c r="L344">
        <v>1</v>
      </c>
      <c r="M344">
        <v>100</v>
      </c>
    </row>
    <row r="345" spans="1:13">
      <c r="A345">
        <v>337</v>
      </c>
      <c r="B345">
        <v>240.81036004940268</v>
      </c>
      <c r="C345">
        <v>0.75</v>
      </c>
      <c r="D345">
        <v>120</v>
      </c>
      <c r="E345">
        <v>226.69878823912717</v>
      </c>
      <c r="F345">
        <v>0.85</v>
      </c>
      <c r="G345">
        <v>120</v>
      </c>
      <c r="H345">
        <v>239.64300233398944</v>
      </c>
      <c r="I345">
        <v>0.9</v>
      </c>
      <c r="J345">
        <v>100</v>
      </c>
      <c r="K345">
        <v>225.53143052371394</v>
      </c>
      <c r="L345">
        <v>1</v>
      </c>
      <c r="M345">
        <v>100</v>
      </c>
    </row>
    <row r="346" spans="1:13">
      <c r="A346">
        <v>338</v>
      </c>
      <c r="B346">
        <v>256.00674906325173</v>
      </c>
      <c r="C346">
        <v>0.75</v>
      </c>
      <c r="D346">
        <v>120</v>
      </c>
      <c r="E346">
        <v>240.53629830687262</v>
      </c>
      <c r="F346">
        <v>0.85</v>
      </c>
      <c r="G346">
        <v>120</v>
      </c>
      <c r="H346">
        <v>252.80107292868308</v>
      </c>
      <c r="I346">
        <v>0.9</v>
      </c>
      <c r="J346">
        <v>100</v>
      </c>
      <c r="K346">
        <v>237.330622172304</v>
      </c>
      <c r="L346">
        <v>1</v>
      </c>
      <c r="M346">
        <v>100</v>
      </c>
    </row>
    <row r="347" spans="1:13">
      <c r="A347">
        <v>339</v>
      </c>
      <c r="B347">
        <v>339.80451033202411</v>
      </c>
      <c r="C347">
        <v>0.75</v>
      </c>
      <c r="D347">
        <v>120</v>
      </c>
      <c r="E347">
        <v>320.44056840308554</v>
      </c>
      <c r="F347">
        <v>0.85</v>
      </c>
      <c r="G347">
        <v>120</v>
      </c>
      <c r="H347">
        <v>330.75859743861622</v>
      </c>
      <c r="I347">
        <v>0.9</v>
      </c>
      <c r="J347">
        <v>100</v>
      </c>
      <c r="K347">
        <v>311.39465550967765</v>
      </c>
      <c r="L347">
        <v>1</v>
      </c>
      <c r="M347">
        <v>100</v>
      </c>
    </row>
    <row r="348" spans="1:13">
      <c r="A348">
        <v>340</v>
      </c>
      <c r="B348">
        <v>115.43662675494168</v>
      </c>
      <c r="C348">
        <v>0.75</v>
      </c>
      <c r="D348">
        <v>120</v>
      </c>
      <c r="E348">
        <v>103.60164288997282</v>
      </c>
      <c r="F348">
        <v>0.85</v>
      </c>
      <c r="G348">
        <v>120</v>
      </c>
      <c r="H348">
        <v>117.68415095748837</v>
      </c>
      <c r="I348">
        <v>0.9</v>
      </c>
      <c r="J348">
        <v>100</v>
      </c>
      <c r="K348">
        <v>105.84916709251951</v>
      </c>
      <c r="L348">
        <v>1</v>
      </c>
      <c r="M348">
        <v>100</v>
      </c>
    </row>
    <row r="349" spans="1:13">
      <c r="A349">
        <v>341</v>
      </c>
      <c r="B349">
        <v>206.71351924807539</v>
      </c>
      <c r="C349">
        <v>0.75</v>
      </c>
      <c r="D349">
        <v>120</v>
      </c>
      <c r="E349">
        <v>195.23787343451983</v>
      </c>
      <c r="F349">
        <v>0.85</v>
      </c>
      <c r="G349">
        <v>120</v>
      </c>
      <c r="H349">
        <v>209.50005052774205</v>
      </c>
      <c r="I349">
        <v>0.9</v>
      </c>
      <c r="J349">
        <v>100</v>
      </c>
      <c r="K349">
        <v>198.02440471418649</v>
      </c>
      <c r="L349">
        <v>1</v>
      </c>
      <c r="M349">
        <v>100</v>
      </c>
    </row>
    <row r="350" spans="1:13">
      <c r="A350">
        <v>342</v>
      </c>
      <c r="B350">
        <v>168.23969464601919</v>
      </c>
      <c r="C350">
        <v>0.75</v>
      </c>
      <c r="D350">
        <v>120</v>
      </c>
      <c r="E350">
        <v>155.39733450071674</v>
      </c>
      <c r="F350">
        <v>0.85</v>
      </c>
      <c r="G350">
        <v>120</v>
      </c>
      <c r="H350">
        <v>168.97615442806551</v>
      </c>
      <c r="I350">
        <v>0.9</v>
      </c>
      <c r="J350">
        <v>100</v>
      </c>
      <c r="K350">
        <v>156.13379428276309</v>
      </c>
      <c r="L350">
        <v>1</v>
      </c>
      <c r="M350">
        <v>100</v>
      </c>
    </row>
    <row r="351" spans="1:13">
      <c r="A351">
        <v>343</v>
      </c>
      <c r="B351">
        <v>126.25501964988622</v>
      </c>
      <c r="C351">
        <v>0.75</v>
      </c>
      <c r="D351">
        <v>120</v>
      </c>
      <c r="E351">
        <v>111.71106103961834</v>
      </c>
      <c r="F351">
        <v>0.85</v>
      </c>
      <c r="G351">
        <v>120</v>
      </c>
      <c r="H351">
        <v>124.4390817344844</v>
      </c>
      <c r="I351">
        <v>0.9</v>
      </c>
      <c r="J351">
        <v>100</v>
      </c>
      <c r="K351">
        <v>109.89512312421652</v>
      </c>
      <c r="L351">
        <v>1</v>
      </c>
      <c r="M351">
        <v>100</v>
      </c>
    </row>
    <row r="352" spans="1:13">
      <c r="A352">
        <v>344</v>
      </c>
      <c r="B352">
        <v>166.06621857788093</v>
      </c>
      <c r="C352">
        <v>0.75</v>
      </c>
      <c r="D352">
        <v>120</v>
      </c>
      <c r="E352">
        <v>151.74426450501517</v>
      </c>
      <c r="F352">
        <v>0.85</v>
      </c>
      <c r="G352">
        <v>120</v>
      </c>
      <c r="H352">
        <v>164.58328746858228</v>
      </c>
      <c r="I352">
        <v>0.9</v>
      </c>
      <c r="J352">
        <v>100</v>
      </c>
      <c r="K352">
        <v>150.26133339571652</v>
      </c>
      <c r="L352">
        <v>1</v>
      </c>
      <c r="M352">
        <v>100</v>
      </c>
    </row>
    <row r="353" spans="1:13">
      <c r="A353">
        <v>345</v>
      </c>
      <c r="B353">
        <v>383.88663555714629</v>
      </c>
      <c r="C353">
        <v>0.75</v>
      </c>
      <c r="D353">
        <v>120</v>
      </c>
      <c r="E353">
        <v>366.06561235062361</v>
      </c>
      <c r="F353">
        <v>0.85</v>
      </c>
      <c r="G353">
        <v>120</v>
      </c>
      <c r="H353">
        <v>377.15510074736227</v>
      </c>
      <c r="I353">
        <v>0.9</v>
      </c>
      <c r="J353">
        <v>100</v>
      </c>
      <c r="K353">
        <v>359.33407754083964</v>
      </c>
      <c r="L353">
        <v>1</v>
      </c>
      <c r="M353">
        <v>100</v>
      </c>
    </row>
    <row r="354" spans="1:13">
      <c r="A354">
        <v>346</v>
      </c>
      <c r="B354">
        <v>189.18407115280712</v>
      </c>
      <c r="C354">
        <v>0.75</v>
      </c>
      <c r="D354">
        <v>120</v>
      </c>
      <c r="E354">
        <v>173.04736731952781</v>
      </c>
      <c r="F354">
        <v>0.85</v>
      </c>
      <c r="G354">
        <v>120</v>
      </c>
      <c r="H354">
        <v>184.97901540288814</v>
      </c>
      <c r="I354">
        <v>0.9</v>
      </c>
      <c r="J354">
        <v>100</v>
      </c>
      <c r="K354">
        <v>168.84231156960885</v>
      </c>
      <c r="L354">
        <v>1</v>
      </c>
      <c r="M354">
        <v>100</v>
      </c>
    </row>
    <row r="355" spans="1:13">
      <c r="A355">
        <v>347</v>
      </c>
      <c r="B355">
        <v>160.41481881144657</v>
      </c>
      <c r="C355">
        <v>0.75</v>
      </c>
      <c r="D355">
        <v>120</v>
      </c>
      <c r="E355">
        <v>146.81530580242622</v>
      </c>
      <c r="F355">
        <v>0.85</v>
      </c>
      <c r="G355">
        <v>120</v>
      </c>
      <c r="H355">
        <v>160.01554929791601</v>
      </c>
      <c r="I355">
        <v>0.9</v>
      </c>
      <c r="J355">
        <v>100</v>
      </c>
      <c r="K355">
        <v>146.41603628889564</v>
      </c>
      <c r="L355">
        <v>1</v>
      </c>
      <c r="M355">
        <v>100</v>
      </c>
    </row>
    <row r="356" spans="1:13">
      <c r="A356">
        <v>348</v>
      </c>
      <c r="B356">
        <v>224.55889605359283</v>
      </c>
      <c r="C356">
        <v>0.75</v>
      </c>
      <c r="D356">
        <v>120</v>
      </c>
      <c r="E356">
        <v>209.1105258134744</v>
      </c>
      <c r="F356">
        <v>0.85</v>
      </c>
      <c r="G356">
        <v>120</v>
      </c>
      <c r="H356">
        <v>221.38634069341518</v>
      </c>
      <c r="I356">
        <v>0.9</v>
      </c>
      <c r="J356">
        <v>100</v>
      </c>
      <c r="K356">
        <v>205.93797045329674</v>
      </c>
      <c r="L356">
        <v>1</v>
      </c>
      <c r="M356">
        <v>100</v>
      </c>
    </row>
    <row r="357" spans="1:13">
      <c r="A357">
        <v>349</v>
      </c>
      <c r="B357">
        <v>396.15566386366731</v>
      </c>
      <c r="C357">
        <v>0.75</v>
      </c>
      <c r="D357">
        <v>120</v>
      </c>
      <c r="E357">
        <v>377.31555209781448</v>
      </c>
      <c r="F357">
        <v>0.85</v>
      </c>
      <c r="G357">
        <v>120</v>
      </c>
      <c r="H357">
        <v>387.895496214888</v>
      </c>
      <c r="I357">
        <v>0.9</v>
      </c>
      <c r="J357">
        <v>100</v>
      </c>
      <c r="K357">
        <v>369.05538444903516</v>
      </c>
      <c r="L357">
        <v>1</v>
      </c>
      <c r="M357">
        <v>100</v>
      </c>
    </row>
    <row r="358" spans="1:13">
      <c r="A358">
        <v>350</v>
      </c>
      <c r="B358">
        <v>299.91694041347876</v>
      </c>
      <c r="C358">
        <v>0.75</v>
      </c>
      <c r="D358">
        <v>120</v>
      </c>
      <c r="E358">
        <v>282.38643602674085</v>
      </c>
      <c r="F358">
        <v>0.85</v>
      </c>
      <c r="G358">
        <v>120</v>
      </c>
      <c r="H358">
        <v>293.6211838333719</v>
      </c>
      <c r="I358">
        <v>0.9</v>
      </c>
      <c r="J358">
        <v>100</v>
      </c>
      <c r="K358">
        <v>276.090679446634</v>
      </c>
      <c r="L358">
        <v>1</v>
      </c>
      <c r="M358">
        <v>100</v>
      </c>
    </row>
    <row r="359" spans="1:13">
      <c r="A359">
        <v>351</v>
      </c>
      <c r="B359">
        <v>153.56794294331448</v>
      </c>
      <c r="C359">
        <v>0.75</v>
      </c>
      <c r="D359">
        <v>120</v>
      </c>
      <c r="E359">
        <v>137.10790764206976</v>
      </c>
      <c r="F359">
        <v>0.85</v>
      </c>
      <c r="G359">
        <v>120</v>
      </c>
      <c r="H359">
        <v>148.87788999144738</v>
      </c>
      <c r="I359">
        <v>0.9</v>
      </c>
      <c r="J359">
        <v>100</v>
      </c>
      <c r="K359">
        <v>132.41785469020266</v>
      </c>
      <c r="L359">
        <v>1</v>
      </c>
      <c r="M359">
        <v>100</v>
      </c>
    </row>
    <row r="360" spans="1:13">
      <c r="A360">
        <v>352</v>
      </c>
      <c r="B360">
        <v>163.49281862545544</v>
      </c>
      <c r="C360">
        <v>0.75</v>
      </c>
      <c r="D360">
        <v>120</v>
      </c>
      <c r="E360">
        <v>150.59727588240042</v>
      </c>
      <c r="F360">
        <v>0.85</v>
      </c>
      <c r="G360">
        <v>120</v>
      </c>
      <c r="H360">
        <v>164.14950451087293</v>
      </c>
      <c r="I360">
        <v>0.9</v>
      </c>
      <c r="J360">
        <v>100</v>
      </c>
      <c r="K360">
        <v>151.25396176781794</v>
      </c>
      <c r="L360">
        <v>1</v>
      </c>
      <c r="M360">
        <v>100</v>
      </c>
    </row>
    <row r="361" spans="1:13">
      <c r="A361">
        <v>353</v>
      </c>
      <c r="B361">
        <v>382.51580825284697</v>
      </c>
      <c r="C361">
        <v>0.75</v>
      </c>
      <c r="D361">
        <v>120</v>
      </c>
      <c r="E361">
        <v>362.15069201795802</v>
      </c>
      <c r="F361">
        <v>0.85</v>
      </c>
      <c r="G361">
        <v>120</v>
      </c>
      <c r="H361">
        <v>371.96813390051352</v>
      </c>
      <c r="I361">
        <v>0.9</v>
      </c>
      <c r="J361">
        <v>100</v>
      </c>
      <c r="K361">
        <v>351.60301766562463</v>
      </c>
      <c r="L361">
        <v>1</v>
      </c>
      <c r="M361">
        <v>100</v>
      </c>
    </row>
    <row r="362" spans="1:13">
      <c r="A362">
        <v>354</v>
      </c>
      <c r="B362">
        <v>197.21621517532316</v>
      </c>
      <c r="C362">
        <v>0.75</v>
      </c>
      <c r="D362">
        <v>120</v>
      </c>
      <c r="E362">
        <v>183.01546003790114</v>
      </c>
      <c r="F362">
        <v>0.85</v>
      </c>
      <c r="G362">
        <v>120</v>
      </c>
      <c r="H362">
        <v>195.91508246919011</v>
      </c>
      <c r="I362">
        <v>0.9</v>
      </c>
      <c r="J362">
        <v>100</v>
      </c>
      <c r="K362">
        <v>181.71432733176812</v>
      </c>
      <c r="L362">
        <v>1</v>
      </c>
      <c r="M362">
        <v>100</v>
      </c>
    </row>
    <row r="363" spans="1:13">
      <c r="A363">
        <v>355</v>
      </c>
      <c r="B363">
        <v>102.64344897210796</v>
      </c>
      <c r="C363">
        <v>0.75</v>
      </c>
      <c r="D363">
        <v>120</v>
      </c>
      <c r="E363">
        <v>86.127577942500039</v>
      </c>
      <c r="F363">
        <v>0.85</v>
      </c>
      <c r="G363">
        <v>120</v>
      </c>
      <c r="H363">
        <v>97.869642427696078</v>
      </c>
      <c r="I363">
        <v>0.9</v>
      </c>
      <c r="J363">
        <v>100</v>
      </c>
      <c r="K363">
        <v>81.353771398088156</v>
      </c>
      <c r="L363">
        <v>1</v>
      </c>
      <c r="M363">
        <v>100</v>
      </c>
    </row>
    <row r="364" spans="1:13">
      <c r="A364">
        <v>356</v>
      </c>
      <c r="B364">
        <v>125.09691938661103</v>
      </c>
      <c r="C364">
        <v>0.75</v>
      </c>
      <c r="D364">
        <v>120</v>
      </c>
      <c r="E364">
        <v>108.91379414711824</v>
      </c>
      <c r="F364">
        <v>0.85</v>
      </c>
      <c r="G364">
        <v>120</v>
      </c>
      <c r="H364">
        <v>120.82223152737183</v>
      </c>
      <c r="I364">
        <v>0.9</v>
      </c>
      <c r="J364">
        <v>100</v>
      </c>
      <c r="K364">
        <v>104.63910628787903</v>
      </c>
      <c r="L364">
        <v>1</v>
      </c>
      <c r="M364">
        <v>100</v>
      </c>
    </row>
    <row r="365" spans="1:13">
      <c r="A365">
        <v>357</v>
      </c>
      <c r="B365">
        <v>231.94155834499335</v>
      </c>
      <c r="C365">
        <v>0.75</v>
      </c>
      <c r="D365">
        <v>120</v>
      </c>
      <c r="E365">
        <v>214.56669129436435</v>
      </c>
      <c r="F365">
        <v>0.85</v>
      </c>
      <c r="G365">
        <v>120</v>
      </c>
      <c r="H365">
        <v>225.87925776904981</v>
      </c>
      <c r="I365">
        <v>0.9</v>
      </c>
      <c r="J365">
        <v>100</v>
      </c>
      <c r="K365">
        <v>208.50439071842081</v>
      </c>
      <c r="L365">
        <v>1</v>
      </c>
      <c r="M365">
        <v>100</v>
      </c>
    </row>
    <row r="366" spans="1:13">
      <c r="A366">
        <v>358</v>
      </c>
      <c r="B366">
        <v>346.09600648076594</v>
      </c>
      <c r="C366">
        <v>0.75</v>
      </c>
      <c r="D366">
        <v>120</v>
      </c>
      <c r="E366">
        <v>329.59739837726033</v>
      </c>
      <c r="F366">
        <v>0.85</v>
      </c>
      <c r="G366">
        <v>120</v>
      </c>
      <c r="H366">
        <v>341.34809432550753</v>
      </c>
      <c r="I366">
        <v>0.9</v>
      </c>
      <c r="J366">
        <v>100</v>
      </c>
      <c r="K366">
        <v>324.84948622200193</v>
      </c>
      <c r="L366">
        <v>1</v>
      </c>
      <c r="M366">
        <v>100</v>
      </c>
    </row>
    <row r="367" spans="1:13">
      <c r="A367">
        <v>359</v>
      </c>
      <c r="B367">
        <v>68.429778870843194</v>
      </c>
      <c r="C367">
        <v>0.75</v>
      </c>
      <c r="D367">
        <v>120</v>
      </c>
      <c r="E367">
        <v>59.441854555575389</v>
      </c>
      <c r="F367">
        <v>0.85</v>
      </c>
      <c r="G367">
        <v>120</v>
      </c>
      <c r="H367">
        <v>74.947892397941473</v>
      </c>
      <c r="I367">
        <v>0.9</v>
      </c>
      <c r="J367">
        <v>100</v>
      </c>
      <c r="K367">
        <v>65.959968082673669</v>
      </c>
      <c r="L367">
        <v>1</v>
      </c>
      <c r="M367">
        <v>100</v>
      </c>
    </row>
    <row r="368" spans="1:13">
      <c r="A368">
        <v>360</v>
      </c>
      <c r="B368">
        <v>178.17884612682317</v>
      </c>
      <c r="C368">
        <v>0.75</v>
      </c>
      <c r="D368">
        <v>120</v>
      </c>
      <c r="E368">
        <v>163.2368577656901</v>
      </c>
      <c r="F368">
        <v>0.85</v>
      </c>
      <c r="G368">
        <v>120</v>
      </c>
      <c r="H368">
        <v>175.76586358512355</v>
      </c>
      <c r="I368">
        <v>0.9</v>
      </c>
      <c r="J368">
        <v>100</v>
      </c>
      <c r="K368">
        <v>160.82387522399048</v>
      </c>
      <c r="L368">
        <v>1</v>
      </c>
      <c r="M368">
        <v>100</v>
      </c>
    </row>
    <row r="369" spans="1:13">
      <c r="A369">
        <v>361</v>
      </c>
      <c r="B369">
        <v>270.11770024107557</v>
      </c>
      <c r="C369">
        <v>0.75</v>
      </c>
      <c r="D369">
        <v>120</v>
      </c>
      <c r="E369">
        <v>252.15596316640659</v>
      </c>
      <c r="F369">
        <v>0.85</v>
      </c>
      <c r="G369">
        <v>120</v>
      </c>
      <c r="H369">
        <v>263.17509462907208</v>
      </c>
      <c r="I369">
        <v>0.9</v>
      </c>
      <c r="J369">
        <v>100</v>
      </c>
      <c r="K369">
        <v>245.21335755440316</v>
      </c>
      <c r="L369">
        <v>1</v>
      </c>
      <c r="M369">
        <v>100</v>
      </c>
    </row>
    <row r="370" spans="1:13">
      <c r="A370">
        <v>362</v>
      </c>
      <c r="B370">
        <v>352.1004821601141</v>
      </c>
      <c r="C370">
        <v>0.75</v>
      </c>
      <c r="D370">
        <v>120</v>
      </c>
      <c r="E370">
        <v>336.34075539659295</v>
      </c>
      <c r="F370">
        <v>0.85</v>
      </c>
      <c r="G370">
        <v>120</v>
      </c>
      <c r="H370">
        <v>348.46089201483238</v>
      </c>
      <c r="I370">
        <v>0.9</v>
      </c>
      <c r="J370">
        <v>100</v>
      </c>
      <c r="K370">
        <v>332.70116525131129</v>
      </c>
      <c r="L370">
        <v>1</v>
      </c>
      <c r="M370">
        <v>100</v>
      </c>
    </row>
    <row r="371" spans="1:13">
      <c r="A371">
        <v>363</v>
      </c>
      <c r="B371">
        <v>263.19174162059647</v>
      </c>
      <c r="C371">
        <v>0.75</v>
      </c>
      <c r="D371">
        <v>120</v>
      </c>
      <c r="E371">
        <v>246.98798973120009</v>
      </c>
      <c r="F371">
        <v>0.85</v>
      </c>
      <c r="G371">
        <v>120</v>
      </c>
      <c r="H371">
        <v>258.88611378650188</v>
      </c>
      <c r="I371">
        <v>0.9</v>
      </c>
      <c r="J371">
        <v>100</v>
      </c>
      <c r="K371">
        <v>242.68236189710547</v>
      </c>
      <c r="L371">
        <v>1</v>
      </c>
      <c r="M371">
        <v>100</v>
      </c>
    </row>
    <row r="372" spans="1:13">
      <c r="A372">
        <v>364</v>
      </c>
      <c r="B372">
        <v>192.21784671241676</v>
      </c>
      <c r="C372">
        <v>0.75</v>
      </c>
      <c r="D372">
        <v>120</v>
      </c>
      <c r="E372">
        <v>172.65116332711264</v>
      </c>
      <c r="F372">
        <v>0.85</v>
      </c>
      <c r="G372">
        <v>120</v>
      </c>
      <c r="H372">
        <v>182.86782163446057</v>
      </c>
      <c r="I372">
        <v>0.9</v>
      </c>
      <c r="J372">
        <v>100</v>
      </c>
      <c r="K372">
        <v>163.30113824915645</v>
      </c>
      <c r="L372">
        <v>1</v>
      </c>
      <c r="M372">
        <v>100</v>
      </c>
    </row>
    <row r="373" spans="1:13">
      <c r="A373">
        <v>365</v>
      </c>
      <c r="B373">
        <v>182.75591405953125</v>
      </c>
      <c r="C373">
        <v>0.75</v>
      </c>
      <c r="D373">
        <v>120</v>
      </c>
      <c r="E373">
        <v>168.19702245686432</v>
      </c>
      <c r="F373">
        <v>0.85</v>
      </c>
      <c r="G373">
        <v>120</v>
      </c>
      <c r="H373">
        <v>180.91757665553087</v>
      </c>
      <c r="I373">
        <v>0.9</v>
      </c>
      <c r="J373">
        <v>100</v>
      </c>
      <c r="K373">
        <v>166.35868505286396</v>
      </c>
      <c r="L373">
        <v>1</v>
      </c>
      <c r="M373">
        <v>100</v>
      </c>
    </row>
    <row r="374" spans="1:13">
      <c r="A374">
        <v>366</v>
      </c>
      <c r="B374">
        <v>229.62659439758448</v>
      </c>
      <c r="C374">
        <v>0.75</v>
      </c>
      <c r="D374">
        <v>120</v>
      </c>
      <c r="E374">
        <v>214.62373004781131</v>
      </c>
      <c r="F374">
        <v>0.85</v>
      </c>
      <c r="G374">
        <v>120</v>
      </c>
      <c r="H374">
        <v>227.12229787292472</v>
      </c>
      <c r="I374">
        <v>0.9</v>
      </c>
      <c r="J374">
        <v>100</v>
      </c>
      <c r="K374">
        <v>212.11943352315154</v>
      </c>
      <c r="L374">
        <v>1</v>
      </c>
      <c r="M374">
        <v>100</v>
      </c>
    </row>
    <row r="375" spans="1:13">
      <c r="A375">
        <v>367</v>
      </c>
      <c r="B375">
        <v>95.184513895296519</v>
      </c>
      <c r="C375">
        <v>0.75</v>
      </c>
      <c r="D375">
        <v>120</v>
      </c>
      <c r="E375">
        <v>83.750573386349842</v>
      </c>
      <c r="F375">
        <v>0.85</v>
      </c>
      <c r="G375">
        <v>120</v>
      </c>
      <c r="H375">
        <v>98.033603131876504</v>
      </c>
      <c r="I375">
        <v>0.9</v>
      </c>
      <c r="J375">
        <v>100</v>
      </c>
      <c r="K375">
        <v>86.599662622929841</v>
      </c>
      <c r="L375">
        <v>1</v>
      </c>
      <c r="M375">
        <v>100</v>
      </c>
    </row>
    <row r="376" spans="1:13">
      <c r="A376">
        <v>368</v>
      </c>
      <c r="B376">
        <v>150.20416487626278</v>
      </c>
      <c r="C376">
        <v>0.75</v>
      </c>
      <c r="D376">
        <v>120</v>
      </c>
      <c r="E376">
        <v>139.19985393929011</v>
      </c>
      <c r="F376">
        <v>0.85</v>
      </c>
      <c r="G376">
        <v>120</v>
      </c>
      <c r="H376">
        <v>153.69769847080377</v>
      </c>
      <c r="I376">
        <v>0.9</v>
      </c>
      <c r="J376">
        <v>100</v>
      </c>
      <c r="K376">
        <v>142.6933875338311</v>
      </c>
      <c r="L376">
        <v>1</v>
      </c>
      <c r="M376">
        <v>100</v>
      </c>
    </row>
    <row r="377" spans="1:13">
      <c r="A377">
        <v>369</v>
      </c>
      <c r="B377">
        <v>396.69860600328764</v>
      </c>
      <c r="C377">
        <v>0.75</v>
      </c>
      <c r="D377">
        <v>120</v>
      </c>
      <c r="E377">
        <v>378.00027543625009</v>
      </c>
      <c r="F377">
        <v>0.85</v>
      </c>
      <c r="G377">
        <v>120</v>
      </c>
      <c r="H377">
        <v>388.65111015273135</v>
      </c>
      <c r="I377">
        <v>0.9</v>
      </c>
      <c r="J377">
        <v>100</v>
      </c>
      <c r="K377">
        <v>369.95277958569386</v>
      </c>
      <c r="L377">
        <v>1</v>
      </c>
      <c r="M377">
        <v>100</v>
      </c>
    </row>
    <row r="378" spans="1:13">
      <c r="A378">
        <v>370</v>
      </c>
      <c r="B378">
        <v>171.55091763693846</v>
      </c>
      <c r="C378">
        <v>0.75</v>
      </c>
      <c r="D378">
        <v>120</v>
      </c>
      <c r="E378">
        <v>155.00599480558938</v>
      </c>
      <c r="F378">
        <v>0.85</v>
      </c>
      <c r="G378">
        <v>120</v>
      </c>
      <c r="H378">
        <v>166.73353338991484</v>
      </c>
      <c r="I378">
        <v>0.9</v>
      </c>
      <c r="J378">
        <v>100</v>
      </c>
      <c r="K378">
        <v>150.18861055856576</v>
      </c>
      <c r="L378">
        <v>1</v>
      </c>
      <c r="M378">
        <v>100</v>
      </c>
    </row>
    <row r="379" spans="1:13">
      <c r="A379">
        <v>371</v>
      </c>
      <c r="B379">
        <v>353.53296074458558</v>
      </c>
      <c r="C379">
        <v>0.75</v>
      </c>
      <c r="D379">
        <v>120</v>
      </c>
      <c r="E379">
        <v>336.35210867374337</v>
      </c>
      <c r="F379">
        <v>0.85</v>
      </c>
      <c r="G379">
        <v>120</v>
      </c>
      <c r="H379">
        <v>347.76168263832233</v>
      </c>
      <c r="I379">
        <v>0.9</v>
      </c>
      <c r="J379">
        <v>100</v>
      </c>
      <c r="K379">
        <v>330.58083056748012</v>
      </c>
      <c r="L379">
        <v>1</v>
      </c>
      <c r="M379">
        <v>100</v>
      </c>
    </row>
    <row r="380" spans="1:13">
      <c r="A380">
        <v>372</v>
      </c>
      <c r="B380">
        <v>349.07764679819388</v>
      </c>
      <c r="C380">
        <v>0.75</v>
      </c>
      <c r="D380">
        <v>120</v>
      </c>
      <c r="E380">
        <v>334.38204428041763</v>
      </c>
      <c r="F380">
        <v>0.85</v>
      </c>
      <c r="G380">
        <v>120</v>
      </c>
      <c r="H380">
        <v>347.03424302152945</v>
      </c>
      <c r="I380">
        <v>0.9</v>
      </c>
      <c r="J380">
        <v>100</v>
      </c>
      <c r="K380">
        <v>332.33864050375314</v>
      </c>
      <c r="L380">
        <v>1</v>
      </c>
      <c r="M380">
        <v>100</v>
      </c>
    </row>
    <row r="381" spans="1:13">
      <c r="A381">
        <v>373</v>
      </c>
      <c r="B381">
        <v>133.34430255068011</v>
      </c>
      <c r="C381">
        <v>0.75</v>
      </c>
      <c r="D381">
        <v>120</v>
      </c>
      <c r="E381">
        <v>115.24069289953081</v>
      </c>
      <c r="F381">
        <v>0.85</v>
      </c>
      <c r="G381">
        <v>120</v>
      </c>
      <c r="H381">
        <v>126.18888807395618</v>
      </c>
      <c r="I381">
        <v>0.9</v>
      </c>
      <c r="J381">
        <v>100</v>
      </c>
      <c r="K381">
        <v>108.08527842280688</v>
      </c>
      <c r="L381">
        <v>1</v>
      </c>
      <c r="M381">
        <v>100</v>
      </c>
    </row>
    <row r="382" spans="1:13">
      <c r="A382">
        <v>374</v>
      </c>
      <c r="B382">
        <v>160.03302438697955</v>
      </c>
      <c r="C382">
        <v>0.75</v>
      </c>
      <c r="D382">
        <v>120</v>
      </c>
      <c r="E382">
        <v>146.25772333122399</v>
      </c>
      <c r="F382">
        <v>0.85</v>
      </c>
      <c r="G382">
        <v>120</v>
      </c>
      <c r="H382">
        <v>159.37007280334615</v>
      </c>
      <c r="I382">
        <v>0.9</v>
      </c>
      <c r="J382">
        <v>100</v>
      </c>
      <c r="K382">
        <v>145.59477174759058</v>
      </c>
      <c r="L382">
        <v>1</v>
      </c>
      <c r="M382">
        <v>100</v>
      </c>
    </row>
    <row r="383" spans="1:13">
      <c r="A383">
        <v>375</v>
      </c>
      <c r="B383">
        <v>114.68912738442407</v>
      </c>
      <c r="C383">
        <v>0.75</v>
      </c>
      <c r="D383">
        <v>120</v>
      </c>
      <c r="E383">
        <v>100.22727174651554</v>
      </c>
      <c r="F383">
        <v>0.85</v>
      </c>
      <c r="G383">
        <v>120</v>
      </c>
      <c r="H383">
        <v>112.99634392756127</v>
      </c>
      <c r="I383">
        <v>0.9</v>
      </c>
      <c r="J383">
        <v>100</v>
      </c>
      <c r="K383">
        <v>98.534488289652728</v>
      </c>
      <c r="L383">
        <v>1</v>
      </c>
      <c r="M383">
        <v>100</v>
      </c>
    </row>
    <row r="384" spans="1:13">
      <c r="A384">
        <v>376</v>
      </c>
      <c r="B384">
        <v>132.65653943977014</v>
      </c>
      <c r="C384">
        <v>0.75</v>
      </c>
      <c r="D384">
        <v>120</v>
      </c>
      <c r="E384">
        <v>119.51041411908241</v>
      </c>
      <c r="F384">
        <v>0.85</v>
      </c>
      <c r="G384">
        <v>120</v>
      </c>
      <c r="H384">
        <v>132.93735145873853</v>
      </c>
      <c r="I384">
        <v>0.9</v>
      </c>
      <c r="J384">
        <v>100</v>
      </c>
      <c r="K384">
        <v>119.79122613805077</v>
      </c>
      <c r="L384">
        <v>1</v>
      </c>
      <c r="M384">
        <v>100</v>
      </c>
    </row>
    <row r="385" spans="1:13">
      <c r="A385">
        <v>377</v>
      </c>
      <c r="B385">
        <v>199.30471751433348</v>
      </c>
      <c r="C385">
        <v>0.75</v>
      </c>
      <c r="D385">
        <v>120</v>
      </c>
      <c r="E385">
        <v>186.49159155260625</v>
      </c>
      <c r="F385">
        <v>0.85</v>
      </c>
      <c r="G385">
        <v>120</v>
      </c>
      <c r="H385">
        <v>200.08502857174264</v>
      </c>
      <c r="I385">
        <v>0.9</v>
      </c>
      <c r="J385">
        <v>100</v>
      </c>
      <c r="K385">
        <v>187.27190261001542</v>
      </c>
      <c r="L385">
        <v>1</v>
      </c>
      <c r="M385">
        <v>100</v>
      </c>
    </row>
    <row r="386" spans="1:13">
      <c r="A386">
        <v>378</v>
      </c>
      <c r="B386">
        <v>390.02295150498986</v>
      </c>
      <c r="C386">
        <v>0.75</v>
      </c>
      <c r="D386">
        <v>120</v>
      </c>
      <c r="E386">
        <v>373.42254522396411</v>
      </c>
      <c r="F386">
        <v>0.85</v>
      </c>
      <c r="G386">
        <v>120</v>
      </c>
      <c r="H386">
        <v>385.12234208345126</v>
      </c>
      <c r="I386">
        <v>0.9</v>
      </c>
      <c r="J386">
        <v>100</v>
      </c>
      <c r="K386">
        <v>368.52193580242556</v>
      </c>
      <c r="L386">
        <v>1</v>
      </c>
      <c r="M386">
        <v>100</v>
      </c>
    </row>
    <row r="387" spans="1:13">
      <c r="A387">
        <v>379</v>
      </c>
      <c r="B387">
        <v>133.17514965145813</v>
      </c>
      <c r="C387">
        <v>0.75</v>
      </c>
      <c r="D387">
        <v>120</v>
      </c>
      <c r="E387">
        <v>120.57111206848357</v>
      </c>
      <c r="F387">
        <v>0.85</v>
      </c>
      <c r="G387">
        <v>120</v>
      </c>
      <c r="H387">
        <v>134.2690932769963</v>
      </c>
      <c r="I387">
        <v>0.9</v>
      </c>
      <c r="J387">
        <v>100</v>
      </c>
      <c r="K387">
        <v>121.66505569402176</v>
      </c>
      <c r="L387">
        <v>1</v>
      </c>
      <c r="M387">
        <v>100</v>
      </c>
    </row>
    <row r="388" spans="1:13">
      <c r="A388">
        <v>380</v>
      </c>
      <c r="B388">
        <v>120.79833422376282</v>
      </c>
      <c r="C388">
        <v>0.75</v>
      </c>
      <c r="D388">
        <v>120</v>
      </c>
      <c r="E388">
        <v>111.26120354973287</v>
      </c>
      <c r="F388">
        <v>0.85</v>
      </c>
      <c r="G388">
        <v>120</v>
      </c>
      <c r="H388">
        <v>126.49263821271788</v>
      </c>
      <c r="I388">
        <v>0.9</v>
      </c>
      <c r="J388">
        <v>100</v>
      </c>
      <c r="K388">
        <v>116.95550753868793</v>
      </c>
      <c r="L388">
        <v>1</v>
      </c>
      <c r="M388">
        <v>100</v>
      </c>
    </row>
    <row r="389" spans="1:13">
      <c r="A389">
        <v>381</v>
      </c>
      <c r="B389">
        <v>324.4247688712021</v>
      </c>
      <c r="C389">
        <v>0.75</v>
      </c>
      <c r="D389">
        <v>120</v>
      </c>
      <c r="E389">
        <v>308.53705978196126</v>
      </c>
      <c r="F389">
        <v>0.85</v>
      </c>
      <c r="G389">
        <v>120</v>
      </c>
      <c r="H389">
        <v>320.59320523734084</v>
      </c>
      <c r="I389">
        <v>0.9</v>
      </c>
      <c r="J389">
        <v>100</v>
      </c>
      <c r="K389">
        <v>304.70549614810005</v>
      </c>
      <c r="L389">
        <v>1</v>
      </c>
      <c r="M389">
        <v>100</v>
      </c>
    </row>
    <row r="390" spans="1:13">
      <c r="A390">
        <v>382</v>
      </c>
      <c r="B390">
        <v>213.05983641243344</v>
      </c>
      <c r="C390">
        <v>0.75</v>
      </c>
      <c r="D390">
        <v>120</v>
      </c>
      <c r="E390">
        <v>198.54067281358903</v>
      </c>
      <c r="F390">
        <v>0.85</v>
      </c>
      <c r="G390">
        <v>120</v>
      </c>
      <c r="H390">
        <v>211.28109101416678</v>
      </c>
      <c r="I390">
        <v>0.9</v>
      </c>
      <c r="J390">
        <v>100</v>
      </c>
      <c r="K390">
        <v>196.76192741532236</v>
      </c>
      <c r="L390">
        <v>1</v>
      </c>
      <c r="M390">
        <v>100</v>
      </c>
    </row>
    <row r="391" spans="1:13">
      <c r="A391">
        <v>383</v>
      </c>
      <c r="B391">
        <v>92.276514769509589</v>
      </c>
      <c r="C391">
        <v>0.75</v>
      </c>
      <c r="D391">
        <v>120</v>
      </c>
      <c r="E391">
        <v>80.307689459327278</v>
      </c>
      <c r="F391">
        <v>0.85</v>
      </c>
      <c r="G391">
        <v>120</v>
      </c>
      <c r="H391">
        <v>94.323276804236116</v>
      </c>
      <c r="I391">
        <v>0.9</v>
      </c>
      <c r="J391">
        <v>100</v>
      </c>
      <c r="K391">
        <v>82.354451494053791</v>
      </c>
      <c r="L391">
        <v>1</v>
      </c>
      <c r="M391">
        <v>100</v>
      </c>
    </row>
    <row r="392" spans="1:13">
      <c r="A392">
        <v>384</v>
      </c>
      <c r="B392">
        <v>122.45075317016824</v>
      </c>
      <c r="C392">
        <v>0.75</v>
      </c>
      <c r="D392">
        <v>120</v>
      </c>
      <c r="E392">
        <v>109.97161367878337</v>
      </c>
      <c r="F392">
        <v>0.85</v>
      </c>
      <c r="G392">
        <v>120</v>
      </c>
      <c r="H392">
        <v>123.73204393309094</v>
      </c>
      <c r="I392">
        <v>0.9</v>
      </c>
      <c r="J392">
        <v>100</v>
      </c>
      <c r="K392">
        <v>111.25290444170608</v>
      </c>
      <c r="L392">
        <v>1</v>
      </c>
      <c r="M392">
        <v>100</v>
      </c>
    </row>
    <row r="393" spans="1:13">
      <c r="A393">
        <v>385</v>
      </c>
      <c r="B393">
        <v>416.59325923011795</v>
      </c>
      <c r="C393">
        <v>0.75</v>
      </c>
      <c r="D393">
        <v>120</v>
      </c>
      <c r="E393">
        <v>394.57539773066293</v>
      </c>
      <c r="F393">
        <v>0.85</v>
      </c>
      <c r="G393">
        <v>120</v>
      </c>
      <c r="H393">
        <v>403.56646698093539</v>
      </c>
      <c r="I393">
        <v>0.9</v>
      </c>
      <c r="J393">
        <v>100</v>
      </c>
      <c r="K393">
        <v>381.54860548148037</v>
      </c>
      <c r="L393">
        <v>1</v>
      </c>
      <c r="M393">
        <v>100</v>
      </c>
    </row>
    <row r="394" spans="1:13">
      <c r="A394">
        <v>386</v>
      </c>
      <c r="B394">
        <v>367.4226969520987</v>
      </c>
      <c r="C394">
        <v>0.75</v>
      </c>
      <c r="D394">
        <v>120</v>
      </c>
      <c r="E394">
        <v>349.15844756230217</v>
      </c>
      <c r="F394">
        <v>0.85</v>
      </c>
      <c r="G394">
        <v>120</v>
      </c>
      <c r="H394">
        <v>360.02632286740379</v>
      </c>
      <c r="I394">
        <v>0.9</v>
      </c>
      <c r="J394">
        <v>100</v>
      </c>
      <c r="K394">
        <v>341.76207347760726</v>
      </c>
      <c r="L394">
        <v>1</v>
      </c>
      <c r="M394">
        <v>100</v>
      </c>
    </row>
    <row r="395" spans="1:13">
      <c r="A395">
        <v>387</v>
      </c>
      <c r="B395">
        <v>207.39147961237774</v>
      </c>
      <c r="C395">
        <v>0.75</v>
      </c>
      <c r="D395">
        <v>120</v>
      </c>
      <c r="E395">
        <v>189.64399923239569</v>
      </c>
      <c r="F395">
        <v>0.85</v>
      </c>
      <c r="G395">
        <v>120</v>
      </c>
      <c r="H395">
        <v>200.77025904240463</v>
      </c>
      <c r="I395">
        <v>0.9</v>
      </c>
      <c r="J395">
        <v>100</v>
      </c>
      <c r="K395">
        <v>183.02277866242258</v>
      </c>
      <c r="L395">
        <v>1</v>
      </c>
      <c r="M395">
        <v>100</v>
      </c>
    </row>
    <row r="396" spans="1:13">
      <c r="A396">
        <v>388</v>
      </c>
      <c r="B396">
        <v>296.49602221276064</v>
      </c>
      <c r="C396">
        <v>0.75</v>
      </c>
      <c r="D396">
        <v>120</v>
      </c>
      <c r="E396">
        <v>279.88604000477778</v>
      </c>
      <c r="F396">
        <v>0.85</v>
      </c>
      <c r="G396">
        <v>120</v>
      </c>
      <c r="H396">
        <v>291.5810489007863</v>
      </c>
      <c r="I396">
        <v>0.9</v>
      </c>
      <c r="J396">
        <v>100</v>
      </c>
      <c r="K396">
        <v>274.97106669280345</v>
      </c>
      <c r="L396">
        <v>1</v>
      </c>
      <c r="M396">
        <v>100</v>
      </c>
    </row>
    <row r="397" spans="1:13">
      <c r="A397">
        <v>389</v>
      </c>
      <c r="B397">
        <v>209.15790208072065</v>
      </c>
      <c r="C397">
        <v>0.75</v>
      </c>
      <c r="D397">
        <v>120</v>
      </c>
      <c r="E397">
        <v>197.33792672087054</v>
      </c>
      <c r="F397">
        <v>0.85</v>
      </c>
      <c r="G397">
        <v>120</v>
      </c>
      <c r="H397">
        <v>211.42793904094549</v>
      </c>
      <c r="I397">
        <v>0.9</v>
      </c>
      <c r="J397">
        <v>100</v>
      </c>
      <c r="K397">
        <v>199.60796368109538</v>
      </c>
      <c r="L397">
        <v>1</v>
      </c>
      <c r="M397">
        <v>100</v>
      </c>
    </row>
    <row r="398" spans="1:13">
      <c r="A398">
        <v>390</v>
      </c>
      <c r="B398">
        <v>322.03530562504488</v>
      </c>
      <c r="C398">
        <v>0.75</v>
      </c>
      <c r="D398">
        <v>120</v>
      </c>
      <c r="E398">
        <v>305.22370215230251</v>
      </c>
      <c r="F398">
        <v>0.85</v>
      </c>
      <c r="G398">
        <v>120</v>
      </c>
      <c r="H398">
        <v>316.81790041593126</v>
      </c>
      <c r="I398">
        <v>0.9</v>
      </c>
      <c r="J398">
        <v>100</v>
      </c>
      <c r="K398">
        <v>300.00629694318889</v>
      </c>
      <c r="L398">
        <v>1</v>
      </c>
      <c r="M398">
        <v>100</v>
      </c>
    </row>
    <row r="399" spans="1:13">
      <c r="A399">
        <v>391</v>
      </c>
      <c r="B399">
        <v>218.73705448231905</v>
      </c>
      <c r="C399">
        <v>0.75</v>
      </c>
      <c r="D399">
        <v>120</v>
      </c>
      <c r="E399">
        <v>201.66728032592025</v>
      </c>
      <c r="F399">
        <v>0.85</v>
      </c>
      <c r="G399">
        <v>120</v>
      </c>
      <c r="H399">
        <v>213.13239324772084</v>
      </c>
      <c r="I399">
        <v>0.9</v>
      </c>
      <c r="J399">
        <v>100</v>
      </c>
      <c r="K399">
        <v>196.06261909132203</v>
      </c>
      <c r="L399">
        <v>1</v>
      </c>
      <c r="M399">
        <v>100</v>
      </c>
    </row>
    <row r="400" spans="1:13">
      <c r="A400">
        <v>392</v>
      </c>
      <c r="B400">
        <v>193.92774447873529</v>
      </c>
      <c r="C400">
        <v>0.75</v>
      </c>
      <c r="D400">
        <v>120</v>
      </c>
      <c r="E400">
        <v>179.61642751208674</v>
      </c>
      <c r="F400">
        <v>0.85</v>
      </c>
      <c r="G400">
        <v>120</v>
      </c>
      <c r="H400">
        <v>192.46076902876246</v>
      </c>
      <c r="I400">
        <v>0.9</v>
      </c>
      <c r="J400">
        <v>100</v>
      </c>
      <c r="K400">
        <v>178.14945206211388</v>
      </c>
      <c r="L400">
        <v>1</v>
      </c>
      <c r="M400">
        <v>100</v>
      </c>
    </row>
    <row r="401" spans="1:13">
      <c r="A401">
        <v>393</v>
      </c>
      <c r="B401">
        <v>177.1371385260129</v>
      </c>
      <c r="C401">
        <v>0.75</v>
      </c>
      <c r="D401">
        <v>120</v>
      </c>
      <c r="E401">
        <v>160.89213918150585</v>
      </c>
      <c r="F401">
        <v>0.85</v>
      </c>
      <c r="G401">
        <v>120</v>
      </c>
      <c r="H401">
        <v>172.7696395092523</v>
      </c>
      <c r="I401">
        <v>0.9</v>
      </c>
      <c r="J401">
        <v>100</v>
      </c>
      <c r="K401">
        <v>156.52464016474525</v>
      </c>
      <c r="L401">
        <v>1</v>
      </c>
      <c r="M401">
        <v>100</v>
      </c>
    </row>
    <row r="402" spans="1:13">
      <c r="A402">
        <v>394</v>
      </c>
      <c r="B402">
        <v>321.91265872404108</v>
      </c>
      <c r="C402">
        <v>0.75</v>
      </c>
      <c r="D402">
        <v>120</v>
      </c>
      <c r="E402">
        <v>306.66253872078573</v>
      </c>
      <c r="F402">
        <v>0.85</v>
      </c>
      <c r="G402">
        <v>120</v>
      </c>
      <c r="H402">
        <v>319.03747871915812</v>
      </c>
      <c r="I402">
        <v>0.9</v>
      </c>
      <c r="J402">
        <v>100</v>
      </c>
      <c r="K402">
        <v>303.78735871590277</v>
      </c>
      <c r="L402">
        <v>1</v>
      </c>
      <c r="M402">
        <v>100</v>
      </c>
    </row>
    <row r="403" spans="1:13">
      <c r="A403">
        <v>395</v>
      </c>
      <c r="B403">
        <v>189.15639838574452</v>
      </c>
      <c r="C403">
        <v>0.75</v>
      </c>
      <c r="D403">
        <v>120</v>
      </c>
      <c r="E403">
        <v>174.65659310506365</v>
      </c>
      <c r="F403">
        <v>0.85</v>
      </c>
      <c r="G403">
        <v>120</v>
      </c>
      <c r="H403">
        <v>187.4066904647232</v>
      </c>
      <c r="I403">
        <v>0.9</v>
      </c>
      <c r="J403">
        <v>100</v>
      </c>
      <c r="K403">
        <v>172.90688518404232</v>
      </c>
      <c r="L403">
        <v>1</v>
      </c>
      <c r="M403">
        <v>100</v>
      </c>
    </row>
    <row r="404" spans="1:13">
      <c r="A404">
        <v>396</v>
      </c>
      <c r="B404">
        <v>100.89557282250664</v>
      </c>
      <c r="C404">
        <v>0.75</v>
      </c>
      <c r="D404">
        <v>120</v>
      </c>
      <c r="E404">
        <v>87.71249121577037</v>
      </c>
      <c r="F404">
        <v>0.85</v>
      </c>
      <c r="G404">
        <v>120</v>
      </c>
      <c r="H404">
        <v>101.12095041240222</v>
      </c>
      <c r="I404">
        <v>0.9</v>
      </c>
      <c r="J404">
        <v>100</v>
      </c>
      <c r="K404">
        <v>87.937868805665943</v>
      </c>
      <c r="L404">
        <v>1</v>
      </c>
      <c r="M404">
        <v>100</v>
      </c>
    </row>
    <row r="405" spans="1:13">
      <c r="A405">
        <v>397</v>
      </c>
      <c r="B405">
        <v>193.2425715601604</v>
      </c>
      <c r="C405">
        <v>0.75</v>
      </c>
      <c r="D405">
        <v>120</v>
      </c>
      <c r="E405">
        <v>178.88144872043884</v>
      </c>
      <c r="F405">
        <v>0.85</v>
      </c>
      <c r="G405">
        <v>120</v>
      </c>
      <c r="H405">
        <v>191.70088730057805</v>
      </c>
      <c r="I405">
        <v>0.9</v>
      </c>
      <c r="J405">
        <v>100</v>
      </c>
      <c r="K405">
        <v>177.33976446085649</v>
      </c>
      <c r="L405">
        <v>1</v>
      </c>
      <c r="M405">
        <v>100</v>
      </c>
    </row>
    <row r="406" spans="1:13">
      <c r="A406">
        <v>398</v>
      </c>
      <c r="B406">
        <v>238.69655802154995</v>
      </c>
      <c r="C406">
        <v>0.75</v>
      </c>
      <c r="D406">
        <v>120</v>
      </c>
      <c r="E406">
        <v>223.12693936359594</v>
      </c>
      <c r="F406">
        <v>0.85</v>
      </c>
      <c r="G406">
        <v>120</v>
      </c>
      <c r="H406">
        <v>235.34213003461892</v>
      </c>
      <c r="I406">
        <v>0.9</v>
      </c>
      <c r="J406">
        <v>100</v>
      </c>
      <c r="K406">
        <v>219.77251137666488</v>
      </c>
      <c r="L406">
        <v>1</v>
      </c>
      <c r="M406">
        <v>100</v>
      </c>
    </row>
    <row r="407" spans="1:13">
      <c r="A407">
        <v>399</v>
      </c>
      <c r="B407">
        <v>142.95942911343766</v>
      </c>
      <c r="C407">
        <v>0.75</v>
      </c>
      <c r="D407">
        <v>120</v>
      </c>
      <c r="E407">
        <v>132.71969236923582</v>
      </c>
      <c r="F407">
        <v>0.85</v>
      </c>
      <c r="G407">
        <v>120</v>
      </c>
      <c r="H407">
        <v>147.59982399713491</v>
      </c>
      <c r="I407">
        <v>0.9</v>
      </c>
      <c r="J407">
        <v>100</v>
      </c>
      <c r="K407">
        <v>137.36008725293306</v>
      </c>
      <c r="L407">
        <v>1</v>
      </c>
      <c r="M407">
        <v>100</v>
      </c>
    </row>
    <row r="408" spans="1:13">
      <c r="A408">
        <v>400</v>
      </c>
      <c r="B408">
        <v>133.52180329590948</v>
      </c>
      <c r="C408">
        <v>0.75</v>
      </c>
      <c r="D408">
        <v>120</v>
      </c>
      <c r="E408">
        <v>116.60233475551007</v>
      </c>
      <c r="F408">
        <v>0.85</v>
      </c>
      <c r="G408">
        <v>120</v>
      </c>
      <c r="H408">
        <v>128.14260048531034</v>
      </c>
      <c r="I408">
        <v>0.9</v>
      </c>
      <c r="J408">
        <v>100</v>
      </c>
      <c r="K408">
        <v>111.22313194491093</v>
      </c>
      <c r="L408">
        <v>1</v>
      </c>
      <c r="M408">
        <v>100</v>
      </c>
    </row>
    <row r="409" spans="1:13">
      <c r="A409">
        <v>401</v>
      </c>
      <c r="B409">
        <v>164.8393914227882</v>
      </c>
      <c r="C409">
        <v>0.75</v>
      </c>
      <c r="D409">
        <v>120</v>
      </c>
      <c r="E409">
        <v>151.64720459016783</v>
      </c>
      <c r="F409">
        <v>0.85</v>
      </c>
      <c r="G409">
        <v>120</v>
      </c>
      <c r="H409">
        <v>165.05111117385763</v>
      </c>
      <c r="I409">
        <v>0.9</v>
      </c>
      <c r="J409">
        <v>100</v>
      </c>
      <c r="K409">
        <v>151.85892434123724</v>
      </c>
      <c r="L409">
        <v>1</v>
      </c>
      <c r="M409">
        <v>100</v>
      </c>
    </row>
    <row r="410" spans="1:13">
      <c r="A410">
        <v>402</v>
      </c>
      <c r="B410">
        <v>208.93218261381031</v>
      </c>
      <c r="C410">
        <v>0.75</v>
      </c>
      <c r="D410">
        <v>120</v>
      </c>
      <c r="E410">
        <v>195.23630998340872</v>
      </c>
      <c r="F410">
        <v>0.85</v>
      </c>
      <c r="G410">
        <v>120</v>
      </c>
      <c r="H410">
        <v>208.38837366820792</v>
      </c>
      <c r="I410">
        <v>0.9</v>
      </c>
      <c r="J410">
        <v>100</v>
      </c>
      <c r="K410">
        <v>194.69250103780635</v>
      </c>
      <c r="L410">
        <v>1</v>
      </c>
      <c r="M410">
        <v>100</v>
      </c>
    </row>
    <row r="411" spans="1:13">
      <c r="A411">
        <v>403</v>
      </c>
      <c r="B411">
        <v>222.80877149138649</v>
      </c>
      <c r="C411">
        <v>0.75</v>
      </c>
      <c r="D411">
        <v>120</v>
      </c>
      <c r="E411">
        <v>205.67057407851993</v>
      </c>
      <c r="F411">
        <v>0.85</v>
      </c>
      <c r="G411">
        <v>120</v>
      </c>
      <c r="H411">
        <v>217.10147537208664</v>
      </c>
      <c r="I411">
        <v>0.9</v>
      </c>
      <c r="J411">
        <v>100</v>
      </c>
      <c r="K411">
        <v>199.96327795922008</v>
      </c>
      <c r="L411">
        <v>1</v>
      </c>
      <c r="M411">
        <v>100</v>
      </c>
    </row>
    <row r="412" spans="1:13">
      <c r="A412">
        <v>404</v>
      </c>
      <c r="B412">
        <v>343.35553721060853</v>
      </c>
      <c r="C412">
        <v>0.75</v>
      </c>
      <c r="D412">
        <v>120</v>
      </c>
      <c r="E412">
        <v>326.08707225669554</v>
      </c>
      <c r="F412">
        <v>0.85</v>
      </c>
      <c r="G412">
        <v>120</v>
      </c>
      <c r="H412">
        <v>337.45283977973907</v>
      </c>
      <c r="I412">
        <v>0.9</v>
      </c>
      <c r="J412">
        <v>100</v>
      </c>
      <c r="K412">
        <v>320.18437482582601</v>
      </c>
      <c r="L412">
        <v>1</v>
      </c>
      <c r="M412">
        <v>100</v>
      </c>
    </row>
    <row r="413" spans="1:13">
      <c r="A413">
        <v>405</v>
      </c>
      <c r="B413">
        <v>201.10454632525008</v>
      </c>
      <c r="C413">
        <v>0.75</v>
      </c>
      <c r="D413">
        <v>120</v>
      </c>
      <c r="E413">
        <v>186.82466500724058</v>
      </c>
      <c r="F413">
        <v>0.85</v>
      </c>
      <c r="G413">
        <v>120</v>
      </c>
      <c r="H413">
        <v>199.68472434823585</v>
      </c>
      <c r="I413">
        <v>0.9</v>
      </c>
      <c r="J413">
        <v>100</v>
      </c>
      <c r="K413">
        <v>185.40484303022637</v>
      </c>
      <c r="L413">
        <v>1</v>
      </c>
      <c r="M413">
        <v>100</v>
      </c>
    </row>
    <row r="414" spans="1:13">
      <c r="A414">
        <v>406</v>
      </c>
      <c r="B414">
        <v>143.08977637214997</v>
      </c>
      <c r="C414">
        <v>0.75</v>
      </c>
      <c r="D414">
        <v>120</v>
      </c>
      <c r="E414">
        <v>128.09198582727095</v>
      </c>
      <c r="F414">
        <v>0.85</v>
      </c>
      <c r="G414">
        <v>120</v>
      </c>
      <c r="H414">
        <v>140.59309055483143</v>
      </c>
      <c r="I414">
        <v>0.9</v>
      </c>
      <c r="J414">
        <v>100</v>
      </c>
      <c r="K414">
        <v>125.59530000995241</v>
      </c>
      <c r="L414">
        <v>1</v>
      </c>
      <c r="M414">
        <v>100</v>
      </c>
    </row>
    <row r="415" spans="1:13">
      <c r="A415">
        <v>407</v>
      </c>
      <c r="B415">
        <v>115.50278917026873</v>
      </c>
      <c r="C415">
        <v>0.75</v>
      </c>
      <c r="D415">
        <v>120</v>
      </c>
      <c r="E415">
        <v>97.197458783509518</v>
      </c>
      <c r="F415">
        <v>0.85</v>
      </c>
      <c r="G415">
        <v>120</v>
      </c>
      <c r="H415">
        <v>108.0447935901299</v>
      </c>
      <c r="I415">
        <v>0.9</v>
      </c>
      <c r="J415">
        <v>100</v>
      </c>
      <c r="K415">
        <v>89.73946320337069</v>
      </c>
      <c r="L415">
        <v>1</v>
      </c>
      <c r="M415">
        <v>100</v>
      </c>
    </row>
    <row r="416" spans="1:13">
      <c r="A416">
        <v>408</v>
      </c>
      <c r="B416">
        <v>240.09895132369249</v>
      </c>
      <c r="C416">
        <v>0.75</v>
      </c>
      <c r="D416">
        <v>120</v>
      </c>
      <c r="E416">
        <v>224.4934732573719</v>
      </c>
      <c r="F416">
        <v>0.85</v>
      </c>
      <c r="G416">
        <v>120</v>
      </c>
      <c r="H416">
        <v>236.69073422421161</v>
      </c>
      <c r="I416">
        <v>0.9</v>
      </c>
      <c r="J416">
        <v>100</v>
      </c>
      <c r="K416">
        <v>221.08525615789102</v>
      </c>
      <c r="L416">
        <v>1</v>
      </c>
      <c r="M416">
        <v>100</v>
      </c>
    </row>
    <row r="417" spans="1:13">
      <c r="A417">
        <v>409</v>
      </c>
      <c r="B417">
        <v>223.76081875726445</v>
      </c>
      <c r="C417">
        <v>0.75</v>
      </c>
      <c r="D417">
        <v>120</v>
      </c>
      <c r="E417">
        <v>206.89216820076342</v>
      </c>
      <c r="F417">
        <v>0.85</v>
      </c>
      <c r="G417">
        <v>120</v>
      </c>
      <c r="H417">
        <v>218.4578429225129</v>
      </c>
      <c r="I417">
        <v>0.9</v>
      </c>
      <c r="J417">
        <v>100</v>
      </c>
      <c r="K417">
        <v>201.58919236601187</v>
      </c>
      <c r="L417">
        <v>1</v>
      </c>
      <c r="M417">
        <v>100</v>
      </c>
    </row>
    <row r="418" spans="1:13">
      <c r="A418">
        <v>410</v>
      </c>
      <c r="B418">
        <v>140.05047663040258</v>
      </c>
      <c r="C418">
        <v>0.75</v>
      </c>
      <c r="D418">
        <v>120</v>
      </c>
      <c r="E418">
        <v>131.56432315499626</v>
      </c>
      <c r="F418">
        <v>0.85</v>
      </c>
      <c r="G418">
        <v>120</v>
      </c>
      <c r="H418">
        <v>147.32124641729308</v>
      </c>
      <c r="I418">
        <v>0.9</v>
      </c>
      <c r="J418">
        <v>100</v>
      </c>
      <c r="K418">
        <v>138.83509294188676</v>
      </c>
      <c r="L418">
        <v>1</v>
      </c>
      <c r="M418">
        <v>100</v>
      </c>
    </row>
    <row r="419" spans="1:13">
      <c r="A419">
        <v>411</v>
      </c>
      <c r="B419">
        <v>165.57947767724045</v>
      </c>
      <c r="C419">
        <v>0.75</v>
      </c>
      <c r="D419">
        <v>120</v>
      </c>
      <c r="E419">
        <v>153.06937151395209</v>
      </c>
      <c r="F419">
        <v>0.85</v>
      </c>
      <c r="G419">
        <v>120</v>
      </c>
      <c r="H419">
        <v>166.81431843230789</v>
      </c>
      <c r="I419">
        <v>0.9</v>
      </c>
      <c r="J419">
        <v>100</v>
      </c>
      <c r="K419">
        <v>154.3042122690195</v>
      </c>
      <c r="L419">
        <v>1</v>
      </c>
      <c r="M419">
        <v>100</v>
      </c>
    </row>
    <row r="420" spans="1:13">
      <c r="A420">
        <v>412</v>
      </c>
      <c r="B420">
        <v>287.97455450631571</v>
      </c>
      <c r="C420">
        <v>0.75</v>
      </c>
      <c r="D420">
        <v>120</v>
      </c>
      <c r="E420">
        <v>271.91953073208344</v>
      </c>
      <c r="F420">
        <v>0.85</v>
      </c>
      <c r="G420">
        <v>120</v>
      </c>
      <c r="H420">
        <v>283.89201884496725</v>
      </c>
      <c r="I420">
        <v>0.9</v>
      </c>
      <c r="J420">
        <v>100</v>
      </c>
      <c r="K420">
        <v>267.83699507073493</v>
      </c>
      <c r="L420">
        <v>1</v>
      </c>
      <c r="M420">
        <v>100</v>
      </c>
    </row>
    <row r="421" spans="1:13">
      <c r="A421">
        <v>413</v>
      </c>
      <c r="B421">
        <v>200.47953434457722</v>
      </c>
      <c r="C421">
        <v>0.75</v>
      </c>
      <c r="D421">
        <v>120</v>
      </c>
      <c r="E421">
        <v>186.49124031807708</v>
      </c>
      <c r="F421">
        <v>0.85</v>
      </c>
      <c r="G421">
        <v>120</v>
      </c>
      <c r="H421">
        <v>199.49709330482702</v>
      </c>
      <c r="I421">
        <v>0.9</v>
      </c>
      <c r="J421">
        <v>100</v>
      </c>
      <c r="K421">
        <v>185.5087992783269</v>
      </c>
      <c r="L421">
        <v>1</v>
      </c>
      <c r="M421">
        <v>100</v>
      </c>
    </row>
    <row r="422" spans="1:13">
      <c r="A422">
        <v>414</v>
      </c>
      <c r="B422">
        <v>191.81575056378063</v>
      </c>
      <c r="C422">
        <v>0.75</v>
      </c>
      <c r="D422">
        <v>120</v>
      </c>
      <c r="E422">
        <v>178.02266952810118</v>
      </c>
      <c r="F422">
        <v>0.85</v>
      </c>
      <c r="G422">
        <v>120</v>
      </c>
      <c r="H422">
        <v>191.12612901026148</v>
      </c>
      <c r="I422">
        <v>0.9</v>
      </c>
      <c r="J422">
        <v>100</v>
      </c>
      <c r="K422">
        <v>177.33304797458203</v>
      </c>
      <c r="L422">
        <v>1</v>
      </c>
      <c r="M422">
        <v>100</v>
      </c>
    </row>
    <row r="423" spans="1:13">
      <c r="A423">
        <v>415</v>
      </c>
      <c r="B423">
        <v>225.6709749069841</v>
      </c>
      <c r="C423">
        <v>0.75</v>
      </c>
      <c r="D423">
        <v>120</v>
      </c>
      <c r="E423">
        <v>208.05244470197084</v>
      </c>
      <c r="F423">
        <v>0.85</v>
      </c>
      <c r="G423">
        <v>120</v>
      </c>
      <c r="H423">
        <v>219.24317959946418</v>
      </c>
      <c r="I423">
        <v>0.9</v>
      </c>
      <c r="J423">
        <v>100</v>
      </c>
      <c r="K423">
        <v>201.62464939445093</v>
      </c>
      <c r="L423">
        <v>1</v>
      </c>
      <c r="M423">
        <v>100</v>
      </c>
    </row>
    <row r="424" spans="1:13">
      <c r="A424">
        <v>416</v>
      </c>
      <c r="B424">
        <v>297.76286086506047</v>
      </c>
      <c r="C424">
        <v>0.75</v>
      </c>
      <c r="D424">
        <v>120</v>
      </c>
      <c r="E424">
        <v>276.34413858964524</v>
      </c>
      <c r="F424">
        <v>0.85</v>
      </c>
      <c r="G424">
        <v>120</v>
      </c>
      <c r="H424">
        <v>285.63477745193757</v>
      </c>
      <c r="I424">
        <v>0.9</v>
      </c>
      <c r="J424">
        <v>100</v>
      </c>
      <c r="K424">
        <v>264.21605517652233</v>
      </c>
      <c r="L424">
        <v>1</v>
      </c>
      <c r="M424">
        <v>100</v>
      </c>
    </row>
    <row r="425" spans="1:13">
      <c r="A425">
        <v>417</v>
      </c>
      <c r="B425">
        <v>101.98764572373963</v>
      </c>
      <c r="C425">
        <v>0.75</v>
      </c>
      <c r="D425">
        <v>120</v>
      </c>
      <c r="E425">
        <v>89.125666532427402</v>
      </c>
      <c r="F425">
        <v>0.85</v>
      </c>
      <c r="G425">
        <v>120</v>
      </c>
      <c r="H425">
        <v>102.69467693677129</v>
      </c>
      <c r="I425">
        <v>0.9</v>
      </c>
      <c r="J425">
        <v>100</v>
      </c>
      <c r="K425">
        <v>89.832697745459058</v>
      </c>
      <c r="L425">
        <v>1</v>
      </c>
      <c r="M425">
        <v>100</v>
      </c>
    </row>
    <row r="426" spans="1:13">
      <c r="A426">
        <v>418</v>
      </c>
      <c r="B426">
        <v>199.75025762618381</v>
      </c>
      <c r="C426">
        <v>0.75</v>
      </c>
      <c r="D426">
        <v>120</v>
      </c>
      <c r="E426">
        <v>180.95917050498022</v>
      </c>
      <c r="F426">
        <v>0.85</v>
      </c>
      <c r="G426">
        <v>120</v>
      </c>
      <c r="H426">
        <v>191.56362694437843</v>
      </c>
      <c r="I426">
        <v>0.9</v>
      </c>
      <c r="J426">
        <v>100</v>
      </c>
      <c r="K426">
        <v>172.77253982317484</v>
      </c>
      <c r="L426">
        <v>1</v>
      </c>
      <c r="M426">
        <v>100</v>
      </c>
    </row>
    <row r="427" spans="1:13">
      <c r="A427">
        <v>419</v>
      </c>
      <c r="B427">
        <v>250.50646849173853</v>
      </c>
      <c r="C427">
        <v>0.75</v>
      </c>
      <c r="D427">
        <v>120</v>
      </c>
      <c r="E427">
        <v>234.85400114694116</v>
      </c>
      <c r="F427">
        <v>0.85</v>
      </c>
      <c r="G427">
        <v>120</v>
      </c>
      <c r="H427">
        <v>247.02776747454246</v>
      </c>
      <c r="I427">
        <v>0.9</v>
      </c>
      <c r="J427">
        <v>100</v>
      </c>
      <c r="K427">
        <v>231.37530012974506</v>
      </c>
      <c r="L427">
        <v>1</v>
      </c>
      <c r="M427">
        <v>100</v>
      </c>
    </row>
    <row r="428" spans="1:13">
      <c r="A428">
        <v>420</v>
      </c>
      <c r="B428">
        <v>378.59160822376612</v>
      </c>
      <c r="C428">
        <v>0.75</v>
      </c>
      <c r="D428">
        <v>120</v>
      </c>
      <c r="E428">
        <v>364.00557719948301</v>
      </c>
      <c r="F428">
        <v>0.85</v>
      </c>
      <c r="G428">
        <v>120</v>
      </c>
      <c r="H428">
        <v>376.71256168734146</v>
      </c>
      <c r="I428">
        <v>0.9</v>
      </c>
      <c r="J428">
        <v>100</v>
      </c>
      <c r="K428">
        <v>362.12653066305842</v>
      </c>
      <c r="L428">
        <v>1</v>
      </c>
      <c r="M428">
        <v>100</v>
      </c>
    </row>
    <row r="429" spans="1:13">
      <c r="A429">
        <v>421</v>
      </c>
      <c r="B429">
        <v>181.13682866918114</v>
      </c>
      <c r="C429">
        <v>0.75</v>
      </c>
      <c r="D429">
        <v>120</v>
      </c>
      <c r="E429">
        <v>167.03921789158221</v>
      </c>
      <c r="F429">
        <v>0.85</v>
      </c>
      <c r="G429">
        <v>120</v>
      </c>
      <c r="H429">
        <v>179.99041250278276</v>
      </c>
      <c r="I429">
        <v>0.9</v>
      </c>
      <c r="J429">
        <v>100</v>
      </c>
      <c r="K429">
        <v>165.89280172518383</v>
      </c>
      <c r="L429">
        <v>1</v>
      </c>
      <c r="M429">
        <v>100</v>
      </c>
    </row>
    <row r="430" spans="1:13">
      <c r="A430">
        <v>422</v>
      </c>
      <c r="B430">
        <v>84.734361006012747</v>
      </c>
      <c r="C430">
        <v>0.75</v>
      </c>
      <c r="D430">
        <v>120</v>
      </c>
      <c r="E430">
        <v>72.987469610524911</v>
      </c>
      <c r="F430">
        <v>0.85</v>
      </c>
      <c r="G430">
        <v>120</v>
      </c>
      <c r="H430">
        <v>87.114023912780993</v>
      </c>
      <c r="I430">
        <v>0.9</v>
      </c>
      <c r="J430">
        <v>100</v>
      </c>
      <c r="K430">
        <v>75.367132517293157</v>
      </c>
      <c r="L430">
        <v>1</v>
      </c>
      <c r="M430">
        <v>100</v>
      </c>
    </row>
    <row r="431" spans="1:13">
      <c r="A431">
        <v>423</v>
      </c>
      <c r="B431">
        <v>194.67840715768844</v>
      </c>
      <c r="C431">
        <v>0.75</v>
      </c>
      <c r="D431">
        <v>120</v>
      </c>
      <c r="E431">
        <v>182.63565737543775</v>
      </c>
      <c r="F431">
        <v>0.85</v>
      </c>
      <c r="G431">
        <v>120</v>
      </c>
      <c r="H431">
        <v>196.61428248431241</v>
      </c>
      <c r="I431">
        <v>0.9</v>
      </c>
      <c r="J431">
        <v>100</v>
      </c>
      <c r="K431">
        <v>184.57153270206175</v>
      </c>
      <c r="L431">
        <v>1</v>
      </c>
      <c r="M431">
        <v>100</v>
      </c>
    </row>
    <row r="432" spans="1:13">
      <c r="A432">
        <v>424</v>
      </c>
      <c r="B432">
        <v>160.64994317175478</v>
      </c>
      <c r="C432">
        <v>0.75</v>
      </c>
      <c r="D432">
        <v>120</v>
      </c>
      <c r="E432">
        <v>145.53363228875241</v>
      </c>
      <c r="F432">
        <v>0.85</v>
      </c>
      <c r="G432">
        <v>120</v>
      </c>
      <c r="H432">
        <v>157.97547684725123</v>
      </c>
      <c r="I432">
        <v>0.9</v>
      </c>
      <c r="J432">
        <v>100</v>
      </c>
      <c r="K432">
        <v>142.85916596424886</v>
      </c>
      <c r="L432">
        <v>1</v>
      </c>
      <c r="M432">
        <v>100</v>
      </c>
    </row>
    <row r="433" spans="1:13">
      <c r="A433">
        <v>425</v>
      </c>
      <c r="B433">
        <v>234.63153797697976</v>
      </c>
      <c r="C433">
        <v>0.75</v>
      </c>
      <c r="D433">
        <v>120</v>
      </c>
      <c r="E433">
        <v>222.21877598853007</v>
      </c>
      <c r="F433">
        <v>0.85</v>
      </c>
      <c r="G433">
        <v>120</v>
      </c>
      <c r="H433">
        <v>236.01239499430523</v>
      </c>
      <c r="I433">
        <v>0.9</v>
      </c>
      <c r="J433">
        <v>100</v>
      </c>
      <c r="K433">
        <v>223.59963300585554</v>
      </c>
      <c r="L433">
        <v>1</v>
      </c>
      <c r="M433">
        <v>100</v>
      </c>
    </row>
    <row r="434" spans="1:13">
      <c r="A434">
        <v>426</v>
      </c>
      <c r="B434">
        <v>54.627805815897048</v>
      </c>
      <c r="C434">
        <v>0.75</v>
      </c>
      <c r="D434">
        <v>120</v>
      </c>
      <c r="E434">
        <v>42.699629944092266</v>
      </c>
      <c r="F434">
        <v>0.85</v>
      </c>
      <c r="G434">
        <v>120</v>
      </c>
      <c r="H434">
        <v>56.735542008189881</v>
      </c>
      <c r="I434">
        <v>0.9</v>
      </c>
      <c r="J434">
        <v>100</v>
      </c>
      <c r="K434">
        <v>44.807366136385099</v>
      </c>
      <c r="L434">
        <v>1</v>
      </c>
      <c r="M434">
        <v>100</v>
      </c>
    </row>
    <row r="435" spans="1:13">
      <c r="A435">
        <v>427</v>
      </c>
      <c r="B435">
        <v>281.83032980611659</v>
      </c>
      <c r="C435">
        <v>0.75</v>
      </c>
      <c r="D435">
        <v>120</v>
      </c>
      <c r="E435">
        <v>265.40822424954058</v>
      </c>
      <c r="F435">
        <v>0.85</v>
      </c>
      <c r="G435">
        <v>120</v>
      </c>
      <c r="H435">
        <v>277.19717147125255</v>
      </c>
      <c r="I435">
        <v>0.9</v>
      </c>
      <c r="J435">
        <v>100</v>
      </c>
      <c r="K435">
        <v>260.77506591467653</v>
      </c>
      <c r="L435">
        <v>1</v>
      </c>
      <c r="M435">
        <v>100</v>
      </c>
    </row>
    <row r="436" spans="1:13">
      <c r="A436">
        <v>428</v>
      </c>
      <c r="B436">
        <v>100.39612528422782</v>
      </c>
      <c r="C436">
        <v>0.75</v>
      </c>
      <c r="D436">
        <v>120</v>
      </c>
      <c r="E436">
        <v>87.601047314086713</v>
      </c>
      <c r="F436">
        <v>0.85</v>
      </c>
      <c r="G436">
        <v>120</v>
      </c>
      <c r="H436">
        <v>101.20350832901616</v>
      </c>
      <c r="I436">
        <v>0.9</v>
      </c>
      <c r="J436">
        <v>100</v>
      </c>
      <c r="K436">
        <v>88.408430358875052</v>
      </c>
      <c r="L436">
        <v>1</v>
      </c>
      <c r="M436">
        <v>100</v>
      </c>
    </row>
    <row r="437" spans="1:13">
      <c r="A437">
        <v>429</v>
      </c>
      <c r="B437">
        <v>276.27409763250068</v>
      </c>
      <c r="C437">
        <v>0.75</v>
      </c>
      <c r="D437">
        <v>120</v>
      </c>
      <c r="E437">
        <v>261.85364125302476</v>
      </c>
      <c r="F437">
        <v>0.85</v>
      </c>
      <c r="G437">
        <v>120</v>
      </c>
      <c r="H437">
        <v>274.64341306328686</v>
      </c>
      <c r="I437">
        <v>0.9</v>
      </c>
      <c r="J437">
        <v>100</v>
      </c>
      <c r="K437">
        <v>260.22295668381093</v>
      </c>
      <c r="L437">
        <v>1</v>
      </c>
      <c r="M437">
        <v>100</v>
      </c>
    </row>
    <row r="438" spans="1:13">
      <c r="A438">
        <v>430</v>
      </c>
      <c r="B438">
        <v>199.23833140186835</v>
      </c>
      <c r="C438">
        <v>0.75</v>
      </c>
      <c r="D438">
        <v>120</v>
      </c>
      <c r="E438">
        <v>185.02436593568575</v>
      </c>
      <c r="F438">
        <v>0.85</v>
      </c>
      <c r="G438">
        <v>120</v>
      </c>
      <c r="H438">
        <v>197.91738320259446</v>
      </c>
      <c r="I438">
        <v>0.9</v>
      </c>
      <c r="J438">
        <v>100</v>
      </c>
      <c r="K438">
        <v>183.70341773641186</v>
      </c>
      <c r="L438">
        <v>1</v>
      </c>
      <c r="M438">
        <v>100</v>
      </c>
    </row>
    <row r="439" spans="1:13">
      <c r="A439">
        <v>431</v>
      </c>
      <c r="B439">
        <v>206.86029211575905</v>
      </c>
      <c r="C439">
        <v>0.75</v>
      </c>
      <c r="D439">
        <v>120</v>
      </c>
      <c r="E439">
        <v>194.82975499355308</v>
      </c>
      <c r="F439">
        <v>0.85</v>
      </c>
      <c r="G439">
        <v>120</v>
      </c>
      <c r="H439">
        <v>208.81448643245005</v>
      </c>
      <c r="I439">
        <v>0.9</v>
      </c>
      <c r="J439">
        <v>100</v>
      </c>
      <c r="K439">
        <v>196.78394931024408</v>
      </c>
      <c r="L439">
        <v>1</v>
      </c>
      <c r="M439">
        <v>100</v>
      </c>
    </row>
    <row r="440" spans="1:13">
      <c r="A440">
        <v>432</v>
      </c>
      <c r="B440">
        <v>144.45708366339485</v>
      </c>
      <c r="C440">
        <v>0.75</v>
      </c>
      <c r="D440">
        <v>120</v>
      </c>
      <c r="E440">
        <v>130.18492847470606</v>
      </c>
      <c r="F440">
        <v>0.85</v>
      </c>
      <c r="G440">
        <v>120</v>
      </c>
      <c r="H440">
        <v>143.04885088036167</v>
      </c>
      <c r="I440">
        <v>0.9</v>
      </c>
      <c r="J440">
        <v>100</v>
      </c>
      <c r="K440">
        <v>128.77669569167287</v>
      </c>
      <c r="L440">
        <v>1</v>
      </c>
      <c r="M440">
        <v>100</v>
      </c>
    </row>
    <row r="441" spans="1:13">
      <c r="A441">
        <v>433</v>
      </c>
      <c r="B441">
        <v>224.15338339257158</v>
      </c>
      <c r="C441">
        <v>0.75</v>
      </c>
      <c r="D441">
        <v>120</v>
      </c>
      <c r="E441">
        <v>206.70477293712074</v>
      </c>
      <c r="F441">
        <v>0.85</v>
      </c>
      <c r="G441">
        <v>120</v>
      </c>
      <c r="H441">
        <v>217.9804677093953</v>
      </c>
      <c r="I441">
        <v>0.9</v>
      </c>
      <c r="J441">
        <v>100</v>
      </c>
      <c r="K441">
        <v>200.53185725394445</v>
      </c>
      <c r="L441">
        <v>1</v>
      </c>
      <c r="M441">
        <v>100</v>
      </c>
    </row>
    <row r="442" spans="1:13">
      <c r="A442">
        <v>434</v>
      </c>
      <c r="B442">
        <v>152.78777281064725</v>
      </c>
      <c r="C442">
        <v>0.75</v>
      </c>
      <c r="D442">
        <v>120</v>
      </c>
      <c r="E442">
        <v>139.76652088653992</v>
      </c>
      <c r="F442">
        <v>0.85</v>
      </c>
      <c r="G442">
        <v>120</v>
      </c>
      <c r="H442">
        <v>153.25589492448626</v>
      </c>
      <c r="I442">
        <v>0.9</v>
      </c>
      <c r="J442">
        <v>100</v>
      </c>
      <c r="K442">
        <v>140.23464300037892</v>
      </c>
      <c r="L442">
        <v>1</v>
      </c>
      <c r="M442">
        <v>100</v>
      </c>
    </row>
    <row r="443" spans="1:13">
      <c r="A443">
        <v>435</v>
      </c>
      <c r="B443">
        <v>163.43345208420982</v>
      </c>
      <c r="C443">
        <v>0.75</v>
      </c>
      <c r="D443">
        <v>120</v>
      </c>
      <c r="E443">
        <v>146.84701372308714</v>
      </c>
      <c r="F443">
        <v>0.85</v>
      </c>
      <c r="G443">
        <v>120</v>
      </c>
      <c r="H443">
        <v>158.55379454252579</v>
      </c>
      <c r="I443">
        <v>0.9</v>
      </c>
      <c r="J443">
        <v>100</v>
      </c>
      <c r="K443">
        <v>141.96735618140312</v>
      </c>
      <c r="L443">
        <v>1</v>
      </c>
      <c r="M443">
        <v>100</v>
      </c>
    </row>
    <row r="444" spans="1:13">
      <c r="A444">
        <v>436</v>
      </c>
      <c r="B444">
        <v>129.96848948209077</v>
      </c>
      <c r="C444">
        <v>0.75</v>
      </c>
      <c r="D444">
        <v>120</v>
      </c>
      <c r="E444">
        <v>116.15718803497151</v>
      </c>
      <c r="F444">
        <v>0.85</v>
      </c>
      <c r="G444">
        <v>120</v>
      </c>
      <c r="H444">
        <v>129.25153731141188</v>
      </c>
      <c r="I444">
        <v>0.9</v>
      </c>
      <c r="J444">
        <v>100</v>
      </c>
      <c r="K444">
        <v>115.44023586429262</v>
      </c>
      <c r="L444">
        <v>1</v>
      </c>
      <c r="M444">
        <v>100</v>
      </c>
    </row>
    <row r="445" spans="1:13">
      <c r="A445">
        <v>437</v>
      </c>
      <c r="B445">
        <v>284.17056187720038</v>
      </c>
      <c r="C445">
        <v>0.75</v>
      </c>
      <c r="D445">
        <v>120</v>
      </c>
      <c r="E445">
        <v>266.73370603879198</v>
      </c>
      <c r="F445">
        <v>0.85</v>
      </c>
      <c r="G445">
        <v>120</v>
      </c>
      <c r="H445">
        <v>278.01527811958772</v>
      </c>
      <c r="I445">
        <v>0.9</v>
      </c>
      <c r="J445">
        <v>100</v>
      </c>
      <c r="K445">
        <v>260.57842228117931</v>
      </c>
      <c r="L445">
        <v>1</v>
      </c>
      <c r="M445">
        <v>100</v>
      </c>
    </row>
    <row r="446" spans="1:13">
      <c r="A446">
        <v>438</v>
      </c>
      <c r="B446">
        <v>202.32605149163999</v>
      </c>
      <c r="C446">
        <v>0.75</v>
      </c>
      <c r="D446">
        <v>120</v>
      </c>
      <c r="E446">
        <v>184.90943066437282</v>
      </c>
      <c r="F446">
        <v>0.85</v>
      </c>
      <c r="G446">
        <v>120</v>
      </c>
      <c r="H446">
        <v>196.20112025073922</v>
      </c>
      <c r="I446">
        <v>0.9</v>
      </c>
      <c r="J446">
        <v>100</v>
      </c>
      <c r="K446">
        <v>178.78449942347206</v>
      </c>
      <c r="L446">
        <v>1</v>
      </c>
      <c r="M446">
        <v>100</v>
      </c>
    </row>
    <row r="447" spans="1:13">
      <c r="A447">
        <v>439</v>
      </c>
      <c r="B447">
        <v>113.34256495645343</v>
      </c>
      <c r="C447">
        <v>0.75</v>
      </c>
      <c r="D447">
        <v>120</v>
      </c>
      <c r="E447">
        <v>101.48001405799742</v>
      </c>
      <c r="F447">
        <v>0.85</v>
      </c>
      <c r="G447">
        <v>120</v>
      </c>
      <c r="H447">
        <v>115.54873860876941</v>
      </c>
      <c r="I447">
        <v>0.9</v>
      </c>
      <c r="J447">
        <v>100</v>
      </c>
      <c r="K447">
        <v>103.68618771031342</v>
      </c>
      <c r="L447">
        <v>1</v>
      </c>
      <c r="M447">
        <v>100</v>
      </c>
    </row>
    <row r="448" spans="1:13">
      <c r="A448">
        <v>440</v>
      </c>
      <c r="B448">
        <v>296.75784596521186</v>
      </c>
      <c r="C448">
        <v>0.75</v>
      </c>
      <c r="D448">
        <v>120</v>
      </c>
      <c r="E448">
        <v>274.45334146614692</v>
      </c>
      <c r="F448">
        <v>0.85</v>
      </c>
      <c r="G448">
        <v>120</v>
      </c>
      <c r="H448">
        <v>283.30108921661446</v>
      </c>
      <c r="I448">
        <v>0.9</v>
      </c>
      <c r="J448">
        <v>100</v>
      </c>
      <c r="K448">
        <v>260.99658471754952</v>
      </c>
      <c r="L448">
        <v>1</v>
      </c>
      <c r="M448">
        <v>100</v>
      </c>
    </row>
    <row r="449" spans="1:13">
      <c r="A449">
        <v>441</v>
      </c>
      <c r="B449">
        <v>158.85565946774381</v>
      </c>
      <c r="C449">
        <v>0.75</v>
      </c>
      <c r="D449">
        <v>120</v>
      </c>
      <c r="E449">
        <v>147.56062543936781</v>
      </c>
      <c r="F449">
        <v>0.85</v>
      </c>
      <c r="G449">
        <v>120</v>
      </c>
      <c r="H449">
        <v>161.91310842517981</v>
      </c>
      <c r="I449">
        <v>0.9</v>
      </c>
      <c r="J449">
        <v>100</v>
      </c>
      <c r="K449">
        <v>150.61807439680379</v>
      </c>
      <c r="L449">
        <v>1</v>
      </c>
      <c r="M449">
        <v>100</v>
      </c>
    </row>
    <row r="450" spans="1:13">
      <c r="A450">
        <v>442</v>
      </c>
      <c r="B450">
        <v>251.90522889986855</v>
      </c>
      <c r="C450">
        <v>0.75</v>
      </c>
      <c r="D450">
        <v>120</v>
      </c>
      <c r="E450">
        <v>238.19955374312414</v>
      </c>
      <c r="F450">
        <v>0.85</v>
      </c>
      <c r="G450">
        <v>120</v>
      </c>
      <c r="H450">
        <v>251.34671616475194</v>
      </c>
      <c r="I450">
        <v>0.9</v>
      </c>
      <c r="J450">
        <v>100</v>
      </c>
      <c r="K450">
        <v>237.64104100800753</v>
      </c>
      <c r="L450">
        <v>1</v>
      </c>
      <c r="M450">
        <v>100</v>
      </c>
    </row>
    <row r="451" spans="1:13">
      <c r="A451">
        <v>443</v>
      </c>
      <c r="B451">
        <v>242.69191217902519</v>
      </c>
      <c r="C451">
        <v>0.75</v>
      </c>
      <c r="D451">
        <v>120</v>
      </c>
      <c r="E451">
        <v>223.66544540084303</v>
      </c>
      <c r="F451">
        <v>0.85</v>
      </c>
      <c r="G451">
        <v>120</v>
      </c>
      <c r="H451">
        <v>234.15221201175194</v>
      </c>
      <c r="I451">
        <v>0.9</v>
      </c>
      <c r="J451">
        <v>100</v>
      </c>
      <c r="K451">
        <v>215.1257452335698</v>
      </c>
      <c r="L451">
        <v>1</v>
      </c>
      <c r="M451">
        <v>100</v>
      </c>
    </row>
    <row r="452" spans="1:13">
      <c r="A452">
        <v>444</v>
      </c>
      <c r="B452">
        <v>360.57297892263352</v>
      </c>
      <c r="C452">
        <v>0.75</v>
      </c>
      <c r="D452">
        <v>120</v>
      </c>
      <c r="E452">
        <v>340.47404124612206</v>
      </c>
      <c r="F452">
        <v>0.85</v>
      </c>
      <c r="G452">
        <v>120</v>
      </c>
      <c r="H452">
        <v>350.42457240786621</v>
      </c>
      <c r="I452">
        <v>0.9</v>
      </c>
      <c r="J452">
        <v>100</v>
      </c>
      <c r="K452">
        <v>330.32563473135474</v>
      </c>
      <c r="L452">
        <v>1</v>
      </c>
      <c r="M452">
        <v>100</v>
      </c>
    </row>
    <row r="453" spans="1:13">
      <c r="A453">
        <v>445</v>
      </c>
      <c r="B453">
        <v>100.82227767111982</v>
      </c>
      <c r="C453">
        <v>0.75</v>
      </c>
      <c r="D453">
        <v>120</v>
      </c>
      <c r="E453">
        <v>87.983729338968203</v>
      </c>
      <c r="F453">
        <v>0.85</v>
      </c>
      <c r="G453">
        <v>120</v>
      </c>
      <c r="H453">
        <v>101.56445517289239</v>
      </c>
      <c r="I453">
        <v>0.9</v>
      </c>
      <c r="J453">
        <v>100</v>
      </c>
      <c r="K453">
        <v>88.725906840740777</v>
      </c>
      <c r="L453">
        <v>1</v>
      </c>
      <c r="M453">
        <v>100</v>
      </c>
    </row>
    <row r="454" spans="1:13">
      <c r="A454">
        <v>446</v>
      </c>
      <c r="B454">
        <v>192.12649913933706</v>
      </c>
      <c r="C454">
        <v>0.75</v>
      </c>
      <c r="D454">
        <v>120</v>
      </c>
      <c r="E454">
        <v>175.01820934394311</v>
      </c>
      <c r="F454">
        <v>0.85</v>
      </c>
      <c r="G454">
        <v>120</v>
      </c>
      <c r="H454">
        <v>186.46406444624614</v>
      </c>
      <c r="I454">
        <v>0.9</v>
      </c>
      <c r="J454">
        <v>100</v>
      </c>
      <c r="K454">
        <v>169.3557746508522</v>
      </c>
      <c r="L454">
        <v>1</v>
      </c>
      <c r="M454">
        <v>100</v>
      </c>
    </row>
    <row r="455" spans="1:13">
      <c r="A455">
        <v>447</v>
      </c>
      <c r="B455">
        <v>403.97073506520462</v>
      </c>
      <c r="C455">
        <v>0.75</v>
      </c>
      <c r="D455">
        <v>120</v>
      </c>
      <c r="E455">
        <v>382.87240636234861</v>
      </c>
      <c r="F455">
        <v>0.85</v>
      </c>
      <c r="G455">
        <v>120</v>
      </c>
      <c r="H455">
        <v>392.32324201092058</v>
      </c>
      <c r="I455">
        <v>0.9</v>
      </c>
      <c r="J455">
        <v>100</v>
      </c>
      <c r="K455">
        <v>371.22491330806463</v>
      </c>
      <c r="L455">
        <v>1</v>
      </c>
      <c r="M455">
        <v>100</v>
      </c>
    </row>
    <row r="456" spans="1:13">
      <c r="A456">
        <v>448</v>
      </c>
      <c r="B456">
        <v>3.2762072955402317</v>
      </c>
      <c r="C456">
        <v>0.75</v>
      </c>
      <c r="D456">
        <v>120</v>
      </c>
      <c r="E456">
        <v>-8.2392655858157866</v>
      </c>
      <c r="F456">
        <v>0.85</v>
      </c>
      <c r="G456">
        <v>120</v>
      </c>
      <c r="H456">
        <v>6.0029979735061971</v>
      </c>
      <c r="I456">
        <v>0.9</v>
      </c>
      <c r="J456">
        <v>100</v>
      </c>
      <c r="K456">
        <v>-5.5124749078498354</v>
      </c>
      <c r="L456">
        <v>1</v>
      </c>
      <c r="M456">
        <v>100</v>
      </c>
    </row>
    <row r="457" spans="1:13">
      <c r="A457">
        <v>449</v>
      </c>
      <c r="B457">
        <v>239.91202292865222</v>
      </c>
      <c r="C457">
        <v>0.75</v>
      </c>
      <c r="D457">
        <v>120</v>
      </c>
      <c r="E457">
        <v>222.40276489211266</v>
      </c>
      <c r="F457">
        <v>0.85</v>
      </c>
      <c r="G457">
        <v>120</v>
      </c>
      <c r="H457">
        <v>233.64813587384285</v>
      </c>
      <c r="I457">
        <v>0.9</v>
      </c>
      <c r="J457">
        <v>100</v>
      </c>
      <c r="K457">
        <v>216.13887783730328</v>
      </c>
      <c r="L457">
        <v>1</v>
      </c>
      <c r="M457">
        <v>100</v>
      </c>
    </row>
    <row r="458" spans="1:13">
      <c r="A458">
        <v>450</v>
      </c>
      <c r="B458">
        <v>194.80299846714416</v>
      </c>
      <c r="C458">
        <v>0.75</v>
      </c>
      <c r="D458">
        <v>120</v>
      </c>
      <c r="E458">
        <v>179.8240468859166</v>
      </c>
      <c r="F458">
        <v>0.85</v>
      </c>
      <c r="G458">
        <v>120</v>
      </c>
      <c r="H458">
        <v>192.33457109530281</v>
      </c>
      <c r="I458">
        <v>0.9</v>
      </c>
      <c r="J458">
        <v>100</v>
      </c>
      <c r="K458">
        <v>177.35561951407524</v>
      </c>
      <c r="L458">
        <v>1</v>
      </c>
      <c r="M458">
        <v>100</v>
      </c>
    </row>
    <row r="459" spans="1:13">
      <c r="A459">
        <v>451</v>
      </c>
      <c r="B459">
        <v>239.38950395106198</v>
      </c>
      <c r="C459">
        <v>0.75</v>
      </c>
      <c r="D459">
        <v>120</v>
      </c>
      <c r="E459">
        <v>224.06125287142115</v>
      </c>
      <c r="F459">
        <v>0.85</v>
      </c>
      <c r="G459">
        <v>120</v>
      </c>
      <c r="H459">
        <v>236.39712733160073</v>
      </c>
      <c r="I459">
        <v>0.9</v>
      </c>
      <c r="J459">
        <v>100</v>
      </c>
      <c r="K459">
        <v>221.06887625195989</v>
      </c>
      <c r="L459">
        <v>1</v>
      </c>
      <c r="M459">
        <v>100</v>
      </c>
    </row>
    <row r="460" spans="1:13">
      <c r="A460">
        <v>452</v>
      </c>
      <c r="B460">
        <v>173.15923312850219</v>
      </c>
      <c r="C460">
        <v>0.75</v>
      </c>
      <c r="D460">
        <v>120</v>
      </c>
      <c r="E460">
        <v>160.59846071200309</v>
      </c>
      <c r="F460">
        <v>0.85</v>
      </c>
      <c r="G460">
        <v>120</v>
      </c>
      <c r="H460">
        <v>174.31807450375356</v>
      </c>
      <c r="I460">
        <v>0.9</v>
      </c>
      <c r="J460">
        <v>100</v>
      </c>
      <c r="K460">
        <v>161.75730208725446</v>
      </c>
      <c r="L460">
        <v>1</v>
      </c>
      <c r="M460">
        <v>100</v>
      </c>
    </row>
    <row r="461" spans="1:13">
      <c r="A461">
        <v>453</v>
      </c>
      <c r="B461">
        <v>133.56988100807575</v>
      </c>
      <c r="C461">
        <v>0.75</v>
      </c>
      <c r="D461">
        <v>120</v>
      </c>
      <c r="E461">
        <v>122.23346485636297</v>
      </c>
      <c r="F461">
        <v>0.85</v>
      </c>
      <c r="G461">
        <v>120</v>
      </c>
      <c r="H461">
        <v>136.56525678050659</v>
      </c>
      <c r="I461">
        <v>0.9</v>
      </c>
      <c r="J461">
        <v>100</v>
      </c>
      <c r="K461">
        <v>125.22884062879382</v>
      </c>
      <c r="L461">
        <v>1</v>
      </c>
      <c r="M461">
        <v>100</v>
      </c>
    </row>
    <row r="462" spans="1:13">
      <c r="A462">
        <v>454</v>
      </c>
      <c r="B462">
        <v>90.12064633085042</v>
      </c>
      <c r="C462">
        <v>0.75</v>
      </c>
      <c r="D462">
        <v>120</v>
      </c>
      <c r="E462">
        <v>79.024436522094618</v>
      </c>
      <c r="F462">
        <v>0.85</v>
      </c>
      <c r="G462">
        <v>120</v>
      </c>
      <c r="H462">
        <v>93.47633161771671</v>
      </c>
      <c r="I462">
        <v>0.9</v>
      </c>
      <c r="J462">
        <v>100</v>
      </c>
      <c r="K462">
        <v>82.380121808960908</v>
      </c>
      <c r="L462">
        <v>1</v>
      </c>
      <c r="M462">
        <v>100</v>
      </c>
    </row>
    <row r="463" spans="1:13">
      <c r="A463">
        <v>455</v>
      </c>
      <c r="B463">
        <v>251.7571334301999</v>
      </c>
      <c r="C463">
        <v>0.75</v>
      </c>
      <c r="D463">
        <v>120</v>
      </c>
      <c r="E463">
        <v>235.79432670985227</v>
      </c>
      <c r="F463">
        <v>0.85</v>
      </c>
      <c r="G463">
        <v>120</v>
      </c>
      <c r="H463">
        <v>247.81292334967847</v>
      </c>
      <c r="I463">
        <v>0.9</v>
      </c>
      <c r="J463">
        <v>100</v>
      </c>
      <c r="K463">
        <v>231.85011662933084</v>
      </c>
      <c r="L463">
        <v>1</v>
      </c>
      <c r="M463">
        <v>100</v>
      </c>
    </row>
    <row r="464" spans="1:13">
      <c r="A464">
        <v>456</v>
      </c>
      <c r="B464">
        <v>234.60531052913666</v>
      </c>
      <c r="C464">
        <v>0.75</v>
      </c>
      <c r="D464">
        <v>120</v>
      </c>
      <c r="E464">
        <v>221.29886364871433</v>
      </c>
      <c r="F464">
        <v>0.85</v>
      </c>
      <c r="G464">
        <v>120</v>
      </c>
      <c r="H464">
        <v>234.64564020850315</v>
      </c>
      <c r="I464">
        <v>0.9</v>
      </c>
      <c r="J464">
        <v>100</v>
      </c>
      <c r="K464">
        <v>221.33919332808082</v>
      </c>
      <c r="L464">
        <v>1</v>
      </c>
      <c r="M464">
        <v>100</v>
      </c>
    </row>
    <row r="465" spans="1:13">
      <c r="A465">
        <v>457</v>
      </c>
      <c r="B465">
        <v>239.27702773105355</v>
      </c>
      <c r="C465">
        <v>0.75</v>
      </c>
      <c r="D465">
        <v>120</v>
      </c>
      <c r="E465">
        <v>221.95073494981307</v>
      </c>
      <c r="F465">
        <v>0.85</v>
      </c>
      <c r="G465">
        <v>120</v>
      </c>
      <c r="H465">
        <v>233.28758855919284</v>
      </c>
      <c r="I465">
        <v>0.9</v>
      </c>
      <c r="J465">
        <v>100</v>
      </c>
      <c r="K465">
        <v>215.96129577795236</v>
      </c>
      <c r="L465">
        <v>1</v>
      </c>
      <c r="M465">
        <v>100</v>
      </c>
    </row>
    <row r="466" spans="1:13">
      <c r="A466">
        <v>458</v>
      </c>
      <c r="B466">
        <v>249.42532503159194</v>
      </c>
      <c r="C466">
        <v>0.75</v>
      </c>
      <c r="D466">
        <v>120</v>
      </c>
      <c r="E466">
        <v>235.02953866669498</v>
      </c>
      <c r="F466">
        <v>0.85</v>
      </c>
      <c r="G466">
        <v>120</v>
      </c>
      <c r="H466">
        <v>247.83164548424648</v>
      </c>
      <c r="I466">
        <v>0.9</v>
      </c>
      <c r="J466">
        <v>100</v>
      </c>
      <c r="K466">
        <v>233.43585911934949</v>
      </c>
      <c r="L466">
        <v>1</v>
      </c>
      <c r="M466">
        <v>100</v>
      </c>
    </row>
    <row r="467" spans="1:13">
      <c r="A467">
        <v>459</v>
      </c>
      <c r="B467">
        <v>251.89550400022526</v>
      </c>
      <c r="C467">
        <v>0.75</v>
      </c>
      <c r="D467">
        <v>120</v>
      </c>
      <c r="E467">
        <v>236.3821555425794</v>
      </c>
      <c r="F467">
        <v>0.85</v>
      </c>
      <c r="G467">
        <v>120</v>
      </c>
      <c r="H467">
        <v>248.62548131375644</v>
      </c>
      <c r="I467">
        <v>0.9</v>
      </c>
      <c r="J467">
        <v>100</v>
      </c>
      <c r="K467">
        <v>233.11213285611058</v>
      </c>
      <c r="L467">
        <v>1</v>
      </c>
      <c r="M467">
        <v>100</v>
      </c>
    </row>
    <row r="468" spans="1:13">
      <c r="A468">
        <v>460</v>
      </c>
      <c r="B468">
        <v>250.81714061920042</v>
      </c>
      <c r="C468">
        <v>0.75</v>
      </c>
      <c r="D468">
        <v>120</v>
      </c>
      <c r="E468">
        <v>234.1326075013684</v>
      </c>
      <c r="F468">
        <v>0.85</v>
      </c>
      <c r="G468">
        <v>120</v>
      </c>
      <c r="H468">
        <v>245.79034094245239</v>
      </c>
      <c r="I468">
        <v>0.9</v>
      </c>
      <c r="J468">
        <v>100</v>
      </c>
      <c r="K468">
        <v>229.10580782462037</v>
      </c>
      <c r="L468">
        <v>1</v>
      </c>
      <c r="M468">
        <v>100</v>
      </c>
    </row>
    <row r="469" spans="1:13">
      <c r="A469">
        <v>461</v>
      </c>
      <c r="B469">
        <v>468.68674003033425</v>
      </c>
      <c r="C469">
        <v>0.75</v>
      </c>
      <c r="D469">
        <v>120</v>
      </c>
      <c r="E469">
        <v>450.80111485372527</v>
      </c>
      <c r="F469">
        <v>0.85</v>
      </c>
      <c r="G469">
        <v>120</v>
      </c>
      <c r="H469">
        <v>461.85830226542083</v>
      </c>
      <c r="I469">
        <v>0.9</v>
      </c>
      <c r="J469">
        <v>100</v>
      </c>
      <c r="K469">
        <v>443.97267708881191</v>
      </c>
      <c r="L469">
        <v>1</v>
      </c>
      <c r="M469">
        <v>100</v>
      </c>
    </row>
    <row r="470" spans="1:13">
      <c r="A470">
        <v>462</v>
      </c>
      <c r="B470">
        <v>244.59577024172603</v>
      </c>
      <c r="C470">
        <v>0.75</v>
      </c>
      <c r="D470">
        <v>120</v>
      </c>
      <c r="E470">
        <v>228.14626609211649</v>
      </c>
      <c r="F470">
        <v>0.85</v>
      </c>
      <c r="G470">
        <v>120</v>
      </c>
      <c r="H470">
        <v>239.92151401731172</v>
      </c>
      <c r="I470">
        <v>0.9</v>
      </c>
      <c r="J470">
        <v>100</v>
      </c>
      <c r="K470">
        <v>223.47200986770218</v>
      </c>
      <c r="L470">
        <v>1</v>
      </c>
      <c r="M470">
        <v>100</v>
      </c>
    </row>
    <row r="471" spans="1:13">
      <c r="A471">
        <v>463</v>
      </c>
      <c r="B471">
        <v>184.6618511191752</v>
      </c>
      <c r="C471">
        <v>0.75</v>
      </c>
      <c r="D471">
        <v>120</v>
      </c>
      <c r="E471">
        <v>167.56116702008086</v>
      </c>
      <c r="F471">
        <v>0.85</v>
      </c>
      <c r="G471">
        <v>120</v>
      </c>
      <c r="H471">
        <v>179.01082497053369</v>
      </c>
      <c r="I471">
        <v>0.9</v>
      </c>
      <c r="J471">
        <v>100</v>
      </c>
      <c r="K471">
        <v>161.91014087143935</v>
      </c>
      <c r="L471">
        <v>1</v>
      </c>
      <c r="M471">
        <v>100</v>
      </c>
    </row>
    <row r="472" spans="1:13">
      <c r="A472">
        <v>464</v>
      </c>
      <c r="B472">
        <v>171.08631992723932</v>
      </c>
      <c r="C472">
        <v>0.75</v>
      </c>
      <c r="D472">
        <v>120</v>
      </c>
      <c r="E472">
        <v>157.65000945996309</v>
      </c>
      <c r="F472">
        <v>0.85</v>
      </c>
      <c r="G472">
        <v>120</v>
      </c>
      <c r="H472">
        <v>170.93185422632499</v>
      </c>
      <c r="I472">
        <v>0.9</v>
      </c>
      <c r="J472">
        <v>100</v>
      </c>
      <c r="K472">
        <v>157.49554375904879</v>
      </c>
      <c r="L472">
        <v>1</v>
      </c>
      <c r="M472">
        <v>100</v>
      </c>
    </row>
    <row r="473" spans="1:13">
      <c r="A473">
        <v>465</v>
      </c>
      <c r="B473">
        <v>32.224118038309172</v>
      </c>
      <c r="C473">
        <v>0.75</v>
      </c>
      <c r="D473">
        <v>120</v>
      </c>
      <c r="E473">
        <v>20.214428007716975</v>
      </c>
      <c r="F473">
        <v>0.85</v>
      </c>
      <c r="G473">
        <v>120</v>
      </c>
      <c r="H473">
        <v>34.209582992420877</v>
      </c>
      <c r="I473">
        <v>0.9</v>
      </c>
      <c r="J473">
        <v>100</v>
      </c>
      <c r="K473">
        <v>22.199892961828681</v>
      </c>
      <c r="L473">
        <v>1</v>
      </c>
      <c r="M473">
        <v>100</v>
      </c>
    </row>
    <row r="474" spans="1:13">
      <c r="A474">
        <v>466</v>
      </c>
      <c r="B474">
        <v>348.50562429236027</v>
      </c>
      <c r="C474">
        <v>0.75</v>
      </c>
      <c r="D474">
        <v>120</v>
      </c>
      <c r="E474">
        <v>332.39099884715637</v>
      </c>
      <c r="F474">
        <v>0.85</v>
      </c>
      <c r="G474">
        <v>120</v>
      </c>
      <c r="H474">
        <v>344.33368612455439</v>
      </c>
      <c r="I474">
        <v>0.9</v>
      </c>
      <c r="J474">
        <v>100</v>
      </c>
      <c r="K474">
        <v>328.21906067935049</v>
      </c>
      <c r="L474">
        <v>1</v>
      </c>
      <c r="M474">
        <v>100</v>
      </c>
    </row>
    <row r="475" spans="1:13">
      <c r="A475">
        <v>467</v>
      </c>
      <c r="B475">
        <v>367.90593852726778</v>
      </c>
      <c r="C475">
        <v>0.75</v>
      </c>
      <c r="D475">
        <v>120</v>
      </c>
      <c r="E475">
        <v>348.73431736117118</v>
      </c>
      <c r="F475">
        <v>0.85</v>
      </c>
      <c r="G475">
        <v>120</v>
      </c>
      <c r="H475">
        <v>359.14850677812285</v>
      </c>
      <c r="I475">
        <v>0.9</v>
      </c>
      <c r="J475">
        <v>100</v>
      </c>
      <c r="K475">
        <v>339.97688561202619</v>
      </c>
      <c r="L475">
        <v>1</v>
      </c>
      <c r="M475">
        <v>100</v>
      </c>
    </row>
    <row r="476" spans="1:13">
      <c r="A476">
        <v>468</v>
      </c>
      <c r="B476">
        <v>203.8716575572773</v>
      </c>
      <c r="C476">
        <v>0.75</v>
      </c>
      <c r="D476">
        <v>120</v>
      </c>
      <c r="E476">
        <v>189.69808811203302</v>
      </c>
      <c r="F476">
        <v>0.85</v>
      </c>
      <c r="G476">
        <v>120</v>
      </c>
      <c r="H476">
        <v>202.61130338941089</v>
      </c>
      <c r="I476">
        <v>0.9</v>
      </c>
      <c r="J476">
        <v>100</v>
      </c>
      <c r="K476">
        <v>188.43773394416664</v>
      </c>
      <c r="L476">
        <v>1</v>
      </c>
      <c r="M476">
        <v>100</v>
      </c>
    </row>
    <row r="477" spans="1:13">
      <c r="A477">
        <v>469</v>
      </c>
      <c r="B477">
        <v>299.37837246228838</v>
      </c>
      <c r="C477">
        <v>0.75</v>
      </c>
      <c r="D477">
        <v>120</v>
      </c>
      <c r="E477">
        <v>281.4554409220533</v>
      </c>
      <c r="F477">
        <v>0.85</v>
      </c>
      <c r="G477">
        <v>120</v>
      </c>
      <c r="H477">
        <v>292.49397515193579</v>
      </c>
      <c r="I477">
        <v>0.9</v>
      </c>
      <c r="J477">
        <v>100</v>
      </c>
      <c r="K477">
        <v>274.57104361170076</v>
      </c>
      <c r="L477">
        <v>1</v>
      </c>
      <c r="M477">
        <v>100</v>
      </c>
    </row>
    <row r="478" spans="1:13">
      <c r="A478">
        <v>470</v>
      </c>
      <c r="B478">
        <v>144.18703120208755</v>
      </c>
      <c r="C478">
        <v>0.75</v>
      </c>
      <c r="D478">
        <v>120</v>
      </c>
      <c r="E478">
        <v>130.51374567412745</v>
      </c>
      <c r="F478">
        <v>0.85</v>
      </c>
      <c r="G478">
        <v>120</v>
      </c>
      <c r="H478">
        <v>143.67710291014737</v>
      </c>
      <c r="I478">
        <v>0.9</v>
      </c>
      <c r="J478">
        <v>100</v>
      </c>
      <c r="K478">
        <v>130.00381738218726</v>
      </c>
      <c r="L478">
        <v>1</v>
      </c>
      <c r="M478">
        <v>100</v>
      </c>
    </row>
    <row r="479" spans="1:13">
      <c r="A479">
        <v>471</v>
      </c>
      <c r="B479">
        <v>160.30555878823424</v>
      </c>
      <c r="C479">
        <v>0.75</v>
      </c>
      <c r="D479">
        <v>120</v>
      </c>
      <c r="E479">
        <v>146.30901256712139</v>
      </c>
      <c r="F479">
        <v>0.85</v>
      </c>
      <c r="G479">
        <v>120</v>
      </c>
      <c r="H479">
        <v>159.31073945656499</v>
      </c>
      <c r="I479">
        <v>0.9</v>
      </c>
      <c r="J479">
        <v>100</v>
      </c>
      <c r="K479">
        <v>145.31419323545214</v>
      </c>
      <c r="L479">
        <v>1</v>
      </c>
      <c r="M479">
        <v>100</v>
      </c>
    </row>
    <row r="480" spans="1:13">
      <c r="A480">
        <v>472</v>
      </c>
      <c r="B480">
        <v>39.906313200155125</v>
      </c>
      <c r="C480">
        <v>0.75</v>
      </c>
      <c r="D480">
        <v>120</v>
      </c>
      <c r="E480">
        <v>26.540358700128394</v>
      </c>
      <c r="F480">
        <v>0.85</v>
      </c>
      <c r="G480">
        <v>120</v>
      </c>
      <c r="H480">
        <v>39.857381450115014</v>
      </c>
      <c r="I480">
        <v>0.9</v>
      </c>
      <c r="J480">
        <v>100</v>
      </c>
      <c r="K480">
        <v>26.491426950088282</v>
      </c>
      <c r="L480">
        <v>1</v>
      </c>
      <c r="M480">
        <v>100</v>
      </c>
    </row>
    <row r="481" spans="1:13">
      <c r="A481">
        <v>473</v>
      </c>
      <c r="B481">
        <v>263.85309370733029</v>
      </c>
      <c r="C481">
        <v>0.75</v>
      </c>
      <c r="D481">
        <v>120</v>
      </c>
      <c r="E481">
        <v>249.28922862281965</v>
      </c>
      <c r="F481">
        <v>0.85</v>
      </c>
      <c r="G481">
        <v>120</v>
      </c>
      <c r="H481">
        <v>262.00729608056434</v>
      </c>
      <c r="I481">
        <v>0.9</v>
      </c>
      <c r="J481">
        <v>100</v>
      </c>
      <c r="K481">
        <v>247.44343099605371</v>
      </c>
      <c r="L481">
        <v>1</v>
      </c>
      <c r="M481">
        <v>100</v>
      </c>
    </row>
    <row r="482" spans="1:13">
      <c r="A482">
        <v>474</v>
      </c>
      <c r="B482">
        <v>410.52932747787821</v>
      </c>
      <c r="C482">
        <v>0.75</v>
      </c>
      <c r="D482">
        <v>120</v>
      </c>
      <c r="E482">
        <v>392.66967679794971</v>
      </c>
      <c r="F482">
        <v>0.85</v>
      </c>
      <c r="G482">
        <v>120</v>
      </c>
      <c r="H482">
        <v>403.73985145798542</v>
      </c>
      <c r="I482">
        <v>0.9</v>
      </c>
      <c r="J482">
        <v>100</v>
      </c>
      <c r="K482">
        <v>385.88020077805692</v>
      </c>
      <c r="L482">
        <v>1</v>
      </c>
      <c r="M482">
        <v>100</v>
      </c>
    </row>
    <row r="483" spans="1:13">
      <c r="A483">
        <v>475</v>
      </c>
      <c r="B483">
        <v>171.86463845834467</v>
      </c>
      <c r="C483">
        <v>0.75</v>
      </c>
      <c r="D483">
        <v>120</v>
      </c>
      <c r="E483">
        <v>159.42995695146004</v>
      </c>
      <c r="F483">
        <v>0.85</v>
      </c>
      <c r="G483">
        <v>120</v>
      </c>
      <c r="H483">
        <v>173.21261619801774</v>
      </c>
      <c r="I483">
        <v>0.9</v>
      </c>
      <c r="J483">
        <v>100</v>
      </c>
      <c r="K483">
        <v>160.77793469113314</v>
      </c>
      <c r="L483">
        <v>1</v>
      </c>
      <c r="M483">
        <v>100</v>
      </c>
    </row>
    <row r="484" spans="1:13">
      <c r="A484">
        <v>476</v>
      </c>
      <c r="B484">
        <v>207.59984498980725</v>
      </c>
      <c r="C484">
        <v>0.75</v>
      </c>
      <c r="D484">
        <v>120</v>
      </c>
      <c r="E484">
        <v>194.10078387818436</v>
      </c>
      <c r="F484">
        <v>0.85</v>
      </c>
      <c r="G484">
        <v>120</v>
      </c>
      <c r="H484">
        <v>207.35125332237294</v>
      </c>
      <c r="I484">
        <v>0.9</v>
      </c>
      <c r="J484">
        <v>100</v>
      </c>
      <c r="K484">
        <v>193.85219221075005</v>
      </c>
      <c r="L484">
        <v>1</v>
      </c>
      <c r="M484">
        <v>100</v>
      </c>
    </row>
    <row r="485" spans="1:13">
      <c r="A485">
        <v>477</v>
      </c>
      <c r="B485">
        <v>184.48121860099127</v>
      </c>
      <c r="C485">
        <v>0.75</v>
      </c>
      <c r="D485">
        <v>120</v>
      </c>
      <c r="E485">
        <v>167.07793314973068</v>
      </c>
      <c r="F485">
        <v>0.85</v>
      </c>
      <c r="G485">
        <v>120</v>
      </c>
      <c r="H485">
        <v>178.37629042410038</v>
      </c>
      <c r="I485">
        <v>0.9</v>
      </c>
      <c r="J485">
        <v>100</v>
      </c>
      <c r="K485">
        <v>160.97300497283982</v>
      </c>
      <c r="L485">
        <v>1</v>
      </c>
      <c r="M485">
        <v>100</v>
      </c>
    </row>
    <row r="486" spans="1:13">
      <c r="A486">
        <v>478</v>
      </c>
      <c r="B486">
        <v>329.06450582577429</v>
      </c>
      <c r="C486">
        <v>0.75</v>
      </c>
      <c r="D486">
        <v>120</v>
      </c>
      <c r="E486">
        <v>311.07387101170633</v>
      </c>
      <c r="F486">
        <v>0.85</v>
      </c>
      <c r="G486">
        <v>120</v>
      </c>
      <c r="H486">
        <v>322.07855360467238</v>
      </c>
      <c r="I486">
        <v>0.9</v>
      </c>
      <c r="J486">
        <v>100</v>
      </c>
      <c r="K486">
        <v>304.08791879060448</v>
      </c>
      <c r="L486">
        <v>1</v>
      </c>
      <c r="M486">
        <v>100</v>
      </c>
    </row>
    <row r="487" spans="1:13">
      <c r="A487">
        <v>479</v>
      </c>
      <c r="B487">
        <v>188.97912514130149</v>
      </c>
      <c r="C487">
        <v>0.75</v>
      </c>
      <c r="D487">
        <v>120</v>
      </c>
      <c r="E487">
        <v>173.88477511186454</v>
      </c>
      <c r="F487">
        <v>0.85</v>
      </c>
      <c r="G487">
        <v>120</v>
      </c>
      <c r="H487">
        <v>186.33760009714604</v>
      </c>
      <c r="I487">
        <v>0.9</v>
      </c>
      <c r="J487">
        <v>100</v>
      </c>
      <c r="K487">
        <v>171.24325006770908</v>
      </c>
      <c r="L487">
        <v>1</v>
      </c>
      <c r="M487">
        <v>100</v>
      </c>
    </row>
    <row r="488" spans="1:13">
      <c r="A488">
        <v>480</v>
      </c>
      <c r="B488">
        <v>162.72877306202946</v>
      </c>
      <c r="C488">
        <v>0.75</v>
      </c>
      <c r="D488">
        <v>120</v>
      </c>
      <c r="E488">
        <v>151.35814884099798</v>
      </c>
      <c r="F488">
        <v>0.85</v>
      </c>
      <c r="G488">
        <v>120</v>
      </c>
      <c r="H488">
        <v>165.67283673048223</v>
      </c>
      <c r="I488">
        <v>0.9</v>
      </c>
      <c r="J488">
        <v>100</v>
      </c>
      <c r="K488">
        <v>154.30221250945073</v>
      </c>
      <c r="L488">
        <v>1</v>
      </c>
      <c r="M488">
        <v>100</v>
      </c>
    </row>
    <row r="489" spans="1:13">
      <c r="A489">
        <v>481</v>
      </c>
      <c r="B489">
        <v>149.06063809541379</v>
      </c>
      <c r="C489">
        <v>0.75</v>
      </c>
      <c r="D489">
        <v>120</v>
      </c>
      <c r="E489">
        <v>138.30438556952109</v>
      </c>
      <c r="F489">
        <v>0.85</v>
      </c>
      <c r="G489">
        <v>120</v>
      </c>
      <c r="H489">
        <v>152.92625930657474</v>
      </c>
      <c r="I489">
        <v>0.9</v>
      </c>
      <c r="J489">
        <v>100</v>
      </c>
      <c r="K489">
        <v>142.17000678068203</v>
      </c>
      <c r="L489">
        <v>1</v>
      </c>
      <c r="M489">
        <v>100</v>
      </c>
    </row>
    <row r="490" spans="1:13">
      <c r="A490">
        <v>482</v>
      </c>
      <c r="B490">
        <v>260.19405674491207</v>
      </c>
      <c r="C490">
        <v>0.75</v>
      </c>
      <c r="D490">
        <v>120</v>
      </c>
      <c r="E490">
        <v>244.27083260921924</v>
      </c>
      <c r="F490">
        <v>0.85</v>
      </c>
      <c r="G490">
        <v>120</v>
      </c>
      <c r="H490">
        <v>256.30922054137284</v>
      </c>
      <c r="I490">
        <v>0.9</v>
      </c>
      <c r="J490">
        <v>100</v>
      </c>
      <c r="K490">
        <v>240.38599640568</v>
      </c>
      <c r="L490">
        <v>1</v>
      </c>
      <c r="M490">
        <v>100</v>
      </c>
    </row>
    <row r="491" spans="1:13">
      <c r="A491">
        <v>483</v>
      </c>
      <c r="B491">
        <v>491.38948259059799</v>
      </c>
      <c r="C491">
        <v>0.75</v>
      </c>
      <c r="D491">
        <v>120</v>
      </c>
      <c r="E491">
        <v>471.8788672930138</v>
      </c>
      <c r="F491">
        <v>0.85</v>
      </c>
      <c r="G491">
        <v>120</v>
      </c>
      <c r="H491">
        <v>482.1235596442217</v>
      </c>
      <c r="I491">
        <v>0.9</v>
      </c>
      <c r="J491">
        <v>100</v>
      </c>
      <c r="K491">
        <v>462.61294434663751</v>
      </c>
      <c r="L491">
        <v>1</v>
      </c>
      <c r="M491">
        <v>100</v>
      </c>
    </row>
    <row r="492" spans="1:13">
      <c r="A492">
        <v>484</v>
      </c>
      <c r="B492">
        <v>184.63931659707464</v>
      </c>
      <c r="C492">
        <v>0.75</v>
      </c>
      <c r="D492">
        <v>120</v>
      </c>
      <c r="E492">
        <v>170.55096507786388</v>
      </c>
      <c r="F492">
        <v>0.85</v>
      </c>
      <c r="G492">
        <v>120</v>
      </c>
      <c r="H492">
        <v>183.50678931825848</v>
      </c>
      <c r="I492">
        <v>0.9</v>
      </c>
      <c r="J492">
        <v>100</v>
      </c>
      <c r="K492">
        <v>169.41843779904772</v>
      </c>
      <c r="L492">
        <v>1</v>
      </c>
      <c r="M492">
        <v>100</v>
      </c>
    </row>
    <row r="493" spans="1:13">
      <c r="A493">
        <v>485</v>
      </c>
      <c r="B493">
        <v>355.24012555587802</v>
      </c>
      <c r="C493">
        <v>0.75</v>
      </c>
      <c r="D493">
        <v>120</v>
      </c>
      <c r="E493">
        <v>336.14459989291703</v>
      </c>
      <c r="F493">
        <v>0.85</v>
      </c>
      <c r="G493">
        <v>120</v>
      </c>
      <c r="H493">
        <v>346.59683706143653</v>
      </c>
      <c r="I493">
        <v>0.9</v>
      </c>
      <c r="J493">
        <v>100</v>
      </c>
      <c r="K493">
        <v>327.50131139847554</v>
      </c>
      <c r="L493">
        <v>1</v>
      </c>
      <c r="M493">
        <v>100</v>
      </c>
    </row>
    <row r="494" spans="1:13">
      <c r="A494">
        <v>486</v>
      </c>
      <c r="B494">
        <v>351.19647693476946</v>
      </c>
      <c r="C494">
        <v>0.75</v>
      </c>
      <c r="D494">
        <v>120</v>
      </c>
      <c r="E494">
        <v>332.60592065141327</v>
      </c>
      <c r="F494">
        <v>0.85</v>
      </c>
      <c r="G494">
        <v>120</v>
      </c>
      <c r="H494">
        <v>343.3106425097352</v>
      </c>
      <c r="I494">
        <v>0.9</v>
      </c>
      <c r="J494">
        <v>100</v>
      </c>
      <c r="K494">
        <v>324.72008622637895</v>
      </c>
      <c r="L494">
        <v>1</v>
      </c>
      <c r="M494">
        <v>100</v>
      </c>
    </row>
    <row r="495" spans="1:13">
      <c r="A495">
        <v>487</v>
      </c>
      <c r="B495">
        <v>221.90178028356419</v>
      </c>
      <c r="C495">
        <v>0.75</v>
      </c>
      <c r="D495">
        <v>120</v>
      </c>
      <c r="E495">
        <v>204.74119235624053</v>
      </c>
      <c r="F495">
        <v>0.85</v>
      </c>
      <c r="G495">
        <v>120</v>
      </c>
      <c r="H495">
        <v>216.16089839257867</v>
      </c>
      <c r="I495">
        <v>0.9</v>
      </c>
      <c r="J495">
        <v>100</v>
      </c>
      <c r="K495">
        <v>199.00031046525501</v>
      </c>
      <c r="L495">
        <v>1</v>
      </c>
      <c r="M495">
        <v>100</v>
      </c>
    </row>
    <row r="496" spans="1:13">
      <c r="A496">
        <v>488</v>
      </c>
      <c r="B496">
        <v>215.52190602654198</v>
      </c>
      <c r="C496">
        <v>0.75</v>
      </c>
      <c r="D496">
        <v>120</v>
      </c>
      <c r="E496">
        <v>199.28507409886103</v>
      </c>
      <c r="F496">
        <v>0.85</v>
      </c>
      <c r="G496">
        <v>120</v>
      </c>
      <c r="H496">
        <v>211.16665813502055</v>
      </c>
      <c r="I496">
        <v>0.9</v>
      </c>
      <c r="J496">
        <v>100</v>
      </c>
      <c r="K496">
        <v>194.9298262073396</v>
      </c>
      <c r="L496">
        <v>1</v>
      </c>
      <c r="M496">
        <v>100</v>
      </c>
    </row>
    <row r="497" spans="1:13">
      <c r="A497">
        <v>489</v>
      </c>
      <c r="B497">
        <v>128.71208964903019</v>
      </c>
      <c r="C497">
        <v>0.75</v>
      </c>
      <c r="D497">
        <v>120</v>
      </c>
      <c r="E497">
        <v>113.02000428872691</v>
      </c>
      <c r="F497">
        <v>0.85</v>
      </c>
      <c r="G497">
        <v>120</v>
      </c>
      <c r="H497">
        <v>125.17396160857524</v>
      </c>
      <c r="I497">
        <v>0.9</v>
      </c>
      <c r="J497">
        <v>100</v>
      </c>
      <c r="K497">
        <v>109.48187624827196</v>
      </c>
      <c r="L497">
        <v>1</v>
      </c>
      <c r="M497">
        <v>100</v>
      </c>
    </row>
    <row r="498" spans="1:13">
      <c r="A498">
        <v>490</v>
      </c>
      <c r="B498">
        <v>227.94726829316835</v>
      </c>
      <c r="C498">
        <v>0.75</v>
      </c>
      <c r="D498">
        <v>120</v>
      </c>
      <c r="E498">
        <v>212.48763503378476</v>
      </c>
      <c r="F498">
        <v>0.85</v>
      </c>
      <c r="G498">
        <v>120</v>
      </c>
      <c r="H498">
        <v>224.75781840409297</v>
      </c>
      <c r="I498">
        <v>0.9</v>
      </c>
      <c r="J498">
        <v>100</v>
      </c>
      <c r="K498">
        <v>209.29818514470938</v>
      </c>
      <c r="L498">
        <v>1</v>
      </c>
      <c r="M498">
        <v>100</v>
      </c>
    </row>
    <row r="499" spans="1:13">
      <c r="A499">
        <v>491</v>
      </c>
      <c r="B499">
        <v>237.53381966980297</v>
      </c>
      <c r="C499">
        <v>0.75</v>
      </c>
      <c r="D499">
        <v>120</v>
      </c>
      <c r="E499">
        <v>221.98735178982471</v>
      </c>
      <c r="F499">
        <v>0.85</v>
      </c>
      <c r="G499">
        <v>120</v>
      </c>
      <c r="H499">
        <v>234.21411784983556</v>
      </c>
      <c r="I499">
        <v>0.9</v>
      </c>
      <c r="J499">
        <v>100</v>
      </c>
      <c r="K499">
        <v>218.66764996985731</v>
      </c>
      <c r="L499">
        <v>1</v>
      </c>
      <c r="M499">
        <v>100</v>
      </c>
    </row>
    <row r="500" spans="1:13">
      <c r="A500">
        <v>492</v>
      </c>
      <c r="B500">
        <v>240.1784882424966</v>
      </c>
      <c r="C500">
        <v>0.75</v>
      </c>
      <c r="D500">
        <v>120</v>
      </c>
      <c r="E500">
        <v>223.89814481560853</v>
      </c>
      <c r="F500">
        <v>0.85</v>
      </c>
      <c r="G500">
        <v>120</v>
      </c>
      <c r="H500">
        <v>235.75797310216447</v>
      </c>
      <c r="I500">
        <v>0.9</v>
      </c>
      <c r="J500">
        <v>100</v>
      </c>
      <c r="K500">
        <v>219.47762967527638</v>
      </c>
      <c r="L500">
        <v>1</v>
      </c>
      <c r="M500">
        <v>100</v>
      </c>
    </row>
    <row r="501" spans="1:13">
      <c r="A501">
        <v>493</v>
      </c>
      <c r="B501">
        <v>231.64863168565699</v>
      </c>
      <c r="C501">
        <v>0.75</v>
      </c>
      <c r="D501">
        <v>120</v>
      </c>
      <c r="E501">
        <v>216.29029839965591</v>
      </c>
      <c r="F501">
        <v>0.85</v>
      </c>
      <c r="G501">
        <v>120</v>
      </c>
      <c r="H501">
        <v>228.61113175665537</v>
      </c>
      <c r="I501">
        <v>0.9</v>
      </c>
      <c r="J501">
        <v>100</v>
      </c>
      <c r="K501">
        <v>213.25279847065428</v>
      </c>
      <c r="L501">
        <v>1</v>
      </c>
      <c r="M501">
        <v>100</v>
      </c>
    </row>
    <row r="502" spans="1:13">
      <c r="A502">
        <v>494</v>
      </c>
      <c r="B502">
        <v>146.7022509613368</v>
      </c>
      <c r="C502">
        <v>0.75</v>
      </c>
      <c r="D502">
        <v>120</v>
      </c>
      <c r="E502">
        <v>132.75063156516345</v>
      </c>
      <c r="F502">
        <v>0.85</v>
      </c>
      <c r="G502">
        <v>120</v>
      </c>
      <c r="H502">
        <v>145.77482186707675</v>
      </c>
      <c r="I502">
        <v>0.9</v>
      </c>
      <c r="J502">
        <v>100</v>
      </c>
      <c r="K502">
        <v>131.82320247090337</v>
      </c>
      <c r="L502">
        <v>1</v>
      </c>
      <c r="M502">
        <v>100</v>
      </c>
    </row>
    <row r="503" spans="1:13">
      <c r="A503">
        <v>495</v>
      </c>
      <c r="B503">
        <v>257.53254668892293</v>
      </c>
      <c r="C503">
        <v>0.75</v>
      </c>
      <c r="D503">
        <v>120</v>
      </c>
      <c r="E503">
        <v>241.49482411615949</v>
      </c>
      <c r="F503">
        <v>0.85</v>
      </c>
      <c r="G503">
        <v>120</v>
      </c>
      <c r="H503">
        <v>253.47596282977776</v>
      </c>
      <c r="I503">
        <v>0.9</v>
      </c>
      <c r="J503">
        <v>100</v>
      </c>
      <c r="K503">
        <v>237.43824025701429</v>
      </c>
      <c r="L503">
        <v>1</v>
      </c>
      <c r="M503">
        <v>100</v>
      </c>
    </row>
    <row r="504" spans="1:13">
      <c r="A504">
        <v>496</v>
      </c>
      <c r="B504">
        <v>210.46143895386376</v>
      </c>
      <c r="C504">
        <v>0.75</v>
      </c>
      <c r="D504">
        <v>120</v>
      </c>
      <c r="E504">
        <v>196.89155192082734</v>
      </c>
      <c r="F504">
        <v>0.85</v>
      </c>
      <c r="G504">
        <v>120</v>
      </c>
      <c r="H504">
        <v>210.10660840430913</v>
      </c>
      <c r="I504">
        <v>0.9</v>
      </c>
      <c r="J504">
        <v>100</v>
      </c>
      <c r="K504">
        <v>196.53672137127271</v>
      </c>
      <c r="L504">
        <v>1</v>
      </c>
      <c r="M504">
        <v>100</v>
      </c>
    </row>
    <row r="505" spans="1:13">
      <c r="A505">
        <v>497</v>
      </c>
      <c r="B505">
        <v>91.711452671309544</v>
      </c>
      <c r="C505">
        <v>0.75</v>
      </c>
      <c r="D505">
        <v>120</v>
      </c>
      <c r="E505">
        <v>78.06848272571537</v>
      </c>
      <c r="F505">
        <v>0.85</v>
      </c>
      <c r="G505">
        <v>120</v>
      </c>
      <c r="H505">
        <v>91.246997752918261</v>
      </c>
      <c r="I505">
        <v>0.9</v>
      </c>
      <c r="J505">
        <v>100</v>
      </c>
      <c r="K505">
        <v>77.604027807324087</v>
      </c>
      <c r="L505">
        <v>1</v>
      </c>
      <c r="M505">
        <v>100</v>
      </c>
    </row>
    <row r="506" spans="1:13">
      <c r="A506">
        <v>498</v>
      </c>
      <c r="B506">
        <v>240.06522630094676</v>
      </c>
      <c r="C506">
        <v>0.75</v>
      </c>
      <c r="D506">
        <v>120</v>
      </c>
      <c r="E506">
        <v>226.5275291954257</v>
      </c>
      <c r="F506">
        <v>0.85</v>
      </c>
      <c r="G506">
        <v>120</v>
      </c>
      <c r="H506">
        <v>239.75868064266518</v>
      </c>
      <c r="I506">
        <v>0.9</v>
      </c>
      <c r="J506">
        <v>100</v>
      </c>
      <c r="K506">
        <v>226.22098353714415</v>
      </c>
      <c r="L506">
        <v>1</v>
      </c>
      <c r="M506">
        <v>100</v>
      </c>
    </row>
    <row r="507" spans="1:13">
      <c r="A507">
        <v>499</v>
      </c>
      <c r="B507">
        <v>403.04531469570327</v>
      </c>
      <c r="C507">
        <v>0.75</v>
      </c>
      <c r="D507">
        <v>120</v>
      </c>
      <c r="E507">
        <v>384.97307281535745</v>
      </c>
      <c r="F507">
        <v>0.85</v>
      </c>
      <c r="G507">
        <v>120</v>
      </c>
      <c r="H507">
        <v>395.9369518751846</v>
      </c>
      <c r="I507">
        <v>0.9</v>
      </c>
      <c r="J507">
        <v>100</v>
      </c>
      <c r="K507">
        <v>377.86470999483879</v>
      </c>
      <c r="L507">
        <v>1</v>
      </c>
      <c r="M507">
        <v>100</v>
      </c>
    </row>
    <row r="508" spans="1:13">
      <c r="A508">
        <v>500</v>
      </c>
      <c r="B508">
        <v>111.92550655036354</v>
      </c>
      <c r="C508">
        <v>0.75</v>
      </c>
      <c r="D508">
        <v>120</v>
      </c>
      <c r="E508">
        <v>97.065205611329546</v>
      </c>
      <c r="F508">
        <v>0.85</v>
      </c>
      <c r="G508">
        <v>120</v>
      </c>
      <c r="H508">
        <v>109.63505514181253</v>
      </c>
      <c r="I508">
        <v>0.9</v>
      </c>
      <c r="J508">
        <v>100</v>
      </c>
      <c r="K508">
        <v>94.774754202778553</v>
      </c>
      <c r="L508">
        <v>1</v>
      </c>
      <c r="M508">
        <v>100</v>
      </c>
    </row>
    <row r="510" spans="1:13">
      <c r="A510" t="s">
        <v>41</v>
      </c>
    </row>
    <row r="511" spans="1:13">
      <c r="A511" t="s">
        <v>42</v>
      </c>
      <c r="B511" t="str">
        <f>IF(ISBLANK($B510)=TRUE,"",_xll.EDF(B9:B508,$B510))</f>
        <v/>
      </c>
      <c r="C511" t="str">
        <f>IF(ISBLANK($C510)=TRUE,"",_xll.EDF(C9:C508,$C510))</f>
        <v/>
      </c>
      <c r="D511" t="str">
        <f>IF(ISBLANK($D510)=TRUE,"",_xll.EDF(D9:D508,$D510))</f>
        <v/>
      </c>
      <c r="E511" t="str">
        <f>IF(ISBLANK($E510)=TRUE,"",_xll.EDF(E9:E508,$E510))</f>
        <v/>
      </c>
      <c r="F511" t="str">
        <f>IF(ISBLANK($F510)=TRUE,"",_xll.EDF(F9:F508,$F510))</f>
        <v/>
      </c>
      <c r="G511" t="str">
        <f>IF(ISBLANK($G510)=TRUE,"",_xll.EDF(G9:G508,$G510))</f>
        <v/>
      </c>
      <c r="H511" t="str">
        <f>IF(ISBLANK($H510)=TRUE,"",_xll.EDF(H9:H508,$H510))</f>
        <v/>
      </c>
      <c r="I511" t="str">
        <f>IF(ISBLANK($I510)=TRUE,"",_xll.EDF(I9:I508,$I510))</f>
        <v/>
      </c>
      <c r="J511" t="str">
        <f>IF(ISBLANK($J510)=TRUE,"",_xll.EDF(J9:J508,$J510))</f>
        <v/>
      </c>
      <c r="K511" t="str">
        <f>IF(ISBLANK($K510)=TRUE,"",_xll.EDF(K9:K508,$K510))</f>
        <v/>
      </c>
      <c r="L511" t="str">
        <f>IF(ISBLANK($L510)=TRUE,"",_xll.EDF(L9:L508,$L510))</f>
        <v/>
      </c>
      <c r="M511" t="str">
        <f>IF(ISBLANK($M510)=TRUE,"",_xll.EDF(M9:M508,$M510))</f>
        <v/>
      </c>
    </row>
    <row r="512" spans="1:13">
      <c r="A512" t="s">
        <v>43</v>
      </c>
    </row>
    <row r="513" spans="1:13">
      <c r="A513" t="s">
        <v>44</v>
      </c>
      <c r="B513" t="str">
        <f>IF(ISBLANK($B512)=TRUE,"",_xll.EDF(B9:B508,$B512))</f>
        <v/>
      </c>
      <c r="C513" t="str">
        <f>IF(ISBLANK($C512)=TRUE,"",_xll.EDF(C9:C508,$C512))</f>
        <v/>
      </c>
      <c r="D513" t="str">
        <f>IF(ISBLANK($D512)=TRUE,"",_xll.EDF(D9:D508,$D512))</f>
        <v/>
      </c>
      <c r="E513" t="str">
        <f>IF(ISBLANK($E512)=TRUE,"",_xll.EDF(E9:E508,$E512))</f>
        <v/>
      </c>
      <c r="F513" t="str">
        <f>IF(ISBLANK($F512)=TRUE,"",_xll.EDF(F9:F508,$F512))</f>
        <v/>
      </c>
      <c r="G513" t="str">
        <f>IF(ISBLANK($G512)=TRUE,"",_xll.EDF(G9:G508,$G512))</f>
        <v/>
      </c>
      <c r="H513" t="str">
        <f>IF(ISBLANK($H512)=TRUE,"",_xll.EDF(H9:H508,$H512))</f>
        <v/>
      </c>
      <c r="I513" t="str">
        <f>IF(ISBLANK($I512)=TRUE,"",_xll.EDF(I9:I508,$I512))</f>
        <v/>
      </c>
      <c r="J513" t="str">
        <f>IF(ISBLANK($J512)=TRUE,"",_xll.EDF(J9:J508,$J512))</f>
        <v/>
      </c>
      <c r="K513" t="str">
        <f>IF(ISBLANK($K512)=TRUE,"",_xll.EDF(K9:K508,$K512))</f>
        <v/>
      </c>
      <c r="L513" t="str">
        <f>IF(ISBLANK($L512)=TRUE,"",_xll.EDF(L9:L508,$L512))</f>
        <v/>
      </c>
      <c r="M513" t="str">
        <f>IF(ISBLANK($M512)=TRUE,"",_xll.EDF(M9:M508,$M512))</f>
        <v/>
      </c>
    </row>
    <row r="514" spans="1:13">
      <c r="A514" t="s">
        <v>45</v>
      </c>
    </row>
    <row r="515" spans="1:13">
      <c r="A515" t="s">
        <v>46</v>
      </c>
      <c r="B515" t="str">
        <f>IF(ISBLANK($B514)=TRUE,"",_xll.EDF(B9:B508,$B514))</f>
        <v/>
      </c>
      <c r="C515" t="str">
        <f>IF(ISBLANK($C514)=TRUE,"",_xll.EDF(C9:C508,$C514))</f>
        <v/>
      </c>
      <c r="D515" t="str">
        <f>IF(ISBLANK($D514)=TRUE,"",_xll.EDF(D9:D508,$D514))</f>
        <v/>
      </c>
      <c r="E515" t="str">
        <f>IF(ISBLANK($E514)=TRUE,"",_xll.EDF(E9:E508,$E514))</f>
        <v/>
      </c>
      <c r="F515" t="str">
        <f>IF(ISBLANK($F514)=TRUE,"",_xll.EDF(F9:F508,$F514))</f>
        <v/>
      </c>
      <c r="G515" t="str">
        <f>IF(ISBLANK($G514)=TRUE,"",_xll.EDF(G9:G508,$G514))</f>
        <v/>
      </c>
      <c r="H515" t="str">
        <f>IF(ISBLANK($H514)=TRUE,"",_xll.EDF(H9:H508,$H514))</f>
        <v/>
      </c>
      <c r="I515" t="str">
        <f>IF(ISBLANK($I514)=TRUE,"",_xll.EDF(I9:I508,$I514))</f>
        <v/>
      </c>
      <c r="J515" t="str">
        <f>IF(ISBLANK($J514)=TRUE,"",_xll.EDF(J9:J508,$J514))</f>
        <v/>
      </c>
      <c r="K515" t="str">
        <f>IF(ISBLANK($K514)=TRUE,"",_xll.EDF(K9:K508,$K514))</f>
        <v/>
      </c>
      <c r="L515" t="str">
        <f>IF(ISBLANK($L514)=TRUE,"",_xll.EDF(L9:L508,$L514))</f>
        <v/>
      </c>
      <c r="M515" t="str">
        <f>IF(ISBLANK($M514)=TRUE,"",_xll.EDF(M9:M508,$M514))</f>
        <v/>
      </c>
    </row>
    <row r="516" spans="1:13">
      <c r="A516" t="s">
        <v>47</v>
      </c>
    </row>
    <row r="517" spans="1:13">
      <c r="A517" t="s">
        <v>48</v>
      </c>
      <c r="B517" t="str">
        <f>IF(ISBLANK($B516)=TRUE,"",_xll.EDF(B9:B508,$B516))</f>
        <v/>
      </c>
      <c r="C517" t="str">
        <f>IF(ISBLANK($C516)=TRUE,"",_xll.EDF(C9:C508,$C516))</f>
        <v/>
      </c>
      <c r="D517" t="str">
        <f>IF(ISBLANK($D516)=TRUE,"",_xll.EDF(D9:D508,$D516))</f>
        <v/>
      </c>
      <c r="E517" t="str">
        <f>IF(ISBLANK($E516)=TRUE,"",_xll.EDF(E9:E508,$E516))</f>
        <v/>
      </c>
      <c r="F517" t="str">
        <f>IF(ISBLANK($F516)=TRUE,"",_xll.EDF(F9:F508,$F516))</f>
        <v/>
      </c>
      <c r="G517" t="str">
        <f>IF(ISBLANK($G516)=TRUE,"",_xll.EDF(G9:G508,$G516))</f>
        <v/>
      </c>
      <c r="H517" t="str">
        <f>IF(ISBLANK($H516)=TRUE,"",_xll.EDF(H9:H508,$H516))</f>
        <v/>
      </c>
      <c r="I517" t="str">
        <f>IF(ISBLANK($I516)=TRUE,"",_xll.EDF(I9:I508,$I516))</f>
        <v/>
      </c>
      <c r="J517" t="str">
        <f>IF(ISBLANK($J516)=TRUE,"",_xll.EDF(J9:J508,$J516))</f>
        <v/>
      </c>
      <c r="K517" t="str">
        <f>IF(ISBLANK($K516)=TRUE,"",_xll.EDF(K9:K508,$K516))</f>
        <v/>
      </c>
      <c r="L517" t="str">
        <f>IF(ISBLANK($L516)=TRUE,"",_xll.EDF(L9:L508,$L516))</f>
        <v/>
      </c>
      <c r="M517" t="str">
        <f>IF(ISBLANK($M516)=TRUE,"",_xll.EDF(M9:M508,$M516))</f>
        <v/>
      </c>
    </row>
    <row r="518" spans="1:13">
      <c r="A518" t="s">
        <v>49</v>
      </c>
    </row>
    <row r="519" spans="1:13">
      <c r="A519" t="s">
        <v>50</v>
      </c>
      <c r="B519" t="str">
        <f>IF(ISBLANK($B518)=TRUE,"",_xll.EDF(B9:B508,$B518))</f>
        <v/>
      </c>
      <c r="C519" t="str">
        <f>IF(ISBLANK($C518)=TRUE,"",_xll.EDF(C9:C508,$C518))</f>
        <v/>
      </c>
      <c r="D519" t="str">
        <f>IF(ISBLANK($D518)=TRUE,"",_xll.EDF(D9:D508,$D518))</f>
        <v/>
      </c>
      <c r="E519" t="str">
        <f>IF(ISBLANK($E518)=TRUE,"",_xll.EDF(E9:E508,$E518))</f>
        <v/>
      </c>
      <c r="F519" t="str">
        <f>IF(ISBLANK($F518)=TRUE,"",_xll.EDF(F9:F508,$F518))</f>
        <v/>
      </c>
      <c r="G519" t="str">
        <f>IF(ISBLANK($G518)=TRUE,"",_xll.EDF(G9:G508,$G518))</f>
        <v/>
      </c>
      <c r="H519" t="str">
        <f>IF(ISBLANK($H518)=TRUE,"",_xll.EDF(H9:H508,$H518))</f>
        <v/>
      </c>
      <c r="I519" t="str">
        <f>IF(ISBLANK($I518)=TRUE,"",_xll.EDF(I9:I508,$I518))</f>
        <v/>
      </c>
      <c r="J519" t="str">
        <f>IF(ISBLANK($J518)=TRUE,"",_xll.EDF(J9:J508,$J518))</f>
        <v/>
      </c>
      <c r="K519" t="str">
        <f>IF(ISBLANK($K518)=TRUE,"",_xll.EDF(K9:K508,$K518))</f>
        <v/>
      </c>
      <c r="L519" t="str">
        <f>IF(ISBLANK($L518)=TRUE,"",_xll.EDF(L9:L508,$L518))</f>
        <v/>
      </c>
      <c r="M519" t="str">
        <f>IF(ISBLANK($M518)=TRUE,"",_xll.EDF(M9:M508,$M518))</f>
        <v/>
      </c>
    </row>
  </sheetData>
  <sheetCalcPr fullCalcOnLoad="1"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>
      <selection activeCell="A3" sqref="A3"/>
    </sheetView>
  </sheetViews>
  <sheetFormatPr defaultColWidth="9" defaultRowHeight="12"/>
  <cols>
    <col min="1" max="1" width="12.28515625" style="8" customWidth="1"/>
    <col min="2" max="16384" width="9" style="8"/>
  </cols>
  <sheetData>
    <row r="1" spans="1:11">
      <c r="A1" s="7" t="str">
        <f ca="1">_xll.WBNAME()</f>
        <v>Scenario Analysis Demo.xlsx</v>
      </c>
    </row>
    <row r="2" spans="1:11">
      <c r="A2" s="8" t="s">
        <v>0</v>
      </c>
    </row>
    <row r="3" spans="1:11">
      <c r="A3" s="8" t="s">
        <v>53</v>
      </c>
    </row>
    <row r="4" spans="1:11">
      <c r="A4" s="8" t="s">
        <v>38</v>
      </c>
    </row>
    <row r="6" spans="1:11">
      <c r="A6" s="1"/>
      <c r="B6" s="1"/>
      <c r="C6" s="1"/>
      <c r="D6" s="1"/>
      <c r="E6" s="1"/>
      <c r="F6" s="1"/>
      <c r="G6" s="1"/>
      <c r="H6" s="1"/>
    </row>
    <row r="7" spans="1:11" ht="12.75" thickBot="1">
      <c r="A7" s="6" t="s">
        <v>1</v>
      </c>
      <c r="B7" s="1"/>
      <c r="C7" s="1"/>
      <c r="D7" s="1"/>
      <c r="E7" s="6" t="s">
        <v>27</v>
      </c>
      <c r="F7" s="1"/>
      <c r="G7" s="1"/>
      <c r="H7" s="1"/>
      <c r="J7" s="6" t="s">
        <v>21</v>
      </c>
      <c r="K7" s="1"/>
    </row>
    <row r="8" spans="1:11">
      <c r="A8" s="1" t="s">
        <v>2</v>
      </c>
      <c r="B8" s="1"/>
      <c r="C8" s="6">
        <f ca="1">_xll.SCENARIO(C32:C35)</f>
        <v>0.75</v>
      </c>
      <c r="D8" s="1"/>
      <c r="E8" s="6" t="str">
        <f ca="1">_xll.VFORMULA(C8)</f>
        <v>=SCENARIO(C32:C35)</v>
      </c>
      <c r="F8" s="1"/>
      <c r="G8" s="1"/>
      <c r="H8" s="1"/>
      <c r="J8" s="9" t="s">
        <v>14</v>
      </c>
      <c r="K8" s="10">
        <f ca="1">B20</f>
        <v>275.38659678953718</v>
      </c>
    </row>
    <row r="9" spans="1:11">
      <c r="A9" s="1" t="s">
        <v>3</v>
      </c>
      <c r="B9" s="1"/>
      <c r="C9" s="6">
        <f ca="1">_xll.SCENARIO(B32:B35)</f>
        <v>120</v>
      </c>
      <c r="D9" s="1"/>
      <c r="E9" s="6" t="str">
        <f ca="1">_xll.VFORMULA(C9)</f>
        <v>=SCENARIO(B32:B35)</v>
      </c>
      <c r="F9" s="1"/>
      <c r="G9" s="1"/>
      <c r="H9" s="1"/>
      <c r="J9" s="11" t="s">
        <v>32</v>
      </c>
      <c r="K9" s="12">
        <f ca="1">C8</f>
        <v>0.75</v>
      </c>
    </row>
    <row r="10" spans="1:11" ht="12.75" thickBot="1">
      <c r="A10" s="1"/>
      <c r="B10" s="1" t="s">
        <v>5</v>
      </c>
      <c r="C10" s="1" t="s">
        <v>6</v>
      </c>
      <c r="D10" s="1"/>
      <c r="E10" s="1"/>
      <c r="F10" s="1"/>
      <c r="G10" s="1"/>
      <c r="H10" s="1"/>
      <c r="J10" s="13" t="s">
        <v>33</v>
      </c>
      <c r="K10" s="14">
        <f ca="1">C9</f>
        <v>120</v>
      </c>
    </row>
    <row r="11" spans="1:11">
      <c r="A11" s="1" t="s">
        <v>4</v>
      </c>
      <c r="B11" s="6">
        <v>150</v>
      </c>
      <c r="C11" s="6">
        <v>25</v>
      </c>
      <c r="D11" s="1"/>
      <c r="E11" s="1"/>
      <c r="F11" s="1"/>
      <c r="G11" s="1"/>
      <c r="H11" s="1"/>
      <c r="J11" s="7" t="s">
        <v>34</v>
      </c>
    </row>
    <row r="12" spans="1:11">
      <c r="A12" s="1" t="s">
        <v>7</v>
      </c>
      <c r="B12" s="6">
        <v>3</v>
      </c>
      <c r="C12" s="6">
        <v>0.45</v>
      </c>
      <c r="D12" s="1"/>
      <c r="E12" s="1"/>
      <c r="F12" s="1"/>
      <c r="G12" s="1"/>
      <c r="H12" s="1"/>
    </row>
    <row r="13" spans="1:11">
      <c r="A13" s="1"/>
      <c r="B13" s="1"/>
      <c r="C13" s="1"/>
      <c r="D13" s="1"/>
      <c r="E13" s="1"/>
      <c r="F13" s="1"/>
      <c r="G13" s="1"/>
      <c r="H13" s="1"/>
    </row>
    <row r="14" spans="1:11">
      <c r="A14" s="1"/>
      <c r="B14" s="1"/>
      <c r="C14" s="1"/>
      <c r="D14" s="1"/>
      <c r="E14" s="1"/>
      <c r="F14" s="1"/>
      <c r="G14" s="1"/>
      <c r="H14" s="1"/>
    </row>
    <row r="15" spans="1:11">
      <c r="A15" s="6" t="s">
        <v>8</v>
      </c>
      <c r="B15" s="1"/>
      <c r="C15" s="1"/>
      <c r="D15" s="1"/>
      <c r="E15" s="6" t="s">
        <v>22</v>
      </c>
      <c r="F15" s="1"/>
      <c r="G15" s="1"/>
      <c r="H15" s="1"/>
    </row>
    <row r="16" spans="1:11">
      <c r="A16" s="1" t="s">
        <v>12</v>
      </c>
      <c r="B16" s="15">
        <f ca="1">B24</f>
        <v>140.38593516472804</v>
      </c>
      <c r="D16" s="1"/>
      <c r="E16" s="1"/>
      <c r="F16" s="1" t="str">
        <f ca="1">_xll.VFORMULA(B16)</f>
        <v>=B24</v>
      </c>
      <c r="G16" s="1"/>
      <c r="H16" s="1"/>
    </row>
    <row r="17" spans="1:8">
      <c r="A17" s="1" t="s">
        <v>2</v>
      </c>
      <c r="B17" s="15">
        <f ca="1">B16*C8</f>
        <v>105.28945137354603</v>
      </c>
      <c r="D17" s="1"/>
      <c r="E17" s="1"/>
      <c r="F17" s="1" t="str">
        <f ca="1">_xll.VFORMULA(B17)</f>
        <v>=B16*C8</v>
      </c>
      <c r="G17" s="1"/>
      <c r="H17" s="1"/>
    </row>
    <row r="18" spans="1:8">
      <c r="A18" s="1" t="s">
        <v>3</v>
      </c>
      <c r="B18" s="15">
        <f ca="1">C9</f>
        <v>120</v>
      </c>
      <c r="D18" s="1"/>
      <c r="E18" s="1"/>
      <c r="F18" s="1" t="str">
        <f ca="1">_xll.VFORMULA(B18)</f>
        <v>=C9</v>
      </c>
      <c r="G18" s="1"/>
      <c r="H18" s="1"/>
    </row>
    <row r="19" spans="1:8">
      <c r="A19" s="1" t="s">
        <v>13</v>
      </c>
      <c r="B19" s="15">
        <f ca="1">B25*B16</f>
        <v>500.67604816308324</v>
      </c>
      <c r="D19" s="1"/>
      <c r="E19" s="1"/>
      <c r="F19" s="1" t="str">
        <f ca="1">_xll.VFORMULA(B19)</f>
        <v>=B25*B16</v>
      </c>
      <c r="G19" s="1"/>
      <c r="H19" s="1"/>
    </row>
    <row r="20" spans="1:8">
      <c r="A20" s="1" t="s">
        <v>14</v>
      </c>
      <c r="B20" s="15">
        <f ca="1">B19-B18-B17</f>
        <v>275.38659678953718</v>
      </c>
      <c r="D20" s="1"/>
      <c r="E20" s="1"/>
      <c r="F20" s="1" t="str">
        <f ca="1">_xll.VFORMULA(B20)</f>
        <v>=B19-B18-B17</v>
      </c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6" t="s">
        <v>9</v>
      </c>
      <c r="B23" s="1"/>
      <c r="C23" s="1"/>
      <c r="D23" s="1"/>
      <c r="E23" s="6" t="s">
        <v>23</v>
      </c>
      <c r="F23" s="6"/>
      <c r="G23" s="6"/>
      <c r="H23" s="6"/>
    </row>
    <row r="24" spans="1:8">
      <c r="A24" s="1" t="s">
        <v>10</v>
      </c>
      <c r="B24" s="1">
        <f ca="1">_xll.NORM(B11,C11)</f>
        <v>140.38593516472804</v>
      </c>
      <c r="C24" s="1"/>
      <c r="D24" s="1"/>
      <c r="E24" s="1"/>
      <c r="F24" s="1" t="str">
        <f ca="1">_xll.VFORMULA(B24)</f>
        <v>=NORM(B11,C11)</v>
      </c>
      <c r="G24" s="1"/>
      <c r="H24" s="1"/>
    </row>
    <row r="25" spans="1:8">
      <c r="A25" s="1" t="s">
        <v>11</v>
      </c>
      <c r="B25" s="1">
        <f ca="1">_xll.NORM(B12,C12)</f>
        <v>3.5664259925724959</v>
      </c>
      <c r="C25" s="1"/>
      <c r="D25" s="1"/>
      <c r="E25" s="1"/>
      <c r="F25" s="1" t="str">
        <f ca="1">_xll.VFORMULA(B25)</f>
        <v>=NORM(B12,C12)</v>
      </c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9" spans="1:8" s="1" customFormat="1"/>
    <row r="30" spans="1:8" s="1" customFormat="1">
      <c r="A30" s="6" t="s">
        <v>39</v>
      </c>
    </row>
    <row r="31" spans="1:8" s="1" customFormat="1" ht="12.75" thickBot="1">
      <c r="A31" s="6" t="s">
        <v>26</v>
      </c>
      <c r="B31" s="6" t="s">
        <v>24</v>
      </c>
      <c r="C31" s="6" t="s">
        <v>25</v>
      </c>
    </row>
    <row r="32" spans="1:8" s="1" customFormat="1">
      <c r="A32" s="1">
        <v>1</v>
      </c>
      <c r="B32" s="16">
        <v>120</v>
      </c>
      <c r="C32" s="17">
        <v>0.75</v>
      </c>
    </row>
    <row r="33" spans="1:6" s="1" customFormat="1">
      <c r="A33" s="1">
        <v>2</v>
      </c>
      <c r="B33" s="18">
        <v>120</v>
      </c>
      <c r="C33" s="19">
        <v>0.85</v>
      </c>
      <c r="D33" s="20"/>
      <c r="E33" s="21"/>
      <c r="F33" s="21"/>
    </row>
    <row r="34" spans="1:6" s="1" customFormat="1">
      <c r="A34" s="1">
        <v>3</v>
      </c>
      <c r="B34" s="18">
        <v>100</v>
      </c>
      <c r="C34" s="19">
        <v>0.9</v>
      </c>
      <c r="D34" s="22"/>
      <c r="E34" s="22"/>
      <c r="F34" s="22"/>
    </row>
    <row r="35" spans="1:6" s="1" customFormat="1" ht="12.75" thickBot="1">
      <c r="A35" s="1">
        <v>4</v>
      </c>
      <c r="B35" s="4">
        <v>100</v>
      </c>
      <c r="C35" s="5">
        <v>1</v>
      </c>
    </row>
    <row r="36" spans="1:6" s="1" customFormat="1">
      <c r="B36" s="2"/>
      <c r="C36" s="3"/>
    </row>
    <row r="37" spans="1:6" s="1" customFormat="1">
      <c r="B37" s="2"/>
      <c r="C37" s="3"/>
    </row>
    <row r="38" spans="1:6" s="1" customFormat="1">
      <c r="B38" s="2"/>
      <c r="C38" s="3"/>
    </row>
    <row r="39" spans="1:6" s="1" customFormat="1">
      <c r="B39" s="2"/>
      <c r="C39" s="3"/>
    </row>
    <row r="40" spans="1:6" s="1" customFormat="1">
      <c r="B40" s="2"/>
      <c r="C40" s="3"/>
    </row>
    <row r="41" spans="1:6" s="1" customFormat="1">
      <c r="B41" s="2"/>
      <c r="C41" s="3"/>
    </row>
    <row r="42" spans="1:6" s="1" customFormat="1">
      <c r="B42" s="2"/>
      <c r="C42" s="3"/>
    </row>
    <row r="43" spans="1:6" s="1" customFormat="1">
      <c r="B43" s="2"/>
      <c r="C43" s="3"/>
    </row>
    <row r="44" spans="1:6" s="1" customFormat="1">
      <c r="B44" s="2"/>
      <c r="C44" s="3"/>
    </row>
    <row r="45" spans="1:6" s="1" customFormat="1">
      <c r="B45" s="2"/>
      <c r="C45" s="3"/>
    </row>
    <row r="46" spans="1:6" s="1" customFormat="1">
      <c r="B46" s="2"/>
      <c r="C46" s="3"/>
    </row>
    <row r="47" spans="1:6" s="1" customFormat="1">
      <c r="B47" s="2"/>
      <c r="C47" s="3"/>
    </row>
    <row r="48" spans="1:6" s="1" customFormat="1">
      <c r="B48" s="2"/>
      <c r="C48" s="3"/>
    </row>
    <row r="49" spans="1:13" s="1" customFormat="1">
      <c r="B49" s="2"/>
      <c r="C49" s="3"/>
    </row>
    <row r="50" spans="1:13" s="1" customFormat="1">
      <c r="B50" s="2"/>
      <c r="C50" s="3"/>
    </row>
    <row r="51" spans="1:13" s="1" customFormat="1">
      <c r="B51" s="2"/>
      <c r="C51" s="3"/>
    </row>
    <row r="52" spans="1:13" s="1" customFormat="1">
      <c r="B52" s="2"/>
      <c r="C52" s="3"/>
    </row>
    <row r="53" spans="1:13" s="1" customFormat="1">
      <c r="B53" s="2"/>
      <c r="C53" s="3"/>
    </row>
    <row r="54" spans="1:13" s="1" customFormat="1">
      <c r="B54" s="22"/>
      <c r="C54" s="22"/>
      <c r="D54" s="22"/>
      <c r="E54" s="22"/>
      <c r="F54" s="22"/>
    </row>
    <row r="55" spans="1:13" s="1" customFormat="1">
      <c r="A55" s="6" t="str">
        <f>SimData!A1</f>
        <v>Simetar Simulation Results for 4 Scenarios, 500 Iterations.  11:06:16 PM 12/21/2005 (4.14 sec.).  © 2005.</v>
      </c>
      <c r="B55" s="22"/>
      <c r="C55" s="22"/>
      <c r="D55" s="22"/>
      <c r="E55" s="22"/>
      <c r="F55" s="22"/>
      <c r="H55" s="6"/>
    </row>
    <row r="56" spans="1:13" s="1" customFormat="1" ht="12.75" thickBot="1">
      <c r="B56" s="1" t="s">
        <v>31</v>
      </c>
      <c r="C56" s="1" t="s">
        <v>32</v>
      </c>
      <c r="D56" s="1" t="s">
        <v>33</v>
      </c>
      <c r="E56" s="1" t="s">
        <v>31</v>
      </c>
      <c r="F56" s="1" t="s">
        <v>32</v>
      </c>
      <c r="G56" s="1" t="s">
        <v>33</v>
      </c>
      <c r="H56" s="1" t="s">
        <v>31</v>
      </c>
      <c r="I56" s="1" t="s">
        <v>32</v>
      </c>
      <c r="J56" s="1" t="s">
        <v>33</v>
      </c>
      <c r="K56" s="1" t="s">
        <v>31</v>
      </c>
      <c r="L56" s="1" t="s">
        <v>32</v>
      </c>
      <c r="M56" s="1" t="s">
        <v>33</v>
      </c>
    </row>
    <row r="57" spans="1:13" s="1" customFormat="1">
      <c r="A57" s="1" t="s">
        <v>5</v>
      </c>
      <c r="B57" s="23">
        <v>216.95120831488666</v>
      </c>
      <c r="C57" s="24">
        <v>0.75</v>
      </c>
      <c r="D57" s="25">
        <v>120</v>
      </c>
      <c r="E57" s="23">
        <v>201.95259869922776</v>
      </c>
      <c r="F57" s="24">
        <v>0.85000000000000664</v>
      </c>
      <c r="G57" s="26">
        <v>120</v>
      </c>
      <c r="H57" s="27">
        <v>214.45329389139823</v>
      </c>
      <c r="I57" s="24">
        <v>0.89999999999999247</v>
      </c>
      <c r="J57" s="26">
        <v>100</v>
      </c>
      <c r="K57" s="27">
        <v>199.45468427573925</v>
      </c>
      <c r="L57" s="24">
        <v>1</v>
      </c>
      <c r="M57" s="26">
        <v>100</v>
      </c>
    </row>
    <row r="58" spans="1:13" s="1" customFormat="1">
      <c r="A58" s="1" t="s">
        <v>16</v>
      </c>
      <c r="B58" s="28">
        <v>88.517914363703909</v>
      </c>
      <c r="C58" s="20">
        <v>0</v>
      </c>
      <c r="D58" s="29">
        <v>0</v>
      </c>
      <c r="E58" s="28">
        <v>87.012597412582423</v>
      </c>
      <c r="F58" s="20">
        <v>0</v>
      </c>
      <c r="G58" s="29">
        <v>0</v>
      </c>
      <c r="H58" s="28">
        <v>86.277255308863801</v>
      </c>
      <c r="I58" s="20">
        <v>1.2492521517545875E-7</v>
      </c>
      <c r="J58" s="29">
        <v>0</v>
      </c>
      <c r="K58" s="28">
        <v>84.842704689523842</v>
      </c>
      <c r="L58" s="20">
        <v>0</v>
      </c>
      <c r="M58" s="29">
        <v>0</v>
      </c>
    </row>
    <row r="59" spans="1:13" s="1" customFormat="1">
      <c r="A59" s="1" t="s">
        <v>17</v>
      </c>
      <c r="B59" s="28">
        <v>40.80083953034616</v>
      </c>
      <c r="C59" s="20">
        <v>0</v>
      </c>
      <c r="D59" s="29">
        <v>0</v>
      </c>
      <c r="E59" s="28">
        <v>43.831035071519679</v>
      </c>
      <c r="F59" s="20">
        <v>0</v>
      </c>
      <c r="G59" s="12">
        <v>0</v>
      </c>
      <c r="H59" s="30">
        <v>41.276080566302923</v>
      </c>
      <c r="I59" s="20">
        <v>0</v>
      </c>
      <c r="J59" s="12">
        <v>0</v>
      </c>
      <c r="K59" s="30">
        <v>44.379962639198254</v>
      </c>
      <c r="L59" s="20">
        <v>0</v>
      </c>
      <c r="M59" s="12">
        <v>0</v>
      </c>
    </row>
    <row r="60" spans="1:13" s="1" customFormat="1">
      <c r="A60" s="1" t="s">
        <v>18</v>
      </c>
      <c r="B60" s="28">
        <v>-17.515438439167497</v>
      </c>
      <c r="C60" s="20">
        <v>0.75</v>
      </c>
      <c r="D60" s="29">
        <v>120</v>
      </c>
      <c r="E60" s="28">
        <v>-32.280342585272024</v>
      </c>
      <c r="F60" s="20">
        <v>0.85</v>
      </c>
      <c r="G60" s="12">
        <v>120</v>
      </c>
      <c r="H60" s="30">
        <v>-19.662794658324287</v>
      </c>
      <c r="I60" s="20">
        <v>0.9</v>
      </c>
      <c r="J60" s="12">
        <v>100</v>
      </c>
      <c r="K60" s="30">
        <v>-34.427698804428815</v>
      </c>
      <c r="L60" s="20">
        <v>1</v>
      </c>
      <c r="M60" s="12">
        <v>100</v>
      </c>
    </row>
    <row r="61" spans="1:13" s="1" customFormat="1">
      <c r="A61" s="1" t="s">
        <v>19</v>
      </c>
      <c r="B61" s="28">
        <v>531.25563337532776</v>
      </c>
      <c r="C61" s="20">
        <v>0.75</v>
      </c>
      <c r="D61" s="29">
        <v>120</v>
      </c>
      <c r="E61" s="28">
        <v>510.71540092474288</v>
      </c>
      <c r="F61" s="20">
        <v>0.85</v>
      </c>
      <c r="G61" s="12">
        <v>120</v>
      </c>
      <c r="H61" s="30">
        <v>520.44528469945044</v>
      </c>
      <c r="I61" s="20">
        <v>0.9</v>
      </c>
      <c r="J61" s="12">
        <v>100</v>
      </c>
      <c r="K61" s="30">
        <v>499.90505224886556</v>
      </c>
      <c r="L61" s="20">
        <v>1</v>
      </c>
      <c r="M61" s="12">
        <v>100</v>
      </c>
    </row>
    <row r="62" spans="1:13" s="1" customFormat="1">
      <c r="A62" s="1" t="s">
        <v>20</v>
      </c>
      <c r="B62" s="31" t="s">
        <v>15</v>
      </c>
      <c r="C62" s="32"/>
      <c r="D62" s="33"/>
      <c r="E62" s="31" t="s">
        <v>28</v>
      </c>
      <c r="F62" s="32"/>
      <c r="G62" s="34"/>
      <c r="H62" s="35" t="s">
        <v>29</v>
      </c>
      <c r="I62" s="32"/>
      <c r="J62" s="34"/>
      <c r="K62" s="35" t="s">
        <v>30</v>
      </c>
      <c r="L62" s="20"/>
      <c r="M62" s="12"/>
    </row>
    <row r="63" spans="1:13" s="1" customFormat="1">
      <c r="A63" s="1">
        <v>1</v>
      </c>
      <c r="B63" s="28">
        <v>253.38436195547075</v>
      </c>
      <c r="C63" s="20">
        <v>0.75</v>
      </c>
      <c r="D63" s="29">
        <v>120</v>
      </c>
      <c r="E63" s="28">
        <v>238.4624847081821</v>
      </c>
      <c r="F63" s="20">
        <v>0.85</v>
      </c>
      <c r="G63" s="12">
        <v>120</v>
      </c>
      <c r="H63" s="30">
        <v>251.00154608453778</v>
      </c>
      <c r="I63" s="20">
        <v>0.9</v>
      </c>
      <c r="J63" s="12">
        <v>100</v>
      </c>
      <c r="K63" s="30">
        <v>236.07966883724913</v>
      </c>
      <c r="L63" s="20">
        <v>1</v>
      </c>
      <c r="M63" s="12">
        <v>100</v>
      </c>
    </row>
    <row r="64" spans="1:13" s="1" customFormat="1">
      <c r="A64" s="1">
        <v>2</v>
      </c>
      <c r="B64" s="28">
        <v>191.09420144610152</v>
      </c>
      <c r="C64" s="20">
        <v>0.75</v>
      </c>
      <c r="D64" s="29">
        <v>120</v>
      </c>
      <c r="E64" s="28">
        <v>175.41139261440361</v>
      </c>
      <c r="F64" s="20">
        <v>0.85</v>
      </c>
      <c r="G64" s="12">
        <v>120</v>
      </c>
      <c r="H64" s="30">
        <v>187.56998819855465</v>
      </c>
      <c r="I64" s="20">
        <v>0.9</v>
      </c>
      <c r="J64" s="12">
        <v>100</v>
      </c>
      <c r="K64" s="30">
        <v>171.88717936685674</v>
      </c>
      <c r="L64" s="20">
        <v>1</v>
      </c>
      <c r="M64" s="12">
        <v>100</v>
      </c>
    </row>
    <row r="65" spans="1:13" s="1" customFormat="1">
      <c r="A65" s="1">
        <v>3</v>
      </c>
      <c r="B65" s="28">
        <v>386.25938777789338</v>
      </c>
      <c r="C65" s="20">
        <v>0.75</v>
      </c>
      <c r="D65" s="29">
        <v>120</v>
      </c>
      <c r="E65" s="28">
        <v>369.12195585754739</v>
      </c>
      <c r="F65" s="20">
        <v>0.85</v>
      </c>
      <c r="G65" s="12">
        <v>120</v>
      </c>
      <c r="H65" s="30">
        <v>380.5532398973744</v>
      </c>
      <c r="I65" s="20">
        <v>0.9</v>
      </c>
      <c r="J65" s="12">
        <v>100</v>
      </c>
      <c r="K65" s="30">
        <v>363.41580797702841</v>
      </c>
      <c r="L65" s="20">
        <v>1</v>
      </c>
      <c r="M65" s="12">
        <v>100</v>
      </c>
    </row>
    <row r="66" spans="1:13" s="1" customFormat="1">
      <c r="A66" s="1">
        <v>4</v>
      </c>
      <c r="B66" s="28">
        <v>233.17026153702369</v>
      </c>
      <c r="C66" s="20">
        <v>0.75</v>
      </c>
      <c r="D66" s="29">
        <v>120</v>
      </c>
      <c r="E66" s="28">
        <v>219.92601832142878</v>
      </c>
      <c r="F66" s="20">
        <v>0.85</v>
      </c>
      <c r="G66" s="12">
        <v>120</v>
      </c>
      <c r="H66" s="30">
        <v>233.30389671363133</v>
      </c>
      <c r="I66" s="20">
        <v>0.9</v>
      </c>
      <c r="J66" s="12">
        <v>100</v>
      </c>
      <c r="K66" s="30">
        <v>220.05965349803643</v>
      </c>
      <c r="L66" s="20">
        <v>1</v>
      </c>
      <c r="M66" s="12">
        <v>100</v>
      </c>
    </row>
    <row r="67" spans="1:13" s="1" customFormat="1">
      <c r="A67" s="1">
        <v>5</v>
      </c>
      <c r="B67" s="28">
        <v>96.143529093905101</v>
      </c>
      <c r="C67" s="20">
        <v>0.75</v>
      </c>
      <c r="D67" s="29">
        <v>120</v>
      </c>
      <c r="E67" s="28">
        <v>87.658057743764232</v>
      </c>
      <c r="F67" s="20">
        <v>0.85</v>
      </c>
      <c r="G67" s="12">
        <v>120</v>
      </c>
      <c r="H67" s="30">
        <v>103.4153220686938</v>
      </c>
      <c r="I67" s="20">
        <v>0.9</v>
      </c>
      <c r="J67" s="12">
        <v>100</v>
      </c>
      <c r="K67" s="30">
        <v>94.929850718552927</v>
      </c>
      <c r="L67" s="20">
        <v>1</v>
      </c>
      <c r="M67" s="12">
        <v>100</v>
      </c>
    </row>
    <row r="68" spans="1:13" s="1" customFormat="1">
      <c r="A68" s="1">
        <v>6</v>
      </c>
      <c r="B68" s="28">
        <v>290.1498031862435</v>
      </c>
      <c r="C68" s="20">
        <v>0.75</v>
      </c>
      <c r="D68" s="29">
        <v>120</v>
      </c>
      <c r="E68" s="28">
        <v>273.83390646132523</v>
      </c>
      <c r="F68" s="20">
        <v>0.85</v>
      </c>
      <c r="G68" s="12">
        <v>120</v>
      </c>
      <c r="H68" s="30">
        <v>285.67595809886609</v>
      </c>
      <c r="I68" s="20">
        <v>0.9</v>
      </c>
      <c r="J68" s="12">
        <v>100</v>
      </c>
      <c r="K68" s="30">
        <v>269.36006137394781</v>
      </c>
      <c r="L68" s="20">
        <v>1</v>
      </c>
      <c r="M68" s="12">
        <v>100</v>
      </c>
    </row>
    <row r="69" spans="1:13" s="1" customFormat="1" ht="12.75" thickBot="1">
      <c r="A69" s="1">
        <v>7</v>
      </c>
      <c r="B69" s="36">
        <v>195.20710832240547</v>
      </c>
      <c r="C69" s="37">
        <v>0.75</v>
      </c>
      <c r="D69" s="38">
        <v>120</v>
      </c>
      <c r="E69" s="36">
        <v>179.11813905209237</v>
      </c>
      <c r="F69" s="37">
        <v>0.85</v>
      </c>
      <c r="G69" s="14">
        <v>120</v>
      </c>
      <c r="H69" s="39">
        <v>191.07365441693582</v>
      </c>
      <c r="I69" s="37">
        <v>0.9</v>
      </c>
      <c r="J69" s="14">
        <v>100</v>
      </c>
      <c r="K69" s="39">
        <v>174.98468514662272</v>
      </c>
      <c r="L69" s="37">
        <v>1</v>
      </c>
      <c r="M69" s="14">
        <v>100</v>
      </c>
    </row>
    <row r="70" spans="1:13" s="1" customFormat="1">
      <c r="B70" s="22"/>
      <c r="C70" s="22"/>
      <c r="D70" s="22"/>
      <c r="E70" s="22"/>
      <c r="F70" s="22"/>
    </row>
    <row r="71" spans="1:13" s="1" customFormat="1">
      <c r="B71" s="22"/>
      <c r="C71" s="22"/>
      <c r="D71" s="22"/>
      <c r="E71" s="22"/>
      <c r="F71" s="22"/>
    </row>
    <row r="72" spans="1:13" s="1" customFormat="1">
      <c r="A72" s="1" t="s">
        <v>35</v>
      </c>
      <c r="B72" s="22"/>
      <c r="C72" s="22"/>
      <c r="D72" s="22"/>
      <c r="E72" s="22"/>
      <c r="F72" s="22"/>
    </row>
    <row r="73" spans="1:13" s="1" customFormat="1">
      <c r="A73" s="1" t="s">
        <v>36</v>
      </c>
      <c r="B73" s="22"/>
      <c r="C73" s="22"/>
      <c r="D73" s="22"/>
      <c r="E73" s="22"/>
      <c r="F73" s="22"/>
    </row>
    <row r="74" spans="1:13" s="1" customFormat="1">
      <c r="A74" s="1" t="s">
        <v>37</v>
      </c>
      <c r="B74" s="22"/>
      <c r="C74" s="22"/>
      <c r="D74" s="22"/>
      <c r="E74" s="22"/>
      <c r="F74" s="22"/>
    </row>
    <row r="75" spans="1:13" s="1" customFormat="1">
      <c r="B75" s="22"/>
      <c r="C75" s="22"/>
      <c r="D75" s="22"/>
      <c r="E75" s="22"/>
      <c r="F75" s="22"/>
    </row>
    <row r="76" spans="1:13" s="1" customFormat="1">
      <c r="B76" s="22"/>
      <c r="C76" s="22"/>
      <c r="D76" s="22"/>
      <c r="E76" s="22"/>
      <c r="F76" s="22"/>
    </row>
    <row r="77" spans="1:13" s="1" customFormat="1">
      <c r="B77" s="22"/>
      <c r="C77" s="22"/>
      <c r="D77" s="22"/>
      <c r="E77" s="22"/>
      <c r="F77" s="22"/>
    </row>
    <row r="78" spans="1:13" s="1" customFormat="1">
      <c r="B78" s="22"/>
      <c r="C78" s="22"/>
      <c r="D78" s="22"/>
      <c r="E78" s="22"/>
      <c r="F78" s="22"/>
    </row>
    <row r="79" spans="1:13" s="1" customFormat="1">
      <c r="B79" s="22"/>
      <c r="C79" s="22"/>
      <c r="D79" s="22"/>
      <c r="E79" s="22"/>
      <c r="F79" s="22"/>
    </row>
    <row r="80" spans="1:13" s="1" customFormat="1"/>
    <row r="81" s="1" customFormat="1"/>
    <row r="82" s="1" customFormat="1"/>
  </sheetData>
  <phoneticPr fontId="0" type="noConversion"/>
  <printOptions headings="1"/>
  <pageMargins left="0.75" right="0.75" top="0.5" bottom="0.77" header="0.5" footer="0.5"/>
  <pageSetup scale="81" orientation="portrait" horizontalDpi="4294967292" r:id="rId1"/>
  <headerFooter alignWithMargins="0">
    <oddFooter>demoscenario.xls&amp;RPage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SimData</vt:lpstr>
      <vt:lpstr>Model</vt:lpstr>
      <vt:lpstr>Model!Print_Area</vt:lpstr>
    </vt:vector>
  </TitlesOfParts>
  <Company>TAMU --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AFPC TAMU System</dc:creator>
  <cp:lastModifiedBy>James W. Richardson</cp:lastModifiedBy>
  <cp:lastPrinted>2002-11-23T03:22:27Z</cp:lastPrinted>
  <dcterms:created xsi:type="dcterms:W3CDTF">2000-06-08T18:29:47Z</dcterms:created>
  <dcterms:modified xsi:type="dcterms:W3CDTF">2011-02-07T04:48:35Z</dcterms:modified>
</cp:coreProperties>
</file>