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90" yWindow="-30" windowWidth="12135" windowHeight="4515" activeTab="1"/>
  </bookViews>
  <sheets>
    <sheet name="SimData" sheetId="2" r:id="rId1"/>
    <sheet name="Budget" sheetId="1" r:id="rId2"/>
  </sheets>
  <definedNames>
    <definedName name="OLE_LINK15" localSheetId="1">Budget!$I$2</definedName>
  </definedNames>
  <calcPr calcId="125725"/>
</workbook>
</file>

<file path=xl/calcChain.xml><?xml version="1.0" encoding="utf-8"?>
<calcChain xmlns="http://schemas.openxmlformats.org/spreadsheetml/2006/main">
  <c r="M31" i="2"/>
  <c r="L31"/>
  <c r="K31"/>
  <c r="J31"/>
  <c r="I35"/>
  <c r="I34"/>
  <c r="I33"/>
  <c r="I32"/>
  <c r="E519"/>
  <c r="E517"/>
  <c r="E515"/>
  <c r="E513"/>
  <c r="E511"/>
  <c r="E8"/>
  <c r="AG1" s="1"/>
  <c r="E7"/>
  <c r="E6"/>
  <c r="E4"/>
  <c r="E3"/>
  <c r="E5"/>
  <c r="D519"/>
  <c r="D517"/>
  <c r="D515"/>
  <c r="D513"/>
  <c r="D511"/>
  <c r="D8"/>
  <c r="L30" s="1"/>
  <c r="D7"/>
  <c r="D6"/>
  <c r="D4"/>
  <c r="D3"/>
  <c r="D5" s="1"/>
  <c r="C519"/>
  <c r="C517"/>
  <c r="C515"/>
  <c r="C513"/>
  <c r="C511"/>
  <c r="C8"/>
  <c r="AE1" s="1"/>
  <c r="C7"/>
  <c r="C6"/>
  <c r="C4"/>
  <c r="C3"/>
  <c r="C5" s="1"/>
  <c r="B519"/>
  <c r="B517"/>
  <c r="B515"/>
  <c r="B513"/>
  <c r="B511"/>
  <c r="B8"/>
  <c r="B7"/>
  <c r="B6"/>
  <c r="B4"/>
  <c r="B3"/>
  <c r="B5" s="1"/>
  <c r="AG2"/>
  <c r="AF2"/>
  <c r="AE2"/>
  <c r="AD2"/>
  <c r="AC6"/>
  <c r="AC5"/>
  <c r="AC4"/>
  <c r="AC3"/>
  <c r="X3"/>
  <c r="X4" s="1"/>
  <c r="X5" s="1"/>
  <c r="X6" s="1"/>
  <c r="X7" s="1"/>
  <c r="X8" s="1"/>
  <c r="X9" s="1"/>
  <c r="X10" s="1"/>
  <c r="X11" s="1"/>
  <c r="X12" s="1"/>
  <c r="X13" s="1"/>
  <c r="X14" s="1"/>
  <c r="X15" s="1"/>
  <c r="X16" s="1"/>
  <c r="X17" s="1"/>
  <c r="X18" s="1"/>
  <c r="X19" s="1"/>
  <c r="X20" s="1"/>
  <c r="X21" s="1"/>
  <c r="X22" s="1"/>
  <c r="X23" s="1"/>
  <c r="X24" s="1"/>
  <c r="X25" s="1"/>
  <c r="X26" s="1"/>
  <c r="X27" s="1"/>
  <c r="X28" s="1"/>
  <c r="X29" s="1"/>
  <c r="X30" s="1"/>
  <c r="X31" s="1"/>
  <c r="X32" s="1"/>
  <c r="X33" s="1"/>
  <c r="X34" s="1"/>
  <c r="X35" s="1"/>
  <c r="X36" s="1"/>
  <c r="X37" s="1"/>
  <c r="X38" s="1"/>
  <c r="X39" s="1"/>
  <c r="X40" s="1"/>
  <c r="X41" s="1"/>
  <c r="X42" s="1"/>
  <c r="X43" s="1"/>
  <c r="X44" s="1"/>
  <c r="X45" s="1"/>
  <c r="X46" s="1"/>
  <c r="X47" s="1"/>
  <c r="X48" s="1"/>
  <c r="X49" s="1"/>
  <c r="X50" s="1"/>
  <c r="X51" s="1"/>
  <c r="X52" s="1"/>
  <c r="X53" s="1"/>
  <c r="X54" s="1"/>
  <c r="X55" s="1"/>
  <c r="X56" s="1"/>
  <c r="X57" s="1"/>
  <c r="X58" s="1"/>
  <c r="X59" s="1"/>
  <c r="X60" s="1"/>
  <c r="X61" s="1"/>
  <c r="X62" s="1"/>
  <c r="X63" s="1"/>
  <c r="X64" s="1"/>
  <c r="X65" s="1"/>
  <c r="X66" s="1"/>
  <c r="X67" s="1"/>
  <c r="X68" s="1"/>
  <c r="X69" s="1"/>
  <c r="X70" s="1"/>
  <c r="X71" s="1"/>
  <c r="X72" s="1"/>
  <c r="X73" s="1"/>
  <c r="X74" s="1"/>
  <c r="X75" s="1"/>
  <c r="X76" s="1"/>
  <c r="X77" s="1"/>
  <c r="X78" s="1"/>
  <c r="X79" s="1"/>
  <c r="X80" s="1"/>
  <c r="X81" s="1"/>
  <c r="X82" s="1"/>
  <c r="X83" s="1"/>
  <c r="X84" s="1"/>
  <c r="X85" s="1"/>
  <c r="X86" s="1"/>
  <c r="X87" s="1"/>
  <c r="X88" s="1"/>
  <c r="X89" s="1"/>
  <c r="X90" s="1"/>
  <c r="X91" s="1"/>
  <c r="X92" s="1"/>
  <c r="X93" s="1"/>
  <c r="X94" s="1"/>
  <c r="X95" s="1"/>
  <c r="X96" s="1"/>
  <c r="X97" s="1"/>
  <c r="X98" s="1"/>
  <c r="X99" s="1"/>
  <c r="X100" s="1"/>
  <c r="X101" s="1"/>
  <c r="X102" s="1"/>
  <c r="X103" s="1"/>
  <c r="X104" s="1"/>
  <c r="X105" s="1"/>
  <c r="X106" s="1"/>
  <c r="X107" s="1"/>
  <c r="X108" s="1"/>
  <c r="X109" s="1"/>
  <c r="X110" s="1"/>
  <c r="X111" s="1"/>
  <c r="X112" s="1"/>
  <c r="X113" s="1"/>
  <c r="X114" s="1"/>
  <c r="X115" s="1"/>
  <c r="X116" s="1"/>
  <c r="X117" s="1"/>
  <c r="X118" s="1"/>
  <c r="X119" s="1"/>
  <c r="X120" s="1"/>
  <c r="X121" s="1"/>
  <c r="X122" s="1"/>
  <c r="X123" s="1"/>
  <c r="X124" s="1"/>
  <c r="X125" s="1"/>
  <c r="X126" s="1"/>
  <c r="X127" s="1"/>
  <c r="X128" s="1"/>
  <c r="X129" s="1"/>
  <c r="X130" s="1"/>
  <c r="X131" s="1"/>
  <c r="X132" s="1"/>
  <c r="X133" s="1"/>
  <c r="X134" s="1"/>
  <c r="X135" s="1"/>
  <c r="X136" s="1"/>
  <c r="X137" s="1"/>
  <c r="X138" s="1"/>
  <c r="X139" s="1"/>
  <c r="X140" s="1"/>
  <c r="X141" s="1"/>
  <c r="X142" s="1"/>
  <c r="X143" s="1"/>
  <c r="X144" s="1"/>
  <c r="X145" s="1"/>
  <c r="X146" s="1"/>
  <c r="X147" s="1"/>
  <c r="X148" s="1"/>
  <c r="X149" s="1"/>
  <c r="X150" s="1"/>
  <c r="X151" s="1"/>
  <c r="X152" s="1"/>
  <c r="X153" s="1"/>
  <c r="X154" s="1"/>
  <c r="X155" s="1"/>
  <c r="X156" s="1"/>
  <c r="X157" s="1"/>
  <c r="X158" s="1"/>
  <c r="X159" s="1"/>
  <c r="X160" s="1"/>
  <c r="X161" s="1"/>
  <c r="X162" s="1"/>
  <c r="X163" s="1"/>
  <c r="X164" s="1"/>
  <c r="X165" s="1"/>
  <c r="X166" s="1"/>
  <c r="X167" s="1"/>
  <c r="X168" s="1"/>
  <c r="X169" s="1"/>
  <c r="X170" s="1"/>
  <c r="X171" s="1"/>
  <c r="X172" s="1"/>
  <c r="X173" s="1"/>
  <c r="X174" s="1"/>
  <c r="X175" s="1"/>
  <c r="X176" s="1"/>
  <c r="X177" s="1"/>
  <c r="X178" s="1"/>
  <c r="X179" s="1"/>
  <c r="X180" s="1"/>
  <c r="X181" s="1"/>
  <c r="X182" s="1"/>
  <c r="X183" s="1"/>
  <c r="X184" s="1"/>
  <c r="X185" s="1"/>
  <c r="X186" s="1"/>
  <c r="X187" s="1"/>
  <c r="X188" s="1"/>
  <c r="X189" s="1"/>
  <c r="X190" s="1"/>
  <c r="X191" s="1"/>
  <c r="X192" s="1"/>
  <c r="X193" s="1"/>
  <c r="X194" s="1"/>
  <c r="X195" s="1"/>
  <c r="X196" s="1"/>
  <c r="X197" s="1"/>
  <c r="X198" s="1"/>
  <c r="X199" s="1"/>
  <c r="X200" s="1"/>
  <c r="X201" s="1"/>
  <c r="X202" s="1"/>
  <c r="X203" s="1"/>
  <c r="X204" s="1"/>
  <c r="X205" s="1"/>
  <c r="X206" s="1"/>
  <c r="X207" s="1"/>
  <c r="X208" s="1"/>
  <c r="X209" s="1"/>
  <c r="X210" s="1"/>
  <c r="X211" s="1"/>
  <c r="X212" s="1"/>
  <c r="X213" s="1"/>
  <c r="X214" s="1"/>
  <c r="X215" s="1"/>
  <c r="X216" s="1"/>
  <c r="X217" s="1"/>
  <c r="X218" s="1"/>
  <c r="X219" s="1"/>
  <c r="X220" s="1"/>
  <c r="X221" s="1"/>
  <c r="X222" s="1"/>
  <c r="X223" s="1"/>
  <c r="X224" s="1"/>
  <c r="X225" s="1"/>
  <c r="X226" s="1"/>
  <c r="X227" s="1"/>
  <c r="X228" s="1"/>
  <c r="X229" s="1"/>
  <c r="X230" s="1"/>
  <c r="X231" s="1"/>
  <c r="X232" s="1"/>
  <c r="X233" s="1"/>
  <c r="X234" s="1"/>
  <c r="X235" s="1"/>
  <c r="X236" s="1"/>
  <c r="X237" s="1"/>
  <c r="X238" s="1"/>
  <c r="X239" s="1"/>
  <c r="X240" s="1"/>
  <c r="X241" s="1"/>
  <c r="X242" s="1"/>
  <c r="X243" s="1"/>
  <c r="X244" s="1"/>
  <c r="X245" s="1"/>
  <c r="X246" s="1"/>
  <c r="X247" s="1"/>
  <c r="X248" s="1"/>
  <c r="X249" s="1"/>
  <c r="X250" s="1"/>
  <c r="X251" s="1"/>
  <c r="X252" s="1"/>
  <c r="X253" s="1"/>
  <c r="X254" s="1"/>
  <c r="X255" s="1"/>
  <c r="X256" s="1"/>
  <c r="X257" s="1"/>
  <c r="X258" s="1"/>
  <c r="X259" s="1"/>
  <c r="X260" s="1"/>
  <c r="X261" s="1"/>
  <c r="X262" s="1"/>
  <c r="X263" s="1"/>
  <c r="X264" s="1"/>
  <c r="X265" s="1"/>
  <c r="X266" s="1"/>
  <c r="X267" s="1"/>
  <c r="X268" s="1"/>
  <c r="X269" s="1"/>
  <c r="X270" s="1"/>
  <c r="X271" s="1"/>
  <c r="X272" s="1"/>
  <c r="X273" s="1"/>
  <c r="X274" s="1"/>
  <c r="X275" s="1"/>
  <c r="X276" s="1"/>
  <c r="X277" s="1"/>
  <c r="X278" s="1"/>
  <c r="X279" s="1"/>
  <c r="X280" s="1"/>
  <c r="X281" s="1"/>
  <c r="X282" s="1"/>
  <c r="X283" s="1"/>
  <c r="X284" s="1"/>
  <c r="X285" s="1"/>
  <c r="X286" s="1"/>
  <c r="X287" s="1"/>
  <c r="X288" s="1"/>
  <c r="X289" s="1"/>
  <c r="X290" s="1"/>
  <c r="X291" s="1"/>
  <c r="X292" s="1"/>
  <c r="X293" s="1"/>
  <c r="X294" s="1"/>
  <c r="X295" s="1"/>
  <c r="X296" s="1"/>
  <c r="X297" s="1"/>
  <c r="X298" s="1"/>
  <c r="X299" s="1"/>
  <c r="X300" s="1"/>
  <c r="X301" s="1"/>
  <c r="X302" s="1"/>
  <c r="X303" s="1"/>
  <c r="X304" s="1"/>
  <c r="X305" s="1"/>
  <c r="X306" s="1"/>
  <c r="X307" s="1"/>
  <c r="X308" s="1"/>
  <c r="X309" s="1"/>
  <c r="X310" s="1"/>
  <c r="X311" s="1"/>
  <c r="X312" s="1"/>
  <c r="X313" s="1"/>
  <c r="X314" s="1"/>
  <c r="X315" s="1"/>
  <c r="X316" s="1"/>
  <c r="X317" s="1"/>
  <c r="X318" s="1"/>
  <c r="X319" s="1"/>
  <c r="X320" s="1"/>
  <c r="X321" s="1"/>
  <c r="X322" s="1"/>
  <c r="X323" s="1"/>
  <c r="X324" s="1"/>
  <c r="X325" s="1"/>
  <c r="X326" s="1"/>
  <c r="X327" s="1"/>
  <c r="X328" s="1"/>
  <c r="X329" s="1"/>
  <c r="X330" s="1"/>
  <c r="X331" s="1"/>
  <c r="X332" s="1"/>
  <c r="X333" s="1"/>
  <c r="X334" s="1"/>
  <c r="X335" s="1"/>
  <c r="X336" s="1"/>
  <c r="X337" s="1"/>
  <c r="X338" s="1"/>
  <c r="X339" s="1"/>
  <c r="X340" s="1"/>
  <c r="X341" s="1"/>
  <c r="X342" s="1"/>
  <c r="X343" s="1"/>
  <c r="X344" s="1"/>
  <c r="X345" s="1"/>
  <c r="X346" s="1"/>
  <c r="X347" s="1"/>
  <c r="X348" s="1"/>
  <c r="X349" s="1"/>
  <c r="X350" s="1"/>
  <c r="X351" s="1"/>
  <c r="X352" s="1"/>
  <c r="X353" s="1"/>
  <c r="X354" s="1"/>
  <c r="X355" s="1"/>
  <c r="X356" s="1"/>
  <c r="X357" s="1"/>
  <c r="X358" s="1"/>
  <c r="X359" s="1"/>
  <c r="X360" s="1"/>
  <c r="X361" s="1"/>
  <c r="X362" s="1"/>
  <c r="X363" s="1"/>
  <c r="X364" s="1"/>
  <c r="X365" s="1"/>
  <c r="X366" s="1"/>
  <c r="X367" s="1"/>
  <c r="X368" s="1"/>
  <c r="X369" s="1"/>
  <c r="X370" s="1"/>
  <c r="X371" s="1"/>
  <c r="X372" s="1"/>
  <c r="X373" s="1"/>
  <c r="X374" s="1"/>
  <c r="X375" s="1"/>
  <c r="X376" s="1"/>
  <c r="X377" s="1"/>
  <c r="X378" s="1"/>
  <c r="X379" s="1"/>
  <c r="X380" s="1"/>
  <c r="X381" s="1"/>
  <c r="X382" s="1"/>
  <c r="X383" s="1"/>
  <c r="X384" s="1"/>
  <c r="X385" s="1"/>
  <c r="X386" s="1"/>
  <c r="X387" s="1"/>
  <c r="X388" s="1"/>
  <c r="X389" s="1"/>
  <c r="X390" s="1"/>
  <c r="X391" s="1"/>
  <c r="X392" s="1"/>
  <c r="X393" s="1"/>
  <c r="X394" s="1"/>
  <c r="X395" s="1"/>
  <c r="X396" s="1"/>
  <c r="X397" s="1"/>
  <c r="X398" s="1"/>
  <c r="X399" s="1"/>
  <c r="X400" s="1"/>
  <c r="X401" s="1"/>
  <c r="X402" s="1"/>
  <c r="X403" s="1"/>
  <c r="X404" s="1"/>
  <c r="X405" s="1"/>
  <c r="X406" s="1"/>
  <c r="X407" s="1"/>
  <c r="X408" s="1"/>
  <c r="X409" s="1"/>
  <c r="X410" s="1"/>
  <c r="X411" s="1"/>
  <c r="X412" s="1"/>
  <c r="X413" s="1"/>
  <c r="X414" s="1"/>
  <c r="X415" s="1"/>
  <c r="X416" s="1"/>
  <c r="X417" s="1"/>
  <c r="X418" s="1"/>
  <c r="X419" s="1"/>
  <c r="X420" s="1"/>
  <c r="X421" s="1"/>
  <c r="X422" s="1"/>
  <c r="X423" s="1"/>
  <c r="X424" s="1"/>
  <c r="X425" s="1"/>
  <c r="X426" s="1"/>
  <c r="X427" s="1"/>
  <c r="X428" s="1"/>
  <c r="X429" s="1"/>
  <c r="X430" s="1"/>
  <c r="X431" s="1"/>
  <c r="X432" s="1"/>
  <c r="X433" s="1"/>
  <c r="X434" s="1"/>
  <c r="X435" s="1"/>
  <c r="X436" s="1"/>
  <c r="X437" s="1"/>
  <c r="X438" s="1"/>
  <c r="X439" s="1"/>
  <c r="X440" s="1"/>
  <c r="X441" s="1"/>
  <c r="X442" s="1"/>
  <c r="X443" s="1"/>
  <c r="X444" s="1"/>
  <c r="X445" s="1"/>
  <c r="X446" s="1"/>
  <c r="X447" s="1"/>
  <c r="X448" s="1"/>
  <c r="X449" s="1"/>
  <c r="X450" s="1"/>
  <c r="X451" s="1"/>
  <c r="X452" s="1"/>
  <c r="X453" s="1"/>
  <c r="X454" s="1"/>
  <c r="X455" s="1"/>
  <c r="X456" s="1"/>
  <c r="X457" s="1"/>
  <c r="X458" s="1"/>
  <c r="X459" s="1"/>
  <c r="X460" s="1"/>
  <c r="X461" s="1"/>
  <c r="X462" s="1"/>
  <c r="X463" s="1"/>
  <c r="X464" s="1"/>
  <c r="X465" s="1"/>
  <c r="X466" s="1"/>
  <c r="X467" s="1"/>
  <c r="X468" s="1"/>
  <c r="X469" s="1"/>
  <c r="X470" s="1"/>
  <c r="X471" s="1"/>
  <c r="X472" s="1"/>
  <c r="X473" s="1"/>
  <c r="X474" s="1"/>
  <c r="X475" s="1"/>
  <c r="X476" s="1"/>
  <c r="X477" s="1"/>
  <c r="X478" s="1"/>
  <c r="X479" s="1"/>
  <c r="X480" s="1"/>
  <c r="X481" s="1"/>
  <c r="X482" s="1"/>
  <c r="X483" s="1"/>
  <c r="X484" s="1"/>
  <c r="X485" s="1"/>
  <c r="X486" s="1"/>
  <c r="X487" s="1"/>
  <c r="X488" s="1"/>
  <c r="X489" s="1"/>
  <c r="X490" s="1"/>
  <c r="X491" s="1"/>
  <c r="X492" s="1"/>
  <c r="X493" s="1"/>
  <c r="X494" s="1"/>
  <c r="X495" s="1"/>
  <c r="X496" s="1"/>
  <c r="X497" s="1"/>
  <c r="X498" s="1"/>
  <c r="X499" s="1"/>
  <c r="X500" s="1"/>
  <c r="X501" s="1"/>
  <c r="W501"/>
  <c r="W500"/>
  <c r="W499"/>
  <c r="W498"/>
  <c r="W497"/>
  <c r="W496"/>
  <c r="W495"/>
  <c r="W494"/>
  <c r="W493"/>
  <c r="W492"/>
  <c r="W491"/>
  <c r="W490"/>
  <c r="W489"/>
  <c r="W488"/>
  <c r="W487"/>
  <c r="W486"/>
  <c r="W485"/>
  <c r="W484"/>
  <c r="W483"/>
  <c r="W482"/>
  <c r="W481"/>
  <c r="W480"/>
  <c r="W479"/>
  <c r="W478"/>
  <c r="W477"/>
  <c r="W476"/>
  <c r="W475"/>
  <c r="W474"/>
  <c r="W473"/>
  <c r="W472"/>
  <c r="W471"/>
  <c r="W470"/>
  <c r="W469"/>
  <c r="W468"/>
  <c r="W467"/>
  <c r="W466"/>
  <c r="W465"/>
  <c r="W464"/>
  <c r="W463"/>
  <c r="W462"/>
  <c r="W461"/>
  <c r="W460"/>
  <c r="W459"/>
  <c r="W458"/>
  <c r="W457"/>
  <c r="W456"/>
  <c r="W455"/>
  <c r="W454"/>
  <c r="W453"/>
  <c r="W452"/>
  <c r="W451"/>
  <c r="W450"/>
  <c r="W449"/>
  <c r="W448"/>
  <c r="W447"/>
  <c r="W446"/>
  <c r="W445"/>
  <c r="W444"/>
  <c r="W443"/>
  <c r="W442"/>
  <c r="W441"/>
  <c r="W440"/>
  <c r="W439"/>
  <c r="W438"/>
  <c r="W437"/>
  <c r="W436"/>
  <c r="W435"/>
  <c r="W434"/>
  <c r="W433"/>
  <c r="W432"/>
  <c r="W431"/>
  <c r="W430"/>
  <c r="W429"/>
  <c r="W428"/>
  <c r="W427"/>
  <c r="W426"/>
  <c r="W425"/>
  <c r="W424"/>
  <c r="W423"/>
  <c r="W422"/>
  <c r="W421"/>
  <c r="W420"/>
  <c r="W419"/>
  <c r="W418"/>
  <c r="W417"/>
  <c r="W416"/>
  <c r="W415"/>
  <c r="W414"/>
  <c r="W413"/>
  <c r="W412"/>
  <c r="W411"/>
  <c r="W410"/>
  <c r="W409"/>
  <c r="W408"/>
  <c r="W407"/>
  <c r="W406"/>
  <c r="W405"/>
  <c r="W404"/>
  <c r="W403"/>
  <c r="W402"/>
  <c r="W401"/>
  <c r="W400"/>
  <c r="W399"/>
  <c r="W398"/>
  <c r="W397"/>
  <c r="W396"/>
  <c r="W395"/>
  <c r="W394"/>
  <c r="W393"/>
  <c r="W392"/>
  <c r="W391"/>
  <c r="W390"/>
  <c r="W389"/>
  <c r="W388"/>
  <c r="W387"/>
  <c r="W386"/>
  <c r="W385"/>
  <c r="W384"/>
  <c r="W383"/>
  <c r="W382"/>
  <c r="W381"/>
  <c r="W380"/>
  <c r="W379"/>
  <c r="W378"/>
  <c r="W377"/>
  <c r="W376"/>
  <c r="W375"/>
  <c r="W374"/>
  <c r="W373"/>
  <c r="W372"/>
  <c r="W371"/>
  <c r="W370"/>
  <c r="W369"/>
  <c r="W368"/>
  <c r="W367"/>
  <c r="W366"/>
  <c r="W365"/>
  <c r="W364"/>
  <c r="W363"/>
  <c r="W362"/>
  <c r="W361"/>
  <c r="W360"/>
  <c r="W359"/>
  <c r="W358"/>
  <c r="W357"/>
  <c r="W356"/>
  <c r="W355"/>
  <c r="W354"/>
  <c r="W353"/>
  <c r="W352"/>
  <c r="W351"/>
  <c r="W350"/>
  <c r="W349"/>
  <c r="W348"/>
  <c r="W347"/>
  <c r="W346"/>
  <c r="W345"/>
  <c r="W344"/>
  <c r="W343"/>
  <c r="W342"/>
  <c r="W341"/>
  <c r="W340"/>
  <c r="W339"/>
  <c r="W338"/>
  <c r="W337"/>
  <c r="W336"/>
  <c r="W335"/>
  <c r="W334"/>
  <c r="W333"/>
  <c r="W332"/>
  <c r="W331"/>
  <c r="W330"/>
  <c r="W329"/>
  <c r="W328"/>
  <c r="W327"/>
  <c r="W326"/>
  <c r="W325"/>
  <c r="W324"/>
  <c r="W323"/>
  <c r="W322"/>
  <c r="W321"/>
  <c r="W320"/>
  <c r="W319"/>
  <c r="W318"/>
  <c r="W317"/>
  <c r="W316"/>
  <c r="W315"/>
  <c r="W314"/>
  <c r="W313"/>
  <c r="W312"/>
  <c r="W311"/>
  <c r="W310"/>
  <c r="W309"/>
  <c r="W308"/>
  <c r="W307"/>
  <c r="W306"/>
  <c r="W305"/>
  <c r="W304"/>
  <c r="W303"/>
  <c r="W302"/>
  <c r="W301"/>
  <c r="W300"/>
  <c r="W299"/>
  <c r="W298"/>
  <c r="W297"/>
  <c r="W296"/>
  <c r="W295"/>
  <c r="W294"/>
  <c r="W293"/>
  <c r="W292"/>
  <c r="W291"/>
  <c r="W290"/>
  <c r="W289"/>
  <c r="W288"/>
  <c r="W287"/>
  <c r="W286"/>
  <c r="W285"/>
  <c r="W284"/>
  <c r="W283"/>
  <c r="W282"/>
  <c r="W281"/>
  <c r="W280"/>
  <c r="W279"/>
  <c r="W278"/>
  <c r="W277"/>
  <c r="W276"/>
  <c r="W275"/>
  <c r="W274"/>
  <c r="W273"/>
  <c r="W272"/>
  <c r="W271"/>
  <c r="W270"/>
  <c r="W269"/>
  <c r="W268"/>
  <c r="W267"/>
  <c r="W266"/>
  <c r="W265"/>
  <c r="W264"/>
  <c r="W263"/>
  <c r="W262"/>
  <c r="W261"/>
  <c r="W260"/>
  <c r="W259"/>
  <c r="W258"/>
  <c r="W257"/>
  <c r="W256"/>
  <c r="W255"/>
  <c r="W254"/>
  <c r="W253"/>
  <c r="W252"/>
  <c r="W251"/>
  <c r="W250"/>
  <c r="W249"/>
  <c r="W248"/>
  <c r="W247"/>
  <c r="W246"/>
  <c r="W245"/>
  <c r="W244"/>
  <c r="W243"/>
  <c r="W242"/>
  <c r="W241"/>
  <c r="W240"/>
  <c r="W239"/>
  <c r="W238"/>
  <c r="W237"/>
  <c r="W236"/>
  <c r="W235"/>
  <c r="W234"/>
  <c r="W233"/>
  <c r="W232"/>
  <c r="W231"/>
  <c r="W230"/>
  <c r="W229"/>
  <c r="W228"/>
  <c r="W227"/>
  <c r="W226"/>
  <c r="W225"/>
  <c r="W224"/>
  <c r="W223"/>
  <c r="W222"/>
  <c r="W221"/>
  <c r="W220"/>
  <c r="W219"/>
  <c r="W218"/>
  <c r="W217"/>
  <c r="W216"/>
  <c r="W215"/>
  <c r="W214"/>
  <c r="W213"/>
  <c r="W212"/>
  <c r="W211"/>
  <c r="W210"/>
  <c r="W209"/>
  <c r="W208"/>
  <c r="W207"/>
  <c r="W206"/>
  <c r="W205"/>
  <c r="W204"/>
  <c r="W203"/>
  <c r="W202"/>
  <c r="W201"/>
  <c r="W200"/>
  <c r="W199"/>
  <c r="W198"/>
  <c r="W197"/>
  <c r="W196"/>
  <c r="W195"/>
  <c r="W194"/>
  <c r="W193"/>
  <c r="W192"/>
  <c r="W191"/>
  <c r="W190"/>
  <c r="W189"/>
  <c r="W188"/>
  <c r="W187"/>
  <c r="W186"/>
  <c r="W185"/>
  <c r="W184"/>
  <c r="W183"/>
  <c r="W182"/>
  <c r="W181"/>
  <c r="W180"/>
  <c r="W179"/>
  <c r="W178"/>
  <c r="W177"/>
  <c r="W176"/>
  <c r="W175"/>
  <c r="W174"/>
  <c r="W173"/>
  <c r="W172"/>
  <c r="W171"/>
  <c r="W170"/>
  <c r="W169"/>
  <c r="W168"/>
  <c r="W167"/>
  <c r="W166"/>
  <c r="W165"/>
  <c r="W164"/>
  <c r="W163"/>
  <c r="W162"/>
  <c r="W161"/>
  <c r="W160"/>
  <c r="W159"/>
  <c r="W158"/>
  <c r="W157"/>
  <c r="W156"/>
  <c r="W155"/>
  <c r="W154"/>
  <c r="W153"/>
  <c r="W152"/>
  <c r="W151"/>
  <c r="W150"/>
  <c r="W149"/>
  <c r="W148"/>
  <c r="W147"/>
  <c r="W146"/>
  <c r="W145"/>
  <c r="W144"/>
  <c r="W143"/>
  <c r="W142"/>
  <c r="W141"/>
  <c r="W140"/>
  <c r="W139"/>
  <c r="W138"/>
  <c r="W137"/>
  <c r="W136"/>
  <c r="W135"/>
  <c r="W134"/>
  <c r="W133"/>
  <c r="W132"/>
  <c r="W131"/>
  <c r="W130"/>
  <c r="W129"/>
  <c r="W128"/>
  <c r="W127"/>
  <c r="W126"/>
  <c r="W125"/>
  <c r="W124"/>
  <c r="W123"/>
  <c r="W122"/>
  <c r="W121"/>
  <c r="W120"/>
  <c r="W119"/>
  <c r="W118"/>
  <c r="W117"/>
  <c r="W116"/>
  <c r="W115"/>
  <c r="W114"/>
  <c r="W113"/>
  <c r="W112"/>
  <c r="W111"/>
  <c r="W110"/>
  <c r="W109"/>
  <c r="W108"/>
  <c r="W107"/>
  <c r="W106"/>
  <c r="W105"/>
  <c r="W104"/>
  <c r="W103"/>
  <c r="W102"/>
  <c r="W101"/>
  <c r="W100"/>
  <c r="W99"/>
  <c r="W98"/>
  <c r="W97"/>
  <c r="W96"/>
  <c r="W95"/>
  <c r="W94"/>
  <c r="W93"/>
  <c r="W92"/>
  <c r="W91"/>
  <c r="W90"/>
  <c r="W89"/>
  <c r="W88"/>
  <c r="W87"/>
  <c r="W86"/>
  <c r="W85"/>
  <c r="W84"/>
  <c r="W83"/>
  <c r="W82"/>
  <c r="W81"/>
  <c r="W80"/>
  <c r="W79"/>
  <c r="W78"/>
  <c r="W77"/>
  <c r="W76"/>
  <c r="W75"/>
  <c r="W74"/>
  <c r="W73"/>
  <c r="W72"/>
  <c r="W71"/>
  <c r="W70"/>
  <c r="W69"/>
  <c r="W68"/>
  <c r="W67"/>
  <c r="W66"/>
  <c r="W65"/>
  <c r="W64"/>
  <c r="W63"/>
  <c r="W62"/>
  <c r="W61"/>
  <c r="W60"/>
  <c r="W59"/>
  <c r="W58"/>
  <c r="W57"/>
  <c r="W56"/>
  <c r="W55"/>
  <c r="W54"/>
  <c r="W53"/>
  <c r="W52"/>
  <c r="W51"/>
  <c r="W50"/>
  <c r="W49"/>
  <c r="W48"/>
  <c r="W47"/>
  <c r="W46"/>
  <c r="W45"/>
  <c r="W44"/>
  <c r="W43"/>
  <c r="W42"/>
  <c r="W41"/>
  <c r="W40"/>
  <c r="W39"/>
  <c r="W38"/>
  <c r="W37"/>
  <c r="W36"/>
  <c r="W35"/>
  <c r="W34"/>
  <c r="W33"/>
  <c r="W32"/>
  <c r="W31"/>
  <c r="W30"/>
  <c r="W29"/>
  <c r="W28"/>
  <c r="W27"/>
  <c r="W26"/>
  <c r="W25"/>
  <c r="W24"/>
  <c r="W23"/>
  <c r="W22"/>
  <c r="W21"/>
  <c r="W20"/>
  <c r="W19"/>
  <c r="W18"/>
  <c r="W17"/>
  <c r="W16"/>
  <c r="W15"/>
  <c r="W14"/>
  <c r="W13"/>
  <c r="W12"/>
  <c r="W11"/>
  <c r="W10"/>
  <c r="W9"/>
  <c r="W8"/>
  <c r="W7"/>
  <c r="W6"/>
  <c r="W5"/>
  <c r="W4"/>
  <c r="W3"/>
  <c r="W2"/>
  <c r="W1"/>
  <c r="V3"/>
  <c r="V4" s="1"/>
  <c r="V5" s="1"/>
  <c r="V6" s="1"/>
  <c r="V7" s="1"/>
  <c r="V8" s="1"/>
  <c r="V9" s="1"/>
  <c r="V10" s="1"/>
  <c r="V11" s="1"/>
  <c r="V12" s="1"/>
  <c r="V13" s="1"/>
  <c r="V14" s="1"/>
  <c r="V15" s="1"/>
  <c r="V16" s="1"/>
  <c r="V17" s="1"/>
  <c r="V18" s="1"/>
  <c r="V19" s="1"/>
  <c r="V20" s="1"/>
  <c r="V21" s="1"/>
  <c r="V22" s="1"/>
  <c r="V23" s="1"/>
  <c r="V24" s="1"/>
  <c r="V25" s="1"/>
  <c r="V26" s="1"/>
  <c r="V27" s="1"/>
  <c r="V28" s="1"/>
  <c r="V29" s="1"/>
  <c r="V30" s="1"/>
  <c r="V31" s="1"/>
  <c r="V32" s="1"/>
  <c r="V33" s="1"/>
  <c r="V34" s="1"/>
  <c r="V35" s="1"/>
  <c r="V36" s="1"/>
  <c r="V37" s="1"/>
  <c r="V38" s="1"/>
  <c r="V39" s="1"/>
  <c r="V40" s="1"/>
  <c r="V41" s="1"/>
  <c r="V42" s="1"/>
  <c r="V43" s="1"/>
  <c r="V44" s="1"/>
  <c r="V45" s="1"/>
  <c r="V46" s="1"/>
  <c r="V47" s="1"/>
  <c r="V48" s="1"/>
  <c r="V49" s="1"/>
  <c r="V50" s="1"/>
  <c r="V51" s="1"/>
  <c r="V52" s="1"/>
  <c r="V53" s="1"/>
  <c r="V54" s="1"/>
  <c r="V55" s="1"/>
  <c r="V56" s="1"/>
  <c r="V57" s="1"/>
  <c r="V58" s="1"/>
  <c r="V59" s="1"/>
  <c r="V60" s="1"/>
  <c r="V61" s="1"/>
  <c r="V62" s="1"/>
  <c r="V63" s="1"/>
  <c r="V64" s="1"/>
  <c r="V65" s="1"/>
  <c r="V66" s="1"/>
  <c r="V67" s="1"/>
  <c r="V68" s="1"/>
  <c r="V69" s="1"/>
  <c r="V70" s="1"/>
  <c r="V71" s="1"/>
  <c r="V72" s="1"/>
  <c r="V73" s="1"/>
  <c r="V74" s="1"/>
  <c r="V75" s="1"/>
  <c r="V76" s="1"/>
  <c r="V77" s="1"/>
  <c r="V78" s="1"/>
  <c r="V79" s="1"/>
  <c r="V80" s="1"/>
  <c r="V81" s="1"/>
  <c r="V82" s="1"/>
  <c r="V83" s="1"/>
  <c r="V84" s="1"/>
  <c r="V85" s="1"/>
  <c r="V86" s="1"/>
  <c r="V87" s="1"/>
  <c r="V88" s="1"/>
  <c r="V89" s="1"/>
  <c r="V90" s="1"/>
  <c r="V91" s="1"/>
  <c r="V92" s="1"/>
  <c r="V93" s="1"/>
  <c r="V94" s="1"/>
  <c r="V95" s="1"/>
  <c r="V96" s="1"/>
  <c r="V97" s="1"/>
  <c r="V98" s="1"/>
  <c r="V99" s="1"/>
  <c r="V100" s="1"/>
  <c r="V101" s="1"/>
  <c r="V102" s="1"/>
  <c r="V103" s="1"/>
  <c r="V104" s="1"/>
  <c r="V105" s="1"/>
  <c r="V106" s="1"/>
  <c r="V107" s="1"/>
  <c r="V108" s="1"/>
  <c r="V109" s="1"/>
  <c r="V110" s="1"/>
  <c r="V111" s="1"/>
  <c r="V112" s="1"/>
  <c r="V113" s="1"/>
  <c r="V114" s="1"/>
  <c r="V115" s="1"/>
  <c r="V116" s="1"/>
  <c r="V117" s="1"/>
  <c r="V118" s="1"/>
  <c r="V119" s="1"/>
  <c r="V120" s="1"/>
  <c r="V121" s="1"/>
  <c r="V122" s="1"/>
  <c r="V123" s="1"/>
  <c r="V124" s="1"/>
  <c r="V125" s="1"/>
  <c r="V126" s="1"/>
  <c r="V127" s="1"/>
  <c r="V128" s="1"/>
  <c r="V129" s="1"/>
  <c r="V130" s="1"/>
  <c r="V131" s="1"/>
  <c r="V132" s="1"/>
  <c r="V133" s="1"/>
  <c r="V134" s="1"/>
  <c r="V135" s="1"/>
  <c r="V136" s="1"/>
  <c r="V137" s="1"/>
  <c r="V138" s="1"/>
  <c r="V139" s="1"/>
  <c r="V140" s="1"/>
  <c r="V141" s="1"/>
  <c r="V142" s="1"/>
  <c r="V143" s="1"/>
  <c r="V144" s="1"/>
  <c r="V145" s="1"/>
  <c r="V146" s="1"/>
  <c r="V147" s="1"/>
  <c r="V148" s="1"/>
  <c r="V149" s="1"/>
  <c r="V150" s="1"/>
  <c r="V151" s="1"/>
  <c r="V152" s="1"/>
  <c r="V153" s="1"/>
  <c r="V154" s="1"/>
  <c r="V155" s="1"/>
  <c r="V156" s="1"/>
  <c r="V157" s="1"/>
  <c r="V158" s="1"/>
  <c r="V159" s="1"/>
  <c r="V160" s="1"/>
  <c r="V161" s="1"/>
  <c r="V162" s="1"/>
  <c r="V163" s="1"/>
  <c r="V164" s="1"/>
  <c r="V165" s="1"/>
  <c r="V166" s="1"/>
  <c r="V167" s="1"/>
  <c r="V168" s="1"/>
  <c r="V169" s="1"/>
  <c r="V170" s="1"/>
  <c r="V171" s="1"/>
  <c r="V172" s="1"/>
  <c r="V173" s="1"/>
  <c r="V174" s="1"/>
  <c r="V175" s="1"/>
  <c r="V176" s="1"/>
  <c r="V177" s="1"/>
  <c r="V178" s="1"/>
  <c r="V179" s="1"/>
  <c r="V180" s="1"/>
  <c r="V181" s="1"/>
  <c r="V182" s="1"/>
  <c r="V183" s="1"/>
  <c r="V184" s="1"/>
  <c r="V185" s="1"/>
  <c r="V186" s="1"/>
  <c r="V187" s="1"/>
  <c r="V188" s="1"/>
  <c r="V189" s="1"/>
  <c r="V190" s="1"/>
  <c r="V191" s="1"/>
  <c r="V192" s="1"/>
  <c r="V193" s="1"/>
  <c r="V194" s="1"/>
  <c r="V195" s="1"/>
  <c r="V196" s="1"/>
  <c r="V197" s="1"/>
  <c r="V198" s="1"/>
  <c r="V199" s="1"/>
  <c r="V200" s="1"/>
  <c r="V201" s="1"/>
  <c r="V202" s="1"/>
  <c r="V203" s="1"/>
  <c r="V204" s="1"/>
  <c r="V205" s="1"/>
  <c r="V206" s="1"/>
  <c r="V207" s="1"/>
  <c r="V208" s="1"/>
  <c r="V209" s="1"/>
  <c r="V210" s="1"/>
  <c r="V211" s="1"/>
  <c r="V212" s="1"/>
  <c r="V213" s="1"/>
  <c r="V214" s="1"/>
  <c r="V215" s="1"/>
  <c r="V216" s="1"/>
  <c r="V217" s="1"/>
  <c r="V218" s="1"/>
  <c r="V219" s="1"/>
  <c r="V220" s="1"/>
  <c r="V221" s="1"/>
  <c r="V222" s="1"/>
  <c r="V223" s="1"/>
  <c r="V224" s="1"/>
  <c r="V225" s="1"/>
  <c r="V226" s="1"/>
  <c r="V227" s="1"/>
  <c r="V228" s="1"/>
  <c r="V229" s="1"/>
  <c r="V230" s="1"/>
  <c r="V231" s="1"/>
  <c r="V232" s="1"/>
  <c r="V233" s="1"/>
  <c r="V234" s="1"/>
  <c r="V235" s="1"/>
  <c r="V236" s="1"/>
  <c r="V237" s="1"/>
  <c r="V238" s="1"/>
  <c r="V239" s="1"/>
  <c r="V240" s="1"/>
  <c r="V241" s="1"/>
  <c r="V242" s="1"/>
  <c r="V243" s="1"/>
  <c r="V244" s="1"/>
  <c r="V245" s="1"/>
  <c r="V246" s="1"/>
  <c r="V247" s="1"/>
  <c r="V248" s="1"/>
  <c r="V249" s="1"/>
  <c r="V250" s="1"/>
  <c r="V251" s="1"/>
  <c r="V252" s="1"/>
  <c r="V253" s="1"/>
  <c r="V254" s="1"/>
  <c r="V255" s="1"/>
  <c r="V256" s="1"/>
  <c r="V257" s="1"/>
  <c r="V258" s="1"/>
  <c r="V259" s="1"/>
  <c r="V260" s="1"/>
  <c r="V261" s="1"/>
  <c r="V262" s="1"/>
  <c r="V263" s="1"/>
  <c r="V264" s="1"/>
  <c r="V265" s="1"/>
  <c r="V266" s="1"/>
  <c r="V267" s="1"/>
  <c r="V268" s="1"/>
  <c r="V269" s="1"/>
  <c r="V270" s="1"/>
  <c r="V271" s="1"/>
  <c r="V272" s="1"/>
  <c r="V273" s="1"/>
  <c r="V274" s="1"/>
  <c r="V275" s="1"/>
  <c r="V276" s="1"/>
  <c r="V277" s="1"/>
  <c r="V278" s="1"/>
  <c r="V279" s="1"/>
  <c r="V280" s="1"/>
  <c r="V281" s="1"/>
  <c r="V282" s="1"/>
  <c r="V283" s="1"/>
  <c r="V284" s="1"/>
  <c r="V285" s="1"/>
  <c r="V286" s="1"/>
  <c r="V287" s="1"/>
  <c r="V288" s="1"/>
  <c r="V289" s="1"/>
  <c r="V290" s="1"/>
  <c r="V291" s="1"/>
  <c r="V292" s="1"/>
  <c r="V293" s="1"/>
  <c r="V294" s="1"/>
  <c r="V295" s="1"/>
  <c r="V296" s="1"/>
  <c r="V297" s="1"/>
  <c r="V298" s="1"/>
  <c r="V299" s="1"/>
  <c r="V300" s="1"/>
  <c r="V301" s="1"/>
  <c r="V302" s="1"/>
  <c r="V303" s="1"/>
  <c r="V304" s="1"/>
  <c r="V305" s="1"/>
  <c r="V306" s="1"/>
  <c r="V307" s="1"/>
  <c r="V308" s="1"/>
  <c r="V309" s="1"/>
  <c r="V310" s="1"/>
  <c r="V311" s="1"/>
  <c r="V312" s="1"/>
  <c r="V313" s="1"/>
  <c r="V314" s="1"/>
  <c r="V315" s="1"/>
  <c r="V316" s="1"/>
  <c r="V317" s="1"/>
  <c r="V318" s="1"/>
  <c r="V319" s="1"/>
  <c r="V320" s="1"/>
  <c r="V321" s="1"/>
  <c r="V322" s="1"/>
  <c r="V323" s="1"/>
  <c r="V324" s="1"/>
  <c r="V325" s="1"/>
  <c r="V326" s="1"/>
  <c r="V327" s="1"/>
  <c r="V328" s="1"/>
  <c r="V329" s="1"/>
  <c r="V330" s="1"/>
  <c r="V331" s="1"/>
  <c r="V332" s="1"/>
  <c r="V333" s="1"/>
  <c r="V334" s="1"/>
  <c r="V335" s="1"/>
  <c r="V336" s="1"/>
  <c r="V337" s="1"/>
  <c r="V338" s="1"/>
  <c r="V339" s="1"/>
  <c r="V340" s="1"/>
  <c r="V341" s="1"/>
  <c r="V342" s="1"/>
  <c r="V343" s="1"/>
  <c r="V344" s="1"/>
  <c r="V345" s="1"/>
  <c r="V346" s="1"/>
  <c r="V347" s="1"/>
  <c r="V348" s="1"/>
  <c r="V349" s="1"/>
  <c r="V350" s="1"/>
  <c r="V351" s="1"/>
  <c r="V352" s="1"/>
  <c r="V353" s="1"/>
  <c r="V354" s="1"/>
  <c r="V355" s="1"/>
  <c r="V356" s="1"/>
  <c r="V357" s="1"/>
  <c r="V358" s="1"/>
  <c r="V359" s="1"/>
  <c r="V360" s="1"/>
  <c r="V361" s="1"/>
  <c r="V362" s="1"/>
  <c r="V363" s="1"/>
  <c r="V364" s="1"/>
  <c r="V365" s="1"/>
  <c r="V366" s="1"/>
  <c r="V367" s="1"/>
  <c r="V368" s="1"/>
  <c r="V369" s="1"/>
  <c r="V370" s="1"/>
  <c r="V371" s="1"/>
  <c r="V372" s="1"/>
  <c r="V373" s="1"/>
  <c r="V374" s="1"/>
  <c r="V375" s="1"/>
  <c r="V376" s="1"/>
  <c r="V377" s="1"/>
  <c r="V378" s="1"/>
  <c r="V379" s="1"/>
  <c r="V380" s="1"/>
  <c r="V381" s="1"/>
  <c r="V382" s="1"/>
  <c r="V383" s="1"/>
  <c r="V384" s="1"/>
  <c r="V385" s="1"/>
  <c r="V386" s="1"/>
  <c r="V387" s="1"/>
  <c r="V388" s="1"/>
  <c r="V389" s="1"/>
  <c r="V390" s="1"/>
  <c r="V391" s="1"/>
  <c r="V392" s="1"/>
  <c r="V393" s="1"/>
  <c r="V394" s="1"/>
  <c r="V395" s="1"/>
  <c r="V396" s="1"/>
  <c r="V397" s="1"/>
  <c r="V398" s="1"/>
  <c r="V399" s="1"/>
  <c r="V400" s="1"/>
  <c r="V401" s="1"/>
  <c r="V402" s="1"/>
  <c r="V403" s="1"/>
  <c r="V404" s="1"/>
  <c r="V405" s="1"/>
  <c r="V406" s="1"/>
  <c r="V407" s="1"/>
  <c r="V408" s="1"/>
  <c r="V409" s="1"/>
  <c r="V410" s="1"/>
  <c r="V411" s="1"/>
  <c r="V412" s="1"/>
  <c r="V413" s="1"/>
  <c r="V414" s="1"/>
  <c r="V415" s="1"/>
  <c r="V416" s="1"/>
  <c r="V417" s="1"/>
  <c r="V418" s="1"/>
  <c r="V419" s="1"/>
  <c r="V420" s="1"/>
  <c r="V421" s="1"/>
  <c r="V422" s="1"/>
  <c r="V423" s="1"/>
  <c r="V424" s="1"/>
  <c r="V425" s="1"/>
  <c r="V426" s="1"/>
  <c r="V427" s="1"/>
  <c r="V428" s="1"/>
  <c r="V429" s="1"/>
  <c r="V430" s="1"/>
  <c r="V431" s="1"/>
  <c r="V432" s="1"/>
  <c r="V433" s="1"/>
  <c r="V434" s="1"/>
  <c r="V435" s="1"/>
  <c r="V436" s="1"/>
  <c r="V437" s="1"/>
  <c r="V438" s="1"/>
  <c r="V439" s="1"/>
  <c r="V440" s="1"/>
  <c r="V441" s="1"/>
  <c r="V442" s="1"/>
  <c r="V443" s="1"/>
  <c r="V444" s="1"/>
  <c r="V445" s="1"/>
  <c r="V446" s="1"/>
  <c r="V447" s="1"/>
  <c r="V448" s="1"/>
  <c r="V449" s="1"/>
  <c r="V450" s="1"/>
  <c r="V451" s="1"/>
  <c r="V452" s="1"/>
  <c r="V453" s="1"/>
  <c r="V454" s="1"/>
  <c r="V455" s="1"/>
  <c r="V456" s="1"/>
  <c r="V457" s="1"/>
  <c r="V458" s="1"/>
  <c r="V459" s="1"/>
  <c r="V460" s="1"/>
  <c r="V461" s="1"/>
  <c r="V462" s="1"/>
  <c r="V463" s="1"/>
  <c r="V464" s="1"/>
  <c r="V465" s="1"/>
  <c r="V466" s="1"/>
  <c r="V467" s="1"/>
  <c r="V468" s="1"/>
  <c r="V469" s="1"/>
  <c r="V470" s="1"/>
  <c r="V471" s="1"/>
  <c r="V472" s="1"/>
  <c r="V473" s="1"/>
  <c r="V474" s="1"/>
  <c r="V475" s="1"/>
  <c r="V476" s="1"/>
  <c r="V477" s="1"/>
  <c r="V478" s="1"/>
  <c r="V479" s="1"/>
  <c r="V480" s="1"/>
  <c r="V481" s="1"/>
  <c r="V482" s="1"/>
  <c r="V483" s="1"/>
  <c r="V484" s="1"/>
  <c r="V485" s="1"/>
  <c r="V486" s="1"/>
  <c r="V487" s="1"/>
  <c r="V488" s="1"/>
  <c r="V489" s="1"/>
  <c r="V490" s="1"/>
  <c r="V491" s="1"/>
  <c r="V492" s="1"/>
  <c r="V493" s="1"/>
  <c r="V494" s="1"/>
  <c r="V495" s="1"/>
  <c r="V496" s="1"/>
  <c r="V497" s="1"/>
  <c r="V498" s="1"/>
  <c r="V499" s="1"/>
  <c r="V500" s="1"/>
  <c r="V501" s="1"/>
  <c r="U501"/>
  <c r="U500"/>
  <c r="U499"/>
  <c r="U498"/>
  <c r="U497"/>
  <c r="U496"/>
  <c r="U495"/>
  <c r="U494"/>
  <c r="U493"/>
  <c r="U492"/>
  <c r="U491"/>
  <c r="U490"/>
  <c r="U489"/>
  <c r="U488"/>
  <c r="U487"/>
  <c r="U486"/>
  <c r="U485"/>
  <c r="U484"/>
  <c r="U483"/>
  <c r="U482"/>
  <c r="U481"/>
  <c r="U480"/>
  <c r="U479"/>
  <c r="U478"/>
  <c r="U477"/>
  <c r="U476"/>
  <c r="U475"/>
  <c r="U474"/>
  <c r="U473"/>
  <c r="U472"/>
  <c r="U471"/>
  <c r="U470"/>
  <c r="U469"/>
  <c r="U468"/>
  <c r="U467"/>
  <c r="U466"/>
  <c r="U465"/>
  <c r="U464"/>
  <c r="U463"/>
  <c r="U462"/>
  <c r="U461"/>
  <c r="U460"/>
  <c r="U459"/>
  <c r="U458"/>
  <c r="U457"/>
  <c r="U456"/>
  <c r="U455"/>
  <c r="U454"/>
  <c r="U453"/>
  <c r="U452"/>
  <c r="U451"/>
  <c r="U450"/>
  <c r="U449"/>
  <c r="U448"/>
  <c r="U447"/>
  <c r="U446"/>
  <c r="U445"/>
  <c r="U444"/>
  <c r="U443"/>
  <c r="U442"/>
  <c r="U441"/>
  <c r="U440"/>
  <c r="U439"/>
  <c r="U438"/>
  <c r="U437"/>
  <c r="U436"/>
  <c r="U435"/>
  <c r="U434"/>
  <c r="U433"/>
  <c r="U432"/>
  <c r="U431"/>
  <c r="U430"/>
  <c r="U429"/>
  <c r="U428"/>
  <c r="U427"/>
  <c r="U426"/>
  <c r="U425"/>
  <c r="U424"/>
  <c r="U423"/>
  <c r="U422"/>
  <c r="U421"/>
  <c r="U420"/>
  <c r="U419"/>
  <c r="U418"/>
  <c r="U417"/>
  <c r="U416"/>
  <c r="U415"/>
  <c r="U414"/>
  <c r="U413"/>
  <c r="U412"/>
  <c r="U411"/>
  <c r="U410"/>
  <c r="U409"/>
  <c r="U408"/>
  <c r="U407"/>
  <c r="U406"/>
  <c r="U405"/>
  <c r="U404"/>
  <c r="U403"/>
  <c r="U402"/>
  <c r="U401"/>
  <c r="U400"/>
  <c r="U399"/>
  <c r="U398"/>
  <c r="U397"/>
  <c r="U396"/>
  <c r="U395"/>
  <c r="U394"/>
  <c r="U393"/>
  <c r="U392"/>
  <c r="U391"/>
  <c r="U390"/>
  <c r="U389"/>
  <c r="U388"/>
  <c r="U387"/>
  <c r="U386"/>
  <c r="U385"/>
  <c r="U384"/>
  <c r="U383"/>
  <c r="U382"/>
  <c r="U381"/>
  <c r="U380"/>
  <c r="U379"/>
  <c r="U378"/>
  <c r="U377"/>
  <c r="U376"/>
  <c r="U375"/>
  <c r="U374"/>
  <c r="U373"/>
  <c r="U372"/>
  <c r="U371"/>
  <c r="U370"/>
  <c r="U369"/>
  <c r="U368"/>
  <c r="U367"/>
  <c r="U366"/>
  <c r="U365"/>
  <c r="U364"/>
  <c r="U363"/>
  <c r="U362"/>
  <c r="U361"/>
  <c r="U360"/>
  <c r="U359"/>
  <c r="U358"/>
  <c r="U357"/>
  <c r="U356"/>
  <c r="U355"/>
  <c r="U354"/>
  <c r="U353"/>
  <c r="U352"/>
  <c r="U351"/>
  <c r="U350"/>
  <c r="U349"/>
  <c r="U348"/>
  <c r="U347"/>
  <c r="U346"/>
  <c r="U345"/>
  <c r="U344"/>
  <c r="U343"/>
  <c r="U342"/>
  <c r="U341"/>
  <c r="U340"/>
  <c r="U339"/>
  <c r="U338"/>
  <c r="U337"/>
  <c r="U336"/>
  <c r="U335"/>
  <c r="U334"/>
  <c r="U333"/>
  <c r="U332"/>
  <c r="U331"/>
  <c r="U330"/>
  <c r="U329"/>
  <c r="U328"/>
  <c r="U327"/>
  <c r="U326"/>
  <c r="U325"/>
  <c r="U324"/>
  <c r="U323"/>
  <c r="U322"/>
  <c r="U321"/>
  <c r="U320"/>
  <c r="U319"/>
  <c r="U318"/>
  <c r="U317"/>
  <c r="U316"/>
  <c r="U315"/>
  <c r="U314"/>
  <c r="U313"/>
  <c r="U312"/>
  <c r="U311"/>
  <c r="U310"/>
  <c r="U309"/>
  <c r="U308"/>
  <c r="U307"/>
  <c r="U306"/>
  <c r="U305"/>
  <c r="U304"/>
  <c r="U303"/>
  <c r="U302"/>
  <c r="U301"/>
  <c r="U300"/>
  <c r="U299"/>
  <c r="U298"/>
  <c r="U297"/>
  <c r="U296"/>
  <c r="U295"/>
  <c r="U294"/>
  <c r="U293"/>
  <c r="U292"/>
  <c r="U291"/>
  <c r="U290"/>
  <c r="U289"/>
  <c r="U288"/>
  <c r="U287"/>
  <c r="U286"/>
  <c r="U285"/>
  <c r="U284"/>
  <c r="U283"/>
  <c r="U282"/>
  <c r="U281"/>
  <c r="U280"/>
  <c r="U279"/>
  <c r="U278"/>
  <c r="U277"/>
  <c r="U276"/>
  <c r="U275"/>
  <c r="U274"/>
  <c r="U273"/>
  <c r="U272"/>
  <c r="U271"/>
  <c r="U270"/>
  <c r="U269"/>
  <c r="U268"/>
  <c r="U267"/>
  <c r="U266"/>
  <c r="U265"/>
  <c r="U264"/>
  <c r="U263"/>
  <c r="U262"/>
  <c r="U261"/>
  <c r="U260"/>
  <c r="U259"/>
  <c r="U258"/>
  <c r="U257"/>
  <c r="U256"/>
  <c r="U255"/>
  <c r="U254"/>
  <c r="U253"/>
  <c r="U252"/>
  <c r="U251"/>
  <c r="U250"/>
  <c r="U249"/>
  <c r="U248"/>
  <c r="U247"/>
  <c r="U246"/>
  <c r="U245"/>
  <c r="U244"/>
  <c r="U243"/>
  <c r="U242"/>
  <c r="U241"/>
  <c r="U240"/>
  <c r="U239"/>
  <c r="U238"/>
  <c r="U237"/>
  <c r="U236"/>
  <c r="U235"/>
  <c r="U234"/>
  <c r="U233"/>
  <c r="U232"/>
  <c r="U231"/>
  <c r="U230"/>
  <c r="U229"/>
  <c r="U228"/>
  <c r="U227"/>
  <c r="U226"/>
  <c r="U225"/>
  <c r="U224"/>
  <c r="U223"/>
  <c r="U222"/>
  <c r="U221"/>
  <c r="U220"/>
  <c r="U219"/>
  <c r="U218"/>
  <c r="U217"/>
  <c r="U216"/>
  <c r="U215"/>
  <c r="U214"/>
  <c r="U213"/>
  <c r="U212"/>
  <c r="U211"/>
  <c r="U210"/>
  <c r="U209"/>
  <c r="U208"/>
  <c r="U207"/>
  <c r="U206"/>
  <c r="U205"/>
  <c r="U204"/>
  <c r="U203"/>
  <c r="U202"/>
  <c r="U201"/>
  <c r="U200"/>
  <c r="U199"/>
  <c r="U198"/>
  <c r="U197"/>
  <c r="U196"/>
  <c r="U195"/>
  <c r="U194"/>
  <c r="U193"/>
  <c r="U192"/>
  <c r="U191"/>
  <c r="U190"/>
  <c r="U189"/>
  <c r="U188"/>
  <c r="U187"/>
  <c r="U186"/>
  <c r="U185"/>
  <c r="U184"/>
  <c r="U183"/>
  <c r="U182"/>
  <c r="U181"/>
  <c r="U180"/>
  <c r="U179"/>
  <c r="U178"/>
  <c r="U177"/>
  <c r="U176"/>
  <c r="U175"/>
  <c r="U174"/>
  <c r="U173"/>
  <c r="U172"/>
  <c r="U171"/>
  <c r="U170"/>
  <c r="U169"/>
  <c r="U168"/>
  <c r="U167"/>
  <c r="U166"/>
  <c r="U165"/>
  <c r="U164"/>
  <c r="U163"/>
  <c r="U162"/>
  <c r="U161"/>
  <c r="U160"/>
  <c r="U159"/>
  <c r="U158"/>
  <c r="U157"/>
  <c r="U156"/>
  <c r="U155"/>
  <c r="U154"/>
  <c r="U153"/>
  <c r="U152"/>
  <c r="U151"/>
  <c r="U150"/>
  <c r="U149"/>
  <c r="U148"/>
  <c r="U147"/>
  <c r="U146"/>
  <c r="U145"/>
  <c r="U144"/>
  <c r="U143"/>
  <c r="U142"/>
  <c r="U141"/>
  <c r="U140"/>
  <c r="U139"/>
  <c r="U138"/>
  <c r="U137"/>
  <c r="U136"/>
  <c r="U135"/>
  <c r="U134"/>
  <c r="U133"/>
  <c r="U132"/>
  <c r="U131"/>
  <c r="U130"/>
  <c r="U129"/>
  <c r="U128"/>
  <c r="U127"/>
  <c r="U126"/>
  <c r="U125"/>
  <c r="U124"/>
  <c r="U123"/>
  <c r="U122"/>
  <c r="U121"/>
  <c r="U120"/>
  <c r="U119"/>
  <c r="U118"/>
  <c r="U117"/>
  <c r="U116"/>
  <c r="U115"/>
  <c r="U114"/>
  <c r="U113"/>
  <c r="U112"/>
  <c r="U111"/>
  <c r="U110"/>
  <c r="U109"/>
  <c r="U108"/>
  <c r="U107"/>
  <c r="U106"/>
  <c r="U105"/>
  <c r="U104"/>
  <c r="U103"/>
  <c r="U102"/>
  <c r="U101"/>
  <c r="U100"/>
  <c r="U99"/>
  <c r="U98"/>
  <c r="U97"/>
  <c r="U96"/>
  <c r="U95"/>
  <c r="U94"/>
  <c r="U93"/>
  <c r="U92"/>
  <c r="U91"/>
  <c r="U90"/>
  <c r="U89"/>
  <c r="U88"/>
  <c r="U87"/>
  <c r="U86"/>
  <c r="U85"/>
  <c r="U84"/>
  <c r="U83"/>
  <c r="U82"/>
  <c r="U81"/>
  <c r="U80"/>
  <c r="U79"/>
  <c r="U78"/>
  <c r="U77"/>
  <c r="U76"/>
  <c r="U75"/>
  <c r="U74"/>
  <c r="U73"/>
  <c r="U72"/>
  <c r="U71"/>
  <c r="U70"/>
  <c r="U69"/>
  <c r="U68"/>
  <c r="U67"/>
  <c r="U66"/>
  <c r="U65"/>
  <c r="U64"/>
  <c r="U63"/>
  <c r="U62"/>
  <c r="U61"/>
  <c r="U60"/>
  <c r="U59"/>
  <c r="U58"/>
  <c r="U57"/>
  <c r="U56"/>
  <c r="U55"/>
  <c r="U54"/>
  <c r="U53"/>
  <c r="U52"/>
  <c r="U51"/>
  <c r="U50"/>
  <c r="U49"/>
  <c r="U48"/>
  <c r="U47"/>
  <c r="U46"/>
  <c r="U45"/>
  <c r="U44"/>
  <c r="U43"/>
  <c r="U42"/>
  <c r="U41"/>
  <c r="U40"/>
  <c r="U39"/>
  <c r="U38"/>
  <c r="U37"/>
  <c r="U36"/>
  <c r="U35"/>
  <c r="U34"/>
  <c r="U33"/>
  <c r="U32"/>
  <c r="U31"/>
  <c r="U30"/>
  <c r="U29"/>
  <c r="U28"/>
  <c r="U27"/>
  <c r="U26"/>
  <c r="U25"/>
  <c r="U24"/>
  <c r="U23"/>
  <c r="U22"/>
  <c r="U21"/>
  <c r="U20"/>
  <c r="U19"/>
  <c r="U18"/>
  <c r="U17"/>
  <c r="U16"/>
  <c r="U15"/>
  <c r="U14"/>
  <c r="U13"/>
  <c r="U12"/>
  <c r="U11"/>
  <c r="U10"/>
  <c r="U9"/>
  <c r="U8"/>
  <c r="U7"/>
  <c r="U6"/>
  <c r="U5"/>
  <c r="U4"/>
  <c r="U3"/>
  <c r="U2"/>
  <c r="U1"/>
  <c r="T3"/>
  <c r="T4" s="1"/>
  <c r="T5" s="1"/>
  <c r="T6" s="1"/>
  <c r="T7" s="1"/>
  <c r="T8" s="1"/>
  <c r="T9" s="1"/>
  <c r="T10" s="1"/>
  <c r="T11" s="1"/>
  <c r="T12" s="1"/>
  <c r="T13" s="1"/>
  <c r="T14" s="1"/>
  <c r="T15" s="1"/>
  <c r="T16" s="1"/>
  <c r="T17" s="1"/>
  <c r="T18" s="1"/>
  <c r="T19" s="1"/>
  <c r="T20" s="1"/>
  <c r="T21" s="1"/>
  <c r="T22" s="1"/>
  <c r="T23" s="1"/>
  <c r="T24" s="1"/>
  <c r="T25" s="1"/>
  <c r="T26" s="1"/>
  <c r="T27" s="1"/>
  <c r="T28" s="1"/>
  <c r="T29" s="1"/>
  <c r="T30" s="1"/>
  <c r="T31" s="1"/>
  <c r="T32" s="1"/>
  <c r="T33" s="1"/>
  <c r="T34" s="1"/>
  <c r="T35" s="1"/>
  <c r="T36" s="1"/>
  <c r="T37" s="1"/>
  <c r="T38" s="1"/>
  <c r="T39" s="1"/>
  <c r="T40" s="1"/>
  <c r="T41" s="1"/>
  <c r="T42" s="1"/>
  <c r="T43" s="1"/>
  <c r="T44" s="1"/>
  <c r="T45" s="1"/>
  <c r="T46" s="1"/>
  <c r="T47" s="1"/>
  <c r="T48" s="1"/>
  <c r="T49" s="1"/>
  <c r="T50" s="1"/>
  <c r="T51" s="1"/>
  <c r="T52" s="1"/>
  <c r="T53" s="1"/>
  <c r="T54" s="1"/>
  <c r="T55" s="1"/>
  <c r="T56" s="1"/>
  <c r="T57" s="1"/>
  <c r="T58" s="1"/>
  <c r="T59" s="1"/>
  <c r="T60" s="1"/>
  <c r="T61" s="1"/>
  <c r="T62" s="1"/>
  <c r="T63" s="1"/>
  <c r="T64" s="1"/>
  <c r="T65" s="1"/>
  <c r="T66" s="1"/>
  <c r="T67" s="1"/>
  <c r="T68" s="1"/>
  <c r="T69" s="1"/>
  <c r="T70" s="1"/>
  <c r="T71" s="1"/>
  <c r="T72" s="1"/>
  <c r="T73" s="1"/>
  <c r="T74" s="1"/>
  <c r="T75" s="1"/>
  <c r="T76" s="1"/>
  <c r="T77" s="1"/>
  <c r="T78" s="1"/>
  <c r="T79" s="1"/>
  <c r="T80" s="1"/>
  <c r="T81" s="1"/>
  <c r="T82" s="1"/>
  <c r="T83" s="1"/>
  <c r="T84" s="1"/>
  <c r="T85" s="1"/>
  <c r="T86" s="1"/>
  <c r="T87" s="1"/>
  <c r="T88" s="1"/>
  <c r="T89" s="1"/>
  <c r="T90" s="1"/>
  <c r="T91" s="1"/>
  <c r="T92" s="1"/>
  <c r="T93" s="1"/>
  <c r="T94" s="1"/>
  <c r="T95" s="1"/>
  <c r="T96" s="1"/>
  <c r="T97" s="1"/>
  <c r="T98" s="1"/>
  <c r="T99" s="1"/>
  <c r="T100" s="1"/>
  <c r="T101" s="1"/>
  <c r="T102" s="1"/>
  <c r="T103" s="1"/>
  <c r="T104" s="1"/>
  <c r="T105" s="1"/>
  <c r="T106" s="1"/>
  <c r="T107" s="1"/>
  <c r="T108" s="1"/>
  <c r="T109" s="1"/>
  <c r="T110" s="1"/>
  <c r="T111" s="1"/>
  <c r="T112" s="1"/>
  <c r="T113" s="1"/>
  <c r="T114" s="1"/>
  <c r="T115" s="1"/>
  <c r="T116" s="1"/>
  <c r="T117" s="1"/>
  <c r="T118" s="1"/>
  <c r="T119" s="1"/>
  <c r="T120" s="1"/>
  <c r="T121" s="1"/>
  <c r="T122" s="1"/>
  <c r="T123" s="1"/>
  <c r="T124" s="1"/>
  <c r="T125" s="1"/>
  <c r="T126" s="1"/>
  <c r="T127" s="1"/>
  <c r="T128" s="1"/>
  <c r="T129" s="1"/>
  <c r="T130" s="1"/>
  <c r="T131" s="1"/>
  <c r="T132" s="1"/>
  <c r="T133" s="1"/>
  <c r="T134" s="1"/>
  <c r="T135" s="1"/>
  <c r="T136" s="1"/>
  <c r="T137" s="1"/>
  <c r="T138" s="1"/>
  <c r="T139" s="1"/>
  <c r="T140" s="1"/>
  <c r="T141" s="1"/>
  <c r="T142" s="1"/>
  <c r="T143" s="1"/>
  <c r="T144" s="1"/>
  <c r="T145" s="1"/>
  <c r="T146" s="1"/>
  <c r="T147" s="1"/>
  <c r="T148" s="1"/>
  <c r="T149" s="1"/>
  <c r="T150" s="1"/>
  <c r="T151" s="1"/>
  <c r="T152" s="1"/>
  <c r="T153" s="1"/>
  <c r="T154" s="1"/>
  <c r="T155" s="1"/>
  <c r="T156" s="1"/>
  <c r="T157" s="1"/>
  <c r="T158" s="1"/>
  <c r="T159" s="1"/>
  <c r="T160" s="1"/>
  <c r="T161" s="1"/>
  <c r="T162" s="1"/>
  <c r="T163" s="1"/>
  <c r="T164" s="1"/>
  <c r="T165" s="1"/>
  <c r="T166" s="1"/>
  <c r="T167" s="1"/>
  <c r="T168" s="1"/>
  <c r="T169" s="1"/>
  <c r="T170" s="1"/>
  <c r="T171" s="1"/>
  <c r="T172" s="1"/>
  <c r="T173" s="1"/>
  <c r="T174" s="1"/>
  <c r="T175" s="1"/>
  <c r="T176" s="1"/>
  <c r="T177" s="1"/>
  <c r="T178" s="1"/>
  <c r="T179" s="1"/>
  <c r="T180" s="1"/>
  <c r="T181" s="1"/>
  <c r="T182" s="1"/>
  <c r="T183" s="1"/>
  <c r="T184" s="1"/>
  <c r="T185" s="1"/>
  <c r="T186" s="1"/>
  <c r="T187" s="1"/>
  <c r="T188" s="1"/>
  <c r="T189" s="1"/>
  <c r="T190" s="1"/>
  <c r="T191" s="1"/>
  <c r="T192" s="1"/>
  <c r="T193" s="1"/>
  <c r="T194" s="1"/>
  <c r="T195" s="1"/>
  <c r="T196" s="1"/>
  <c r="T197" s="1"/>
  <c r="T198" s="1"/>
  <c r="T199" s="1"/>
  <c r="T200" s="1"/>
  <c r="T201" s="1"/>
  <c r="T202" s="1"/>
  <c r="T203" s="1"/>
  <c r="T204" s="1"/>
  <c r="T205" s="1"/>
  <c r="T206" s="1"/>
  <c r="T207" s="1"/>
  <c r="T208" s="1"/>
  <c r="T209" s="1"/>
  <c r="T210" s="1"/>
  <c r="T211" s="1"/>
  <c r="T212" s="1"/>
  <c r="T213" s="1"/>
  <c r="T214" s="1"/>
  <c r="T215" s="1"/>
  <c r="T216" s="1"/>
  <c r="T217" s="1"/>
  <c r="T218" s="1"/>
  <c r="T219" s="1"/>
  <c r="T220" s="1"/>
  <c r="T221" s="1"/>
  <c r="T222" s="1"/>
  <c r="T223" s="1"/>
  <c r="T224" s="1"/>
  <c r="T225" s="1"/>
  <c r="T226" s="1"/>
  <c r="T227" s="1"/>
  <c r="T228" s="1"/>
  <c r="T229" s="1"/>
  <c r="T230" s="1"/>
  <c r="T231" s="1"/>
  <c r="T232" s="1"/>
  <c r="T233" s="1"/>
  <c r="T234" s="1"/>
  <c r="T235" s="1"/>
  <c r="T236" s="1"/>
  <c r="T237" s="1"/>
  <c r="T238" s="1"/>
  <c r="T239" s="1"/>
  <c r="T240" s="1"/>
  <c r="T241" s="1"/>
  <c r="T242" s="1"/>
  <c r="T243" s="1"/>
  <c r="T244" s="1"/>
  <c r="T245" s="1"/>
  <c r="T246" s="1"/>
  <c r="T247" s="1"/>
  <c r="T248" s="1"/>
  <c r="T249" s="1"/>
  <c r="T250" s="1"/>
  <c r="T251" s="1"/>
  <c r="T252" s="1"/>
  <c r="T253" s="1"/>
  <c r="T254" s="1"/>
  <c r="T255" s="1"/>
  <c r="T256" s="1"/>
  <c r="T257" s="1"/>
  <c r="T258" s="1"/>
  <c r="T259" s="1"/>
  <c r="T260" s="1"/>
  <c r="T261" s="1"/>
  <c r="T262" s="1"/>
  <c r="T263" s="1"/>
  <c r="T264" s="1"/>
  <c r="T265" s="1"/>
  <c r="T266" s="1"/>
  <c r="T267" s="1"/>
  <c r="T268" s="1"/>
  <c r="T269" s="1"/>
  <c r="T270" s="1"/>
  <c r="T271" s="1"/>
  <c r="T272" s="1"/>
  <c r="T273" s="1"/>
  <c r="T274" s="1"/>
  <c r="T275" s="1"/>
  <c r="T276" s="1"/>
  <c r="T277" s="1"/>
  <c r="T278" s="1"/>
  <c r="T279" s="1"/>
  <c r="T280" s="1"/>
  <c r="T281" s="1"/>
  <c r="T282" s="1"/>
  <c r="T283" s="1"/>
  <c r="T284" s="1"/>
  <c r="T285" s="1"/>
  <c r="T286" s="1"/>
  <c r="T287" s="1"/>
  <c r="T288" s="1"/>
  <c r="T289" s="1"/>
  <c r="T290" s="1"/>
  <c r="T291" s="1"/>
  <c r="T292" s="1"/>
  <c r="T293" s="1"/>
  <c r="T294" s="1"/>
  <c r="T295" s="1"/>
  <c r="T296" s="1"/>
  <c r="T297" s="1"/>
  <c r="T298" s="1"/>
  <c r="T299" s="1"/>
  <c r="T300" s="1"/>
  <c r="T301" s="1"/>
  <c r="T302" s="1"/>
  <c r="T303" s="1"/>
  <c r="T304" s="1"/>
  <c r="T305" s="1"/>
  <c r="T306" s="1"/>
  <c r="T307" s="1"/>
  <c r="T308" s="1"/>
  <c r="T309" s="1"/>
  <c r="T310" s="1"/>
  <c r="T311" s="1"/>
  <c r="T312" s="1"/>
  <c r="T313" s="1"/>
  <c r="T314" s="1"/>
  <c r="T315" s="1"/>
  <c r="T316" s="1"/>
  <c r="T317" s="1"/>
  <c r="T318" s="1"/>
  <c r="T319" s="1"/>
  <c r="T320" s="1"/>
  <c r="T321" s="1"/>
  <c r="T322" s="1"/>
  <c r="T323" s="1"/>
  <c r="T324" s="1"/>
  <c r="T325" s="1"/>
  <c r="T326" s="1"/>
  <c r="T327" s="1"/>
  <c r="T328" s="1"/>
  <c r="T329" s="1"/>
  <c r="T330" s="1"/>
  <c r="T331" s="1"/>
  <c r="T332" s="1"/>
  <c r="T333" s="1"/>
  <c r="T334" s="1"/>
  <c r="T335" s="1"/>
  <c r="T336" s="1"/>
  <c r="T337" s="1"/>
  <c r="T338" s="1"/>
  <c r="T339" s="1"/>
  <c r="T340" s="1"/>
  <c r="T341" s="1"/>
  <c r="T342" s="1"/>
  <c r="T343" s="1"/>
  <c r="T344" s="1"/>
  <c r="T345" s="1"/>
  <c r="T346" s="1"/>
  <c r="T347" s="1"/>
  <c r="T348" s="1"/>
  <c r="T349" s="1"/>
  <c r="T350" s="1"/>
  <c r="T351" s="1"/>
  <c r="T352" s="1"/>
  <c r="T353" s="1"/>
  <c r="T354" s="1"/>
  <c r="T355" s="1"/>
  <c r="T356" s="1"/>
  <c r="T357" s="1"/>
  <c r="T358" s="1"/>
  <c r="T359" s="1"/>
  <c r="T360" s="1"/>
  <c r="T361" s="1"/>
  <c r="T362" s="1"/>
  <c r="T363" s="1"/>
  <c r="T364" s="1"/>
  <c r="T365" s="1"/>
  <c r="T366" s="1"/>
  <c r="T367" s="1"/>
  <c r="T368" s="1"/>
  <c r="T369" s="1"/>
  <c r="T370" s="1"/>
  <c r="T371" s="1"/>
  <c r="T372" s="1"/>
  <c r="T373" s="1"/>
  <c r="T374" s="1"/>
  <c r="T375" s="1"/>
  <c r="T376" s="1"/>
  <c r="T377" s="1"/>
  <c r="T378" s="1"/>
  <c r="T379" s="1"/>
  <c r="T380" s="1"/>
  <c r="T381" s="1"/>
  <c r="T382" s="1"/>
  <c r="T383" s="1"/>
  <c r="T384" s="1"/>
  <c r="T385" s="1"/>
  <c r="T386" s="1"/>
  <c r="T387" s="1"/>
  <c r="T388" s="1"/>
  <c r="T389" s="1"/>
  <c r="T390" s="1"/>
  <c r="T391" s="1"/>
  <c r="T392" s="1"/>
  <c r="T393" s="1"/>
  <c r="T394" s="1"/>
  <c r="T395" s="1"/>
  <c r="T396" s="1"/>
  <c r="T397" s="1"/>
  <c r="T398" s="1"/>
  <c r="T399" s="1"/>
  <c r="T400" s="1"/>
  <c r="T401" s="1"/>
  <c r="T402" s="1"/>
  <c r="T403" s="1"/>
  <c r="T404" s="1"/>
  <c r="T405" s="1"/>
  <c r="T406" s="1"/>
  <c r="T407" s="1"/>
  <c r="T408" s="1"/>
  <c r="T409" s="1"/>
  <c r="T410" s="1"/>
  <c r="T411" s="1"/>
  <c r="T412" s="1"/>
  <c r="T413" s="1"/>
  <c r="T414" s="1"/>
  <c r="T415" s="1"/>
  <c r="T416" s="1"/>
  <c r="T417" s="1"/>
  <c r="T418" s="1"/>
  <c r="T419" s="1"/>
  <c r="T420" s="1"/>
  <c r="T421" s="1"/>
  <c r="T422" s="1"/>
  <c r="T423" s="1"/>
  <c r="T424" s="1"/>
  <c r="T425" s="1"/>
  <c r="T426" s="1"/>
  <c r="T427" s="1"/>
  <c r="T428" s="1"/>
  <c r="T429" s="1"/>
  <c r="T430" s="1"/>
  <c r="T431" s="1"/>
  <c r="T432" s="1"/>
  <c r="T433" s="1"/>
  <c r="T434" s="1"/>
  <c r="T435" s="1"/>
  <c r="T436" s="1"/>
  <c r="T437" s="1"/>
  <c r="T438" s="1"/>
  <c r="T439" s="1"/>
  <c r="T440" s="1"/>
  <c r="T441" s="1"/>
  <c r="T442" s="1"/>
  <c r="T443" s="1"/>
  <c r="T444" s="1"/>
  <c r="T445" s="1"/>
  <c r="T446" s="1"/>
  <c r="T447" s="1"/>
  <c r="T448" s="1"/>
  <c r="T449" s="1"/>
  <c r="T450" s="1"/>
  <c r="T451" s="1"/>
  <c r="T452" s="1"/>
  <c r="T453" s="1"/>
  <c r="T454" s="1"/>
  <c r="T455" s="1"/>
  <c r="T456" s="1"/>
  <c r="T457" s="1"/>
  <c r="T458" s="1"/>
  <c r="T459" s="1"/>
  <c r="T460" s="1"/>
  <c r="T461" s="1"/>
  <c r="T462" s="1"/>
  <c r="T463" s="1"/>
  <c r="T464" s="1"/>
  <c r="T465" s="1"/>
  <c r="T466" s="1"/>
  <c r="T467" s="1"/>
  <c r="T468" s="1"/>
  <c r="T469" s="1"/>
  <c r="T470" s="1"/>
  <c r="T471" s="1"/>
  <c r="T472" s="1"/>
  <c r="T473" s="1"/>
  <c r="T474" s="1"/>
  <c r="T475" s="1"/>
  <c r="T476" s="1"/>
  <c r="T477" s="1"/>
  <c r="T478" s="1"/>
  <c r="T479" s="1"/>
  <c r="T480" s="1"/>
  <c r="T481" s="1"/>
  <c r="T482" s="1"/>
  <c r="T483" s="1"/>
  <c r="T484" s="1"/>
  <c r="T485" s="1"/>
  <c r="T486" s="1"/>
  <c r="T487" s="1"/>
  <c r="T488" s="1"/>
  <c r="T489" s="1"/>
  <c r="T490" s="1"/>
  <c r="T491" s="1"/>
  <c r="T492" s="1"/>
  <c r="T493" s="1"/>
  <c r="T494" s="1"/>
  <c r="T495" s="1"/>
  <c r="T496" s="1"/>
  <c r="T497" s="1"/>
  <c r="T498" s="1"/>
  <c r="T499" s="1"/>
  <c r="T500" s="1"/>
  <c r="T501" s="1"/>
  <c r="S501"/>
  <c r="S500"/>
  <c r="S499"/>
  <c r="S498"/>
  <c r="S497"/>
  <c r="S496"/>
  <c r="S495"/>
  <c r="S494"/>
  <c r="S493"/>
  <c r="S492"/>
  <c r="S491"/>
  <c r="S490"/>
  <c r="S489"/>
  <c r="S488"/>
  <c r="S487"/>
  <c r="S486"/>
  <c r="S485"/>
  <c r="S484"/>
  <c r="S483"/>
  <c r="S482"/>
  <c r="S481"/>
  <c r="S480"/>
  <c r="S479"/>
  <c r="S478"/>
  <c r="S477"/>
  <c r="S476"/>
  <c r="S475"/>
  <c r="S474"/>
  <c r="S473"/>
  <c r="S472"/>
  <c r="S471"/>
  <c r="S470"/>
  <c r="S469"/>
  <c r="S468"/>
  <c r="S467"/>
  <c r="S466"/>
  <c r="S465"/>
  <c r="S464"/>
  <c r="S463"/>
  <c r="S462"/>
  <c r="S461"/>
  <c r="S460"/>
  <c r="S459"/>
  <c r="S458"/>
  <c r="S457"/>
  <c r="S456"/>
  <c r="S455"/>
  <c r="S454"/>
  <c r="S453"/>
  <c r="S452"/>
  <c r="S451"/>
  <c r="S450"/>
  <c r="S449"/>
  <c r="S448"/>
  <c r="S447"/>
  <c r="S446"/>
  <c r="S445"/>
  <c r="S444"/>
  <c r="S443"/>
  <c r="S442"/>
  <c r="S441"/>
  <c r="S440"/>
  <c r="S439"/>
  <c r="S438"/>
  <c r="S437"/>
  <c r="S436"/>
  <c r="S435"/>
  <c r="S434"/>
  <c r="S433"/>
  <c r="S432"/>
  <c r="S431"/>
  <c r="S430"/>
  <c r="S429"/>
  <c r="S428"/>
  <c r="S427"/>
  <c r="S426"/>
  <c r="S425"/>
  <c r="S424"/>
  <c r="S423"/>
  <c r="S422"/>
  <c r="S421"/>
  <c r="S420"/>
  <c r="S419"/>
  <c r="S418"/>
  <c r="S417"/>
  <c r="S416"/>
  <c r="S415"/>
  <c r="S414"/>
  <c r="S413"/>
  <c r="S412"/>
  <c r="S411"/>
  <c r="S410"/>
  <c r="S409"/>
  <c r="S408"/>
  <c r="S407"/>
  <c r="S406"/>
  <c r="S405"/>
  <c r="S404"/>
  <c r="S403"/>
  <c r="S402"/>
  <c r="S401"/>
  <c r="S400"/>
  <c r="S399"/>
  <c r="S398"/>
  <c r="S397"/>
  <c r="S396"/>
  <c r="S395"/>
  <c r="S394"/>
  <c r="S393"/>
  <c r="S392"/>
  <c r="S391"/>
  <c r="S390"/>
  <c r="S389"/>
  <c r="S388"/>
  <c r="S387"/>
  <c r="S386"/>
  <c r="S385"/>
  <c r="S384"/>
  <c r="S383"/>
  <c r="S382"/>
  <c r="S381"/>
  <c r="S380"/>
  <c r="S379"/>
  <c r="S378"/>
  <c r="S377"/>
  <c r="S376"/>
  <c r="S375"/>
  <c r="S374"/>
  <c r="S373"/>
  <c r="S372"/>
  <c r="S371"/>
  <c r="S370"/>
  <c r="S369"/>
  <c r="S368"/>
  <c r="S367"/>
  <c r="S366"/>
  <c r="S365"/>
  <c r="S364"/>
  <c r="S363"/>
  <c r="S362"/>
  <c r="S361"/>
  <c r="S360"/>
  <c r="S359"/>
  <c r="S358"/>
  <c r="S357"/>
  <c r="S356"/>
  <c r="S355"/>
  <c r="S354"/>
  <c r="S353"/>
  <c r="S352"/>
  <c r="S351"/>
  <c r="S350"/>
  <c r="S349"/>
  <c r="S348"/>
  <c r="S347"/>
  <c r="S346"/>
  <c r="S345"/>
  <c r="S344"/>
  <c r="S343"/>
  <c r="S342"/>
  <c r="S341"/>
  <c r="S340"/>
  <c r="S339"/>
  <c r="S338"/>
  <c r="S337"/>
  <c r="S336"/>
  <c r="S335"/>
  <c r="S334"/>
  <c r="S333"/>
  <c r="S332"/>
  <c r="S331"/>
  <c r="S330"/>
  <c r="S329"/>
  <c r="S328"/>
  <c r="S327"/>
  <c r="S326"/>
  <c r="S325"/>
  <c r="S324"/>
  <c r="S323"/>
  <c r="S322"/>
  <c r="S321"/>
  <c r="S320"/>
  <c r="S319"/>
  <c r="S318"/>
  <c r="S317"/>
  <c r="S316"/>
  <c r="S315"/>
  <c r="S314"/>
  <c r="S313"/>
  <c r="S312"/>
  <c r="S311"/>
  <c r="S310"/>
  <c r="S309"/>
  <c r="S308"/>
  <c r="S307"/>
  <c r="S306"/>
  <c r="S305"/>
  <c r="S304"/>
  <c r="S303"/>
  <c r="S302"/>
  <c r="S301"/>
  <c r="S300"/>
  <c r="S299"/>
  <c r="S298"/>
  <c r="S297"/>
  <c r="S296"/>
  <c r="S295"/>
  <c r="S294"/>
  <c r="S293"/>
  <c r="S292"/>
  <c r="S291"/>
  <c r="S290"/>
  <c r="S289"/>
  <c r="S288"/>
  <c r="S287"/>
  <c r="S286"/>
  <c r="S285"/>
  <c r="S284"/>
  <c r="S283"/>
  <c r="S282"/>
  <c r="S281"/>
  <c r="S280"/>
  <c r="S279"/>
  <c r="S278"/>
  <c r="S277"/>
  <c r="S276"/>
  <c r="S275"/>
  <c r="S274"/>
  <c r="S273"/>
  <c r="S272"/>
  <c r="S271"/>
  <c r="S270"/>
  <c r="S269"/>
  <c r="S268"/>
  <c r="S267"/>
  <c r="S266"/>
  <c r="S265"/>
  <c r="S264"/>
  <c r="S263"/>
  <c r="S262"/>
  <c r="S261"/>
  <c r="S260"/>
  <c r="S259"/>
  <c r="S258"/>
  <c r="S257"/>
  <c r="S256"/>
  <c r="S255"/>
  <c r="S254"/>
  <c r="S253"/>
  <c r="S252"/>
  <c r="S251"/>
  <c r="S250"/>
  <c r="S249"/>
  <c r="S248"/>
  <c r="S247"/>
  <c r="S246"/>
  <c r="S245"/>
  <c r="S244"/>
  <c r="S243"/>
  <c r="S242"/>
  <c r="S241"/>
  <c r="S240"/>
  <c r="S239"/>
  <c r="S238"/>
  <c r="S237"/>
  <c r="S236"/>
  <c r="S235"/>
  <c r="S234"/>
  <c r="S233"/>
  <c r="S232"/>
  <c r="S231"/>
  <c r="S230"/>
  <c r="S229"/>
  <c r="S228"/>
  <c r="S227"/>
  <c r="S226"/>
  <c r="S225"/>
  <c r="S224"/>
  <c r="S223"/>
  <c r="S222"/>
  <c r="S221"/>
  <c r="S220"/>
  <c r="S219"/>
  <c r="S218"/>
  <c r="S217"/>
  <c r="S216"/>
  <c r="S215"/>
  <c r="S214"/>
  <c r="S213"/>
  <c r="S212"/>
  <c r="S211"/>
  <c r="S210"/>
  <c r="S209"/>
  <c r="S208"/>
  <c r="S207"/>
  <c r="S206"/>
  <c r="S205"/>
  <c r="S204"/>
  <c r="S203"/>
  <c r="S202"/>
  <c r="S201"/>
  <c r="S200"/>
  <c r="S199"/>
  <c r="S198"/>
  <c r="S197"/>
  <c r="S196"/>
  <c r="S195"/>
  <c r="S194"/>
  <c r="S193"/>
  <c r="S192"/>
  <c r="S191"/>
  <c r="S190"/>
  <c r="S189"/>
  <c r="S188"/>
  <c r="S187"/>
  <c r="S186"/>
  <c r="S185"/>
  <c r="S184"/>
  <c r="S183"/>
  <c r="S182"/>
  <c r="S181"/>
  <c r="S180"/>
  <c r="S179"/>
  <c r="S178"/>
  <c r="S177"/>
  <c r="S176"/>
  <c r="S175"/>
  <c r="S174"/>
  <c r="S173"/>
  <c r="S172"/>
  <c r="S171"/>
  <c r="S170"/>
  <c r="S169"/>
  <c r="S168"/>
  <c r="S167"/>
  <c r="S166"/>
  <c r="S165"/>
  <c r="S164"/>
  <c r="S163"/>
  <c r="S162"/>
  <c r="S161"/>
  <c r="S160"/>
  <c r="S159"/>
  <c r="S158"/>
  <c r="S157"/>
  <c r="S156"/>
  <c r="S155"/>
  <c r="S154"/>
  <c r="S153"/>
  <c r="S152"/>
  <c r="S151"/>
  <c r="S150"/>
  <c r="S149"/>
  <c r="S148"/>
  <c r="S147"/>
  <c r="S146"/>
  <c r="S145"/>
  <c r="S144"/>
  <c r="S143"/>
  <c r="S142"/>
  <c r="S141"/>
  <c r="S140"/>
  <c r="S139"/>
  <c r="S138"/>
  <c r="S137"/>
  <c r="S136"/>
  <c r="S135"/>
  <c r="S134"/>
  <c r="S133"/>
  <c r="S132"/>
  <c r="S131"/>
  <c r="S130"/>
  <c r="S129"/>
  <c r="S128"/>
  <c r="S127"/>
  <c r="S126"/>
  <c r="S125"/>
  <c r="S124"/>
  <c r="S123"/>
  <c r="S122"/>
  <c r="S121"/>
  <c r="S120"/>
  <c r="S119"/>
  <c r="S118"/>
  <c r="S117"/>
  <c r="S116"/>
  <c r="S115"/>
  <c r="S114"/>
  <c r="S113"/>
  <c r="S112"/>
  <c r="S111"/>
  <c r="S110"/>
  <c r="S109"/>
  <c r="S108"/>
  <c r="S107"/>
  <c r="S106"/>
  <c r="S105"/>
  <c r="S104"/>
  <c r="S103"/>
  <c r="S102"/>
  <c r="S101"/>
  <c r="S100"/>
  <c r="S99"/>
  <c r="S98"/>
  <c r="S97"/>
  <c r="S96"/>
  <c r="S95"/>
  <c r="S94"/>
  <c r="S93"/>
  <c r="S92"/>
  <c r="S91"/>
  <c r="S90"/>
  <c r="S89"/>
  <c r="S88"/>
  <c r="S87"/>
  <c r="S86"/>
  <c r="S85"/>
  <c r="S84"/>
  <c r="S83"/>
  <c r="S82"/>
  <c r="S81"/>
  <c r="S80"/>
  <c r="S79"/>
  <c r="S78"/>
  <c r="S77"/>
  <c r="S76"/>
  <c r="S75"/>
  <c r="S74"/>
  <c r="S73"/>
  <c r="S72"/>
  <c r="S71"/>
  <c r="S70"/>
  <c r="S69"/>
  <c r="S68"/>
  <c r="S67"/>
  <c r="S66"/>
  <c r="S65"/>
  <c r="S64"/>
  <c r="S63"/>
  <c r="S62"/>
  <c r="S61"/>
  <c r="S60"/>
  <c r="S59"/>
  <c r="S58"/>
  <c r="S57"/>
  <c r="S56"/>
  <c r="S55"/>
  <c r="S54"/>
  <c r="S53"/>
  <c r="S52"/>
  <c r="S51"/>
  <c r="S50"/>
  <c r="S49"/>
  <c r="S48"/>
  <c r="S47"/>
  <c r="S46"/>
  <c r="S45"/>
  <c r="S44"/>
  <c r="S43"/>
  <c r="S42"/>
  <c r="S41"/>
  <c r="S40"/>
  <c r="S39"/>
  <c r="S38"/>
  <c r="S37"/>
  <c r="S36"/>
  <c r="S35"/>
  <c r="S34"/>
  <c r="S33"/>
  <c r="S32"/>
  <c r="S31"/>
  <c r="S30"/>
  <c r="S29"/>
  <c r="S28"/>
  <c r="S27"/>
  <c r="S26"/>
  <c r="S25"/>
  <c r="S24"/>
  <c r="S23"/>
  <c r="S22"/>
  <c r="S21"/>
  <c r="S20"/>
  <c r="S19"/>
  <c r="S18"/>
  <c r="S17"/>
  <c r="S16"/>
  <c r="S15"/>
  <c r="S14"/>
  <c r="S13"/>
  <c r="S12"/>
  <c r="S11"/>
  <c r="S10"/>
  <c r="S9"/>
  <c r="S8"/>
  <c r="S7"/>
  <c r="S6"/>
  <c r="S5"/>
  <c r="S4"/>
  <c r="S3"/>
  <c r="S2"/>
  <c r="S1"/>
  <c r="R3"/>
  <c r="R4" s="1"/>
  <c r="R5" s="1"/>
  <c r="R6" s="1"/>
  <c r="R7" s="1"/>
  <c r="R8" s="1"/>
  <c r="R9" s="1"/>
  <c r="R10" s="1"/>
  <c r="R11" s="1"/>
  <c r="R12" s="1"/>
  <c r="R13" s="1"/>
  <c r="R14" s="1"/>
  <c r="R15" s="1"/>
  <c r="R16" s="1"/>
  <c r="R17" s="1"/>
  <c r="R18" s="1"/>
  <c r="R19" s="1"/>
  <c r="R20" s="1"/>
  <c r="R21" s="1"/>
  <c r="R22" s="1"/>
  <c r="R23" s="1"/>
  <c r="R24" s="1"/>
  <c r="R25" s="1"/>
  <c r="R26" s="1"/>
  <c r="R27" s="1"/>
  <c r="R28" s="1"/>
  <c r="R29" s="1"/>
  <c r="R30" s="1"/>
  <c r="R31" s="1"/>
  <c r="R32" s="1"/>
  <c r="R33" s="1"/>
  <c r="R34" s="1"/>
  <c r="R35" s="1"/>
  <c r="R36" s="1"/>
  <c r="R37" s="1"/>
  <c r="R38" s="1"/>
  <c r="R39" s="1"/>
  <c r="R40" s="1"/>
  <c r="R41" s="1"/>
  <c r="R42" s="1"/>
  <c r="R43" s="1"/>
  <c r="R44" s="1"/>
  <c r="R45" s="1"/>
  <c r="R46" s="1"/>
  <c r="R47" s="1"/>
  <c r="R48" s="1"/>
  <c r="R49" s="1"/>
  <c r="R50" s="1"/>
  <c r="R51" s="1"/>
  <c r="R52" s="1"/>
  <c r="R53" s="1"/>
  <c r="R54" s="1"/>
  <c r="R55" s="1"/>
  <c r="R56" s="1"/>
  <c r="R57" s="1"/>
  <c r="R58" s="1"/>
  <c r="R59" s="1"/>
  <c r="R60" s="1"/>
  <c r="R61" s="1"/>
  <c r="R62" s="1"/>
  <c r="R63" s="1"/>
  <c r="R64" s="1"/>
  <c r="R65" s="1"/>
  <c r="R66" s="1"/>
  <c r="R67" s="1"/>
  <c r="R68" s="1"/>
  <c r="R69" s="1"/>
  <c r="R70" s="1"/>
  <c r="R71" s="1"/>
  <c r="R72" s="1"/>
  <c r="R73" s="1"/>
  <c r="R74" s="1"/>
  <c r="R75" s="1"/>
  <c r="R76" s="1"/>
  <c r="R77" s="1"/>
  <c r="R78" s="1"/>
  <c r="R79" s="1"/>
  <c r="R80" s="1"/>
  <c r="R81" s="1"/>
  <c r="R82" s="1"/>
  <c r="R83" s="1"/>
  <c r="R84" s="1"/>
  <c r="R85" s="1"/>
  <c r="R86" s="1"/>
  <c r="R87" s="1"/>
  <c r="R88" s="1"/>
  <c r="R89" s="1"/>
  <c r="R90" s="1"/>
  <c r="R91" s="1"/>
  <c r="R92" s="1"/>
  <c r="R93" s="1"/>
  <c r="R94" s="1"/>
  <c r="R95" s="1"/>
  <c r="R96" s="1"/>
  <c r="R97" s="1"/>
  <c r="R98" s="1"/>
  <c r="R99" s="1"/>
  <c r="R100" s="1"/>
  <c r="R101" s="1"/>
  <c r="R102" s="1"/>
  <c r="R103" s="1"/>
  <c r="R104" s="1"/>
  <c r="R105" s="1"/>
  <c r="R106" s="1"/>
  <c r="R107" s="1"/>
  <c r="R108" s="1"/>
  <c r="R109" s="1"/>
  <c r="R110" s="1"/>
  <c r="R111" s="1"/>
  <c r="R112" s="1"/>
  <c r="R113" s="1"/>
  <c r="R114" s="1"/>
  <c r="R115" s="1"/>
  <c r="R116" s="1"/>
  <c r="R117" s="1"/>
  <c r="R118" s="1"/>
  <c r="R119" s="1"/>
  <c r="R120" s="1"/>
  <c r="R121" s="1"/>
  <c r="R122" s="1"/>
  <c r="R123" s="1"/>
  <c r="R124" s="1"/>
  <c r="R125" s="1"/>
  <c r="R126" s="1"/>
  <c r="R127" s="1"/>
  <c r="R128" s="1"/>
  <c r="R129" s="1"/>
  <c r="R130" s="1"/>
  <c r="R131" s="1"/>
  <c r="R132" s="1"/>
  <c r="R133" s="1"/>
  <c r="R134" s="1"/>
  <c r="R135" s="1"/>
  <c r="R136" s="1"/>
  <c r="R137" s="1"/>
  <c r="R138" s="1"/>
  <c r="R139" s="1"/>
  <c r="R140" s="1"/>
  <c r="R141" s="1"/>
  <c r="R142" s="1"/>
  <c r="R143" s="1"/>
  <c r="R144" s="1"/>
  <c r="R145" s="1"/>
  <c r="R146" s="1"/>
  <c r="R147" s="1"/>
  <c r="R148" s="1"/>
  <c r="R149" s="1"/>
  <c r="R150" s="1"/>
  <c r="R151" s="1"/>
  <c r="R152" s="1"/>
  <c r="R153" s="1"/>
  <c r="R154" s="1"/>
  <c r="R155" s="1"/>
  <c r="R156" s="1"/>
  <c r="R157" s="1"/>
  <c r="R158" s="1"/>
  <c r="R159" s="1"/>
  <c r="R160" s="1"/>
  <c r="R161" s="1"/>
  <c r="R162" s="1"/>
  <c r="R163" s="1"/>
  <c r="R164" s="1"/>
  <c r="R165" s="1"/>
  <c r="R166" s="1"/>
  <c r="R167" s="1"/>
  <c r="R168" s="1"/>
  <c r="R169" s="1"/>
  <c r="R170" s="1"/>
  <c r="R171" s="1"/>
  <c r="R172" s="1"/>
  <c r="R173" s="1"/>
  <c r="R174" s="1"/>
  <c r="R175" s="1"/>
  <c r="R176" s="1"/>
  <c r="R177" s="1"/>
  <c r="R178" s="1"/>
  <c r="R179" s="1"/>
  <c r="R180" s="1"/>
  <c r="R181" s="1"/>
  <c r="R182" s="1"/>
  <c r="R183" s="1"/>
  <c r="R184" s="1"/>
  <c r="R185" s="1"/>
  <c r="R186" s="1"/>
  <c r="R187" s="1"/>
  <c r="R188" s="1"/>
  <c r="R189" s="1"/>
  <c r="R190" s="1"/>
  <c r="R191" s="1"/>
  <c r="R192" s="1"/>
  <c r="R193" s="1"/>
  <c r="R194" s="1"/>
  <c r="R195" s="1"/>
  <c r="R196" s="1"/>
  <c r="R197" s="1"/>
  <c r="R198" s="1"/>
  <c r="R199" s="1"/>
  <c r="R200" s="1"/>
  <c r="R201" s="1"/>
  <c r="R202" s="1"/>
  <c r="R203" s="1"/>
  <c r="R204" s="1"/>
  <c r="R205" s="1"/>
  <c r="R206" s="1"/>
  <c r="R207" s="1"/>
  <c r="R208" s="1"/>
  <c r="R209" s="1"/>
  <c r="R210" s="1"/>
  <c r="R211" s="1"/>
  <c r="R212" s="1"/>
  <c r="R213" s="1"/>
  <c r="R214" s="1"/>
  <c r="R215" s="1"/>
  <c r="R216" s="1"/>
  <c r="R217" s="1"/>
  <c r="R218" s="1"/>
  <c r="R219" s="1"/>
  <c r="R220" s="1"/>
  <c r="R221" s="1"/>
  <c r="R222" s="1"/>
  <c r="R223" s="1"/>
  <c r="R224" s="1"/>
  <c r="R225" s="1"/>
  <c r="R226" s="1"/>
  <c r="R227" s="1"/>
  <c r="R228" s="1"/>
  <c r="R229" s="1"/>
  <c r="R230" s="1"/>
  <c r="R231" s="1"/>
  <c r="R232" s="1"/>
  <c r="R233" s="1"/>
  <c r="R234" s="1"/>
  <c r="R235" s="1"/>
  <c r="R236" s="1"/>
  <c r="R237" s="1"/>
  <c r="R238" s="1"/>
  <c r="R239" s="1"/>
  <c r="R240" s="1"/>
  <c r="R241" s="1"/>
  <c r="R242" s="1"/>
  <c r="R243" s="1"/>
  <c r="R244" s="1"/>
  <c r="R245" s="1"/>
  <c r="R246" s="1"/>
  <c r="R247" s="1"/>
  <c r="R248" s="1"/>
  <c r="R249" s="1"/>
  <c r="R250" s="1"/>
  <c r="R251" s="1"/>
  <c r="R252" s="1"/>
  <c r="R253" s="1"/>
  <c r="R254" s="1"/>
  <c r="R255" s="1"/>
  <c r="R256" s="1"/>
  <c r="R257" s="1"/>
  <c r="R258" s="1"/>
  <c r="R259" s="1"/>
  <c r="R260" s="1"/>
  <c r="R261" s="1"/>
  <c r="R262" s="1"/>
  <c r="R263" s="1"/>
  <c r="R264" s="1"/>
  <c r="R265" s="1"/>
  <c r="R266" s="1"/>
  <c r="R267" s="1"/>
  <c r="R268" s="1"/>
  <c r="R269" s="1"/>
  <c r="R270" s="1"/>
  <c r="R271" s="1"/>
  <c r="R272" s="1"/>
  <c r="R273" s="1"/>
  <c r="R274" s="1"/>
  <c r="R275" s="1"/>
  <c r="R276" s="1"/>
  <c r="R277" s="1"/>
  <c r="R278" s="1"/>
  <c r="R279" s="1"/>
  <c r="R280" s="1"/>
  <c r="R281" s="1"/>
  <c r="R282" s="1"/>
  <c r="R283" s="1"/>
  <c r="R284" s="1"/>
  <c r="R285" s="1"/>
  <c r="R286" s="1"/>
  <c r="R287" s="1"/>
  <c r="R288" s="1"/>
  <c r="R289" s="1"/>
  <c r="R290" s="1"/>
  <c r="R291" s="1"/>
  <c r="R292" s="1"/>
  <c r="R293" s="1"/>
  <c r="R294" s="1"/>
  <c r="R295" s="1"/>
  <c r="R296" s="1"/>
  <c r="R297" s="1"/>
  <c r="R298" s="1"/>
  <c r="R299" s="1"/>
  <c r="R300" s="1"/>
  <c r="R301" s="1"/>
  <c r="R302" s="1"/>
  <c r="R303" s="1"/>
  <c r="R304" s="1"/>
  <c r="R305" s="1"/>
  <c r="R306" s="1"/>
  <c r="R307" s="1"/>
  <c r="R308" s="1"/>
  <c r="R309" s="1"/>
  <c r="R310" s="1"/>
  <c r="R311" s="1"/>
  <c r="R312" s="1"/>
  <c r="R313" s="1"/>
  <c r="R314" s="1"/>
  <c r="R315" s="1"/>
  <c r="R316" s="1"/>
  <c r="R317" s="1"/>
  <c r="R318" s="1"/>
  <c r="R319" s="1"/>
  <c r="R320" s="1"/>
  <c r="R321" s="1"/>
  <c r="R322" s="1"/>
  <c r="R323" s="1"/>
  <c r="R324" s="1"/>
  <c r="R325" s="1"/>
  <c r="R326" s="1"/>
  <c r="R327" s="1"/>
  <c r="R328" s="1"/>
  <c r="R329" s="1"/>
  <c r="R330" s="1"/>
  <c r="R331" s="1"/>
  <c r="R332" s="1"/>
  <c r="R333" s="1"/>
  <c r="R334" s="1"/>
  <c r="R335" s="1"/>
  <c r="R336" s="1"/>
  <c r="R337" s="1"/>
  <c r="R338" s="1"/>
  <c r="R339" s="1"/>
  <c r="R340" s="1"/>
  <c r="R341" s="1"/>
  <c r="R342" s="1"/>
  <c r="R343" s="1"/>
  <c r="R344" s="1"/>
  <c r="R345" s="1"/>
  <c r="R346" s="1"/>
  <c r="R347" s="1"/>
  <c r="R348" s="1"/>
  <c r="R349" s="1"/>
  <c r="R350" s="1"/>
  <c r="R351" s="1"/>
  <c r="R352" s="1"/>
  <c r="R353" s="1"/>
  <c r="R354" s="1"/>
  <c r="R355" s="1"/>
  <c r="R356" s="1"/>
  <c r="R357" s="1"/>
  <c r="R358" s="1"/>
  <c r="R359" s="1"/>
  <c r="R360" s="1"/>
  <c r="R361" s="1"/>
  <c r="R362" s="1"/>
  <c r="R363" s="1"/>
  <c r="R364" s="1"/>
  <c r="R365" s="1"/>
  <c r="R366" s="1"/>
  <c r="R367" s="1"/>
  <c r="R368" s="1"/>
  <c r="R369" s="1"/>
  <c r="R370" s="1"/>
  <c r="R371" s="1"/>
  <c r="R372" s="1"/>
  <c r="R373" s="1"/>
  <c r="R374" s="1"/>
  <c r="R375" s="1"/>
  <c r="R376" s="1"/>
  <c r="R377" s="1"/>
  <c r="R378" s="1"/>
  <c r="R379" s="1"/>
  <c r="R380" s="1"/>
  <c r="R381" s="1"/>
  <c r="R382" s="1"/>
  <c r="R383" s="1"/>
  <c r="R384" s="1"/>
  <c r="R385" s="1"/>
  <c r="R386" s="1"/>
  <c r="R387" s="1"/>
  <c r="R388" s="1"/>
  <c r="R389" s="1"/>
  <c r="R390" s="1"/>
  <c r="R391" s="1"/>
  <c r="R392" s="1"/>
  <c r="R393" s="1"/>
  <c r="R394" s="1"/>
  <c r="R395" s="1"/>
  <c r="R396" s="1"/>
  <c r="R397" s="1"/>
  <c r="R398" s="1"/>
  <c r="R399" s="1"/>
  <c r="R400" s="1"/>
  <c r="R401" s="1"/>
  <c r="R402" s="1"/>
  <c r="R403" s="1"/>
  <c r="R404" s="1"/>
  <c r="R405" s="1"/>
  <c r="R406" s="1"/>
  <c r="R407" s="1"/>
  <c r="R408" s="1"/>
  <c r="R409" s="1"/>
  <c r="R410" s="1"/>
  <c r="R411" s="1"/>
  <c r="R412" s="1"/>
  <c r="R413" s="1"/>
  <c r="R414" s="1"/>
  <c r="R415" s="1"/>
  <c r="R416" s="1"/>
  <c r="R417" s="1"/>
  <c r="R418" s="1"/>
  <c r="R419" s="1"/>
  <c r="R420" s="1"/>
  <c r="R421" s="1"/>
  <c r="R422" s="1"/>
  <c r="R423" s="1"/>
  <c r="R424" s="1"/>
  <c r="R425" s="1"/>
  <c r="R426" s="1"/>
  <c r="R427" s="1"/>
  <c r="R428" s="1"/>
  <c r="R429" s="1"/>
  <c r="R430" s="1"/>
  <c r="R431" s="1"/>
  <c r="R432" s="1"/>
  <c r="R433" s="1"/>
  <c r="R434" s="1"/>
  <c r="R435" s="1"/>
  <c r="R436" s="1"/>
  <c r="R437" s="1"/>
  <c r="R438" s="1"/>
  <c r="R439" s="1"/>
  <c r="R440" s="1"/>
  <c r="R441" s="1"/>
  <c r="R442" s="1"/>
  <c r="R443" s="1"/>
  <c r="R444" s="1"/>
  <c r="R445" s="1"/>
  <c r="R446" s="1"/>
  <c r="R447" s="1"/>
  <c r="R448" s="1"/>
  <c r="R449" s="1"/>
  <c r="R450" s="1"/>
  <c r="R451" s="1"/>
  <c r="R452" s="1"/>
  <c r="R453" s="1"/>
  <c r="R454" s="1"/>
  <c r="R455" s="1"/>
  <c r="R456" s="1"/>
  <c r="R457" s="1"/>
  <c r="R458" s="1"/>
  <c r="R459" s="1"/>
  <c r="R460" s="1"/>
  <c r="R461" s="1"/>
  <c r="R462" s="1"/>
  <c r="R463" s="1"/>
  <c r="R464" s="1"/>
  <c r="R465" s="1"/>
  <c r="R466" s="1"/>
  <c r="R467" s="1"/>
  <c r="R468" s="1"/>
  <c r="R469" s="1"/>
  <c r="R470" s="1"/>
  <c r="R471" s="1"/>
  <c r="R472" s="1"/>
  <c r="R473" s="1"/>
  <c r="R474" s="1"/>
  <c r="R475" s="1"/>
  <c r="R476" s="1"/>
  <c r="R477" s="1"/>
  <c r="R478" s="1"/>
  <c r="R479" s="1"/>
  <c r="R480" s="1"/>
  <c r="R481" s="1"/>
  <c r="R482" s="1"/>
  <c r="R483" s="1"/>
  <c r="R484" s="1"/>
  <c r="R485" s="1"/>
  <c r="R486" s="1"/>
  <c r="R487" s="1"/>
  <c r="R488" s="1"/>
  <c r="R489" s="1"/>
  <c r="R490" s="1"/>
  <c r="R491" s="1"/>
  <c r="R492" s="1"/>
  <c r="R493" s="1"/>
  <c r="R494" s="1"/>
  <c r="R495" s="1"/>
  <c r="R496" s="1"/>
  <c r="R497" s="1"/>
  <c r="R498" s="1"/>
  <c r="R499" s="1"/>
  <c r="R500" s="1"/>
  <c r="R501" s="1"/>
  <c r="Q501"/>
  <c r="Q500"/>
  <c r="Q499"/>
  <c r="Q498"/>
  <c r="Q497"/>
  <c r="Q496"/>
  <c r="Q495"/>
  <c r="Q494"/>
  <c r="Q493"/>
  <c r="Q492"/>
  <c r="Q491"/>
  <c r="Q490"/>
  <c r="Q489"/>
  <c r="Q488"/>
  <c r="Q487"/>
  <c r="Q486"/>
  <c r="Q485"/>
  <c r="Q484"/>
  <c r="Q483"/>
  <c r="Q482"/>
  <c r="Q481"/>
  <c r="Q480"/>
  <c r="Q479"/>
  <c r="Q478"/>
  <c r="Q477"/>
  <c r="Q476"/>
  <c r="Q475"/>
  <c r="Q474"/>
  <c r="Q473"/>
  <c r="Q472"/>
  <c r="Q471"/>
  <c r="Q470"/>
  <c r="Q469"/>
  <c r="Q468"/>
  <c r="Q467"/>
  <c r="Q466"/>
  <c r="Q465"/>
  <c r="Q464"/>
  <c r="Q463"/>
  <c r="Q462"/>
  <c r="Q461"/>
  <c r="Q460"/>
  <c r="Q459"/>
  <c r="Q458"/>
  <c r="Q457"/>
  <c r="Q456"/>
  <c r="Q455"/>
  <c r="Q454"/>
  <c r="Q453"/>
  <c r="Q452"/>
  <c r="Q451"/>
  <c r="Q450"/>
  <c r="Q449"/>
  <c r="Q448"/>
  <c r="Q447"/>
  <c r="Q446"/>
  <c r="Q445"/>
  <c r="Q444"/>
  <c r="Q443"/>
  <c r="Q442"/>
  <c r="Q441"/>
  <c r="Q440"/>
  <c r="Q439"/>
  <c r="Q438"/>
  <c r="Q437"/>
  <c r="Q436"/>
  <c r="Q435"/>
  <c r="Q434"/>
  <c r="Q433"/>
  <c r="Q432"/>
  <c r="Q431"/>
  <c r="Q430"/>
  <c r="Q429"/>
  <c r="Q428"/>
  <c r="Q427"/>
  <c r="Q426"/>
  <c r="Q425"/>
  <c r="Q424"/>
  <c r="Q423"/>
  <c r="Q422"/>
  <c r="Q421"/>
  <c r="Q420"/>
  <c r="Q419"/>
  <c r="Q418"/>
  <c r="Q417"/>
  <c r="Q416"/>
  <c r="Q415"/>
  <c r="Q414"/>
  <c r="Q413"/>
  <c r="Q412"/>
  <c r="Q411"/>
  <c r="Q410"/>
  <c r="Q409"/>
  <c r="Q408"/>
  <c r="Q407"/>
  <c r="Q406"/>
  <c r="Q405"/>
  <c r="Q404"/>
  <c r="Q403"/>
  <c r="Q402"/>
  <c r="Q401"/>
  <c r="Q400"/>
  <c r="Q399"/>
  <c r="Q398"/>
  <c r="Q397"/>
  <c r="Q396"/>
  <c r="Q395"/>
  <c r="Q394"/>
  <c r="Q393"/>
  <c r="Q392"/>
  <c r="Q391"/>
  <c r="Q390"/>
  <c r="Q389"/>
  <c r="Q388"/>
  <c r="Q387"/>
  <c r="Q386"/>
  <c r="Q385"/>
  <c r="Q384"/>
  <c r="Q383"/>
  <c r="Q382"/>
  <c r="Q381"/>
  <c r="Q380"/>
  <c r="Q379"/>
  <c r="Q378"/>
  <c r="Q377"/>
  <c r="Q376"/>
  <c r="Q375"/>
  <c r="Q374"/>
  <c r="Q373"/>
  <c r="Q372"/>
  <c r="Q371"/>
  <c r="Q370"/>
  <c r="Q369"/>
  <c r="Q368"/>
  <c r="Q367"/>
  <c r="Q366"/>
  <c r="Q365"/>
  <c r="Q364"/>
  <c r="Q363"/>
  <c r="Q362"/>
  <c r="Q361"/>
  <c r="Q360"/>
  <c r="Q359"/>
  <c r="Q358"/>
  <c r="Q357"/>
  <c r="Q356"/>
  <c r="Q355"/>
  <c r="Q354"/>
  <c r="Q353"/>
  <c r="Q352"/>
  <c r="Q351"/>
  <c r="Q350"/>
  <c r="Q349"/>
  <c r="Q348"/>
  <c r="Q347"/>
  <c r="Q346"/>
  <c r="Q345"/>
  <c r="Q344"/>
  <c r="Q343"/>
  <c r="Q342"/>
  <c r="Q341"/>
  <c r="Q340"/>
  <c r="Q339"/>
  <c r="Q338"/>
  <c r="Q337"/>
  <c r="Q336"/>
  <c r="Q335"/>
  <c r="Q334"/>
  <c r="Q333"/>
  <c r="Q332"/>
  <c r="Q331"/>
  <c r="Q330"/>
  <c r="Q329"/>
  <c r="Q328"/>
  <c r="Q327"/>
  <c r="Q326"/>
  <c r="Q325"/>
  <c r="Q324"/>
  <c r="Q323"/>
  <c r="Q322"/>
  <c r="Q321"/>
  <c r="Q320"/>
  <c r="Q319"/>
  <c r="Q318"/>
  <c r="Q317"/>
  <c r="Q316"/>
  <c r="Q315"/>
  <c r="Q314"/>
  <c r="Q313"/>
  <c r="Q312"/>
  <c r="Q311"/>
  <c r="Q310"/>
  <c r="Q309"/>
  <c r="Q308"/>
  <c r="Q307"/>
  <c r="Q306"/>
  <c r="Q305"/>
  <c r="Q304"/>
  <c r="Q303"/>
  <c r="Q302"/>
  <c r="Q301"/>
  <c r="Q300"/>
  <c r="Q299"/>
  <c r="Q298"/>
  <c r="Q297"/>
  <c r="Q296"/>
  <c r="Q295"/>
  <c r="Q294"/>
  <c r="Q293"/>
  <c r="Q292"/>
  <c r="Q291"/>
  <c r="Q290"/>
  <c r="Q289"/>
  <c r="Q288"/>
  <c r="Q287"/>
  <c r="Q286"/>
  <c r="Q285"/>
  <c r="Q284"/>
  <c r="Q283"/>
  <c r="Q282"/>
  <c r="Q281"/>
  <c r="Q280"/>
  <c r="Q279"/>
  <c r="Q278"/>
  <c r="Q277"/>
  <c r="Q276"/>
  <c r="Q275"/>
  <c r="Q274"/>
  <c r="Q273"/>
  <c r="Q272"/>
  <c r="Q271"/>
  <c r="Q270"/>
  <c r="Q269"/>
  <c r="Q268"/>
  <c r="Q267"/>
  <c r="Q266"/>
  <c r="Q265"/>
  <c r="Q264"/>
  <c r="Q263"/>
  <c r="Q262"/>
  <c r="Q261"/>
  <c r="Q260"/>
  <c r="Q259"/>
  <c r="Q258"/>
  <c r="Q257"/>
  <c r="Q256"/>
  <c r="Q255"/>
  <c r="Q254"/>
  <c r="Q253"/>
  <c r="Q252"/>
  <c r="Q251"/>
  <c r="Q250"/>
  <c r="Q249"/>
  <c r="Q248"/>
  <c r="Q247"/>
  <c r="Q246"/>
  <c r="Q245"/>
  <c r="Q244"/>
  <c r="Q243"/>
  <c r="Q242"/>
  <c r="Q241"/>
  <c r="Q240"/>
  <c r="Q239"/>
  <c r="Q238"/>
  <c r="Q237"/>
  <c r="Q236"/>
  <c r="Q235"/>
  <c r="Q234"/>
  <c r="Q233"/>
  <c r="Q232"/>
  <c r="Q231"/>
  <c r="Q230"/>
  <c r="Q229"/>
  <c r="Q228"/>
  <c r="Q227"/>
  <c r="Q226"/>
  <c r="Q225"/>
  <c r="Q224"/>
  <c r="Q223"/>
  <c r="Q222"/>
  <c r="Q221"/>
  <c r="Q220"/>
  <c r="Q219"/>
  <c r="Q218"/>
  <c r="Q217"/>
  <c r="Q216"/>
  <c r="Q215"/>
  <c r="Q214"/>
  <c r="Q213"/>
  <c r="Q212"/>
  <c r="Q211"/>
  <c r="Q210"/>
  <c r="Q209"/>
  <c r="Q208"/>
  <c r="Q207"/>
  <c r="Q206"/>
  <c r="Q205"/>
  <c r="Q204"/>
  <c r="Q203"/>
  <c r="Q202"/>
  <c r="Q201"/>
  <c r="Q200"/>
  <c r="Q199"/>
  <c r="Q198"/>
  <c r="Q197"/>
  <c r="Q196"/>
  <c r="Q195"/>
  <c r="Q194"/>
  <c r="Q193"/>
  <c r="Q192"/>
  <c r="Q191"/>
  <c r="Q190"/>
  <c r="Q189"/>
  <c r="Q188"/>
  <c r="Q187"/>
  <c r="Q186"/>
  <c r="Q185"/>
  <c r="Q184"/>
  <c r="Q183"/>
  <c r="Q182"/>
  <c r="Q181"/>
  <c r="Q180"/>
  <c r="Q179"/>
  <c r="Q178"/>
  <c r="Q177"/>
  <c r="Q176"/>
  <c r="Q175"/>
  <c r="Q174"/>
  <c r="Q173"/>
  <c r="Q172"/>
  <c r="Q171"/>
  <c r="Q170"/>
  <c r="Q169"/>
  <c r="Q168"/>
  <c r="Q167"/>
  <c r="Q166"/>
  <c r="Q165"/>
  <c r="Q164"/>
  <c r="Q163"/>
  <c r="Q162"/>
  <c r="Q161"/>
  <c r="Q160"/>
  <c r="Q159"/>
  <c r="Q158"/>
  <c r="Q157"/>
  <c r="Q156"/>
  <c r="Q155"/>
  <c r="Q154"/>
  <c r="Q153"/>
  <c r="Q152"/>
  <c r="Q151"/>
  <c r="Q150"/>
  <c r="Q149"/>
  <c r="Q148"/>
  <c r="Q147"/>
  <c r="Q146"/>
  <c r="Q145"/>
  <c r="Q144"/>
  <c r="Q143"/>
  <c r="Q142"/>
  <c r="Q141"/>
  <c r="Q140"/>
  <c r="Q139"/>
  <c r="Q138"/>
  <c r="Q137"/>
  <c r="Q136"/>
  <c r="Q135"/>
  <c r="Q134"/>
  <c r="Q133"/>
  <c r="Q132"/>
  <c r="Q131"/>
  <c r="Q130"/>
  <c r="Q129"/>
  <c r="Q128"/>
  <c r="Q127"/>
  <c r="Q126"/>
  <c r="Q125"/>
  <c r="Q124"/>
  <c r="Q123"/>
  <c r="Q122"/>
  <c r="Q121"/>
  <c r="Q120"/>
  <c r="Q119"/>
  <c r="Q118"/>
  <c r="Q117"/>
  <c r="Q116"/>
  <c r="Q115"/>
  <c r="Q114"/>
  <c r="Q113"/>
  <c r="Q112"/>
  <c r="Q111"/>
  <c r="Q110"/>
  <c r="Q109"/>
  <c r="Q108"/>
  <c r="Q107"/>
  <c r="Q106"/>
  <c r="Q105"/>
  <c r="Q104"/>
  <c r="Q103"/>
  <c r="Q102"/>
  <c r="Q101"/>
  <c r="Q100"/>
  <c r="Q99"/>
  <c r="Q98"/>
  <c r="Q97"/>
  <c r="Q96"/>
  <c r="Q95"/>
  <c r="Q94"/>
  <c r="Q93"/>
  <c r="Q92"/>
  <c r="Q91"/>
  <c r="Q90"/>
  <c r="Q89"/>
  <c r="Q88"/>
  <c r="Q87"/>
  <c r="Q86"/>
  <c r="Q85"/>
  <c r="Q84"/>
  <c r="Q83"/>
  <c r="Q82"/>
  <c r="Q81"/>
  <c r="Q80"/>
  <c r="Q79"/>
  <c r="Q78"/>
  <c r="Q77"/>
  <c r="Q76"/>
  <c r="Q75"/>
  <c r="Q74"/>
  <c r="Q73"/>
  <c r="Q72"/>
  <c r="Q71"/>
  <c r="Q70"/>
  <c r="Q69"/>
  <c r="Q68"/>
  <c r="Q67"/>
  <c r="Q66"/>
  <c r="Q65"/>
  <c r="Q64"/>
  <c r="Q63"/>
  <c r="Q62"/>
  <c r="Q61"/>
  <c r="Q60"/>
  <c r="Q59"/>
  <c r="Q58"/>
  <c r="Q57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Q7"/>
  <c r="Q6"/>
  <c r="Q5"/>
  <c r="Q4"/>
  <c r="Q3"/>
  <c r="Q2"/>
  <c r="Q1"/>
  <c r="M32"/>
  <c r="L34"/>
  <c r="K32"/>
  <c r="J34"/>
  <c r="E2"/>
  <c r="D2"/>
  <c r="C2"/>
  <c r="B2"/>
  <c r="B10" i="1"/>
  <c r="B14"/>
  <c r="B19"/>
  <c r="AG5" i="2"/>
  <c r="AF3"/>
  <c r="AE5"/>
  <c r="AD3"/>
  <c r="M35"/>
  <c r="L33"/>
  <c r="K35"/>
  <c r="J33"/>
  <c r="B6" i="1"/>
  <c r="B11"/>
  <c r="B15"/>
  <c r="AG4" i="2"/>
  <c r="AF6"/>
  <c r="AE4"/>
  <c r="AD6"/>
  <c r="K34"/>
  <c r="J35"/>
  <c r="B18" i="1"/>
  <c r="AD5" i="2"/>
  <c r="B5" i="1"/>
  <c r="B16"/>
  <c r="AG3" i="2"/>
  <c r="M33"/>
  <c r="L32"/>
  <c r="B13" i="1"/>
  <c r="AG6" i="2"/>
  <c r="AF4"/>
  <c r="AE3"/>
  <c r="L35"/>
  <c r="J32"/>
  <c r="AE6"/>
  <c r="B12" i="1"/>
  <c r="C24"/>
  <c r="C20"/>
  <c r="C12"/>
  <c r="C16"/>
  <c r="M34" i="2"/>
  <c r="K33"/>
  <c r="AF5"/>
  <c r="AD4"/>
  <c r="C22" i="1"/>
  <c r="C11"/>
  <c r="C10"/>
  <c r="C5"/>
  <c r="C19"/>
  <c r="C14"/>
  <c r="A1"/>
  <c r="C6"/>
  <c r="C21"/>
  <c r="C13"/>
  <c r="C17"/>
  <c r="C23"/>
  <c r="C18"/>
  <c r="C15"/>
  <c r="B7" l="1"/>
  <c r="B20"/>
  <c r="J30" i="2"/>
  <c r="AD1"/>
  <c r="K30"/>
  <c r="AF1"/>
  <c r="M30"/>
  <c r="B22" i="1" l="1"/>
</calcChain>
</file>

<file path=xl/sharedStrings.xml><?xml version="1.0" encoding="utf-8"?>
<sst xmlns="http://schemas.openxmlformats.org/spreadsheetml/2006/main" count="57" uniqueCount="49">
  <si>
    <t>Receipts</t>
  </si>
  <si>
    <t>Price</t>
  </si>
  <si>
    <t>Yield</t>
  </si>
  <si>
    <t>Expenses</t>
  </si>
  <si>
    <t>Seed</t>
  </si>
  <si>
    <t>Fertilizer</t>
  </si>
  <si>
    <t>Herbicides</t>
  </si>
  <si>
    <t>Insecticides</t>
  </si>
  <si>
    <t>Labor</t>
  </si>
  <si>
    <t>Machinery</t>
  </si>
  <si>
    <t>Fuel</t>
  </si>
  <si>
    <t>Other</t>
  </si>
  <si>
    <t>Total Expenses</t>
  </si>
  <si>
    <t>Land Rent</t>
  </si>
  <si>
    <t>Stochastic</t>
  </si>
  <si>
    <t>Range of Prices and Costs</t>
  </si>
  <si>
    <t>Min</t>
  </si>
  <si>
    <t>Middle</t>
  </si>
  <si>
    <t>Max</t>
  </si>
  <si>
    <t>Harvest and Drying</t>
  </si>
  <si>
    <t>$/acre</t>
  </si>
  <si>
    <t>Scenario 1</t>
  </si>
  <si>
    <t>Scenario 2</t>
  </si>
  <si>
    <t>Scenario 3</t>
  </si>
  <si>
    <t>Scenario 4</t>
  </si>
  <si>
    <t>Simulate 4 scenarios with changes for the Acres, Fixed Costs, Yield and Price means</t>
  </si>
  <si>
    <t>Net Returns is the KOV</t>
  </si>
  <si>
    <t>Develop CDF of net returns, a StopLight chart</t>
  </si>
  <si>
    <t>Variable</t>
  </si>
  <si>
    <t>Mean</t>
  </si>
  <si>
    <t>StDev</t>
  </si>
  <si>
    <t>CV</t>
  </si>
  <si>
    <t>Iteration</t>
  </si>
  <si>
    <t>x1-value</t>
  </si>
  <si>
    <t>Prob(X&lt;=x1)</t>
  </si>
  <si>
    <t>x2-value</t>
  </si>
  <si>
    <t>Prob(X&lt;=x2)</t>
  </si>
  <si>
    <t>x3-value</t>
  </si>
  <si>
    <t>Prob(X&lt;=x3)</t>
  </si>
  <si>
    <t>x4-value</t>
  </si>
  <si>
    <t>Prob(X&lt;=x4)</t>
  </si>
  <si>
    <t>x5-value</t>
  </si>
  <si>
    <t>Prob(X&lt;=x5)</t>
  </si>
  <si>
    <t>NCI</t>
  </si>
  <si>
    <t>CDFProb.</t>
  </si>
  <si>
    <t>Average</t>
  </si>
  <si>
    <t>Fan Graph for 4 Categories</t>
  </si>
  <si>
    <t>Simetar Simulation Results for 4 Scenarios, 500 Iterations.  7:18:41 PM 5/2/2006 (13.45 sec.).  © 2006.</t>
  </si>
  <si>
    <t>@ 2011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</si>
</sst>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sz val="8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left" indent="1"/>
    </xf>
    <xf numFmtId="0" fontId="3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2" fontId="0" fillId="0" borderId="0" xfId="0" applyNumberFormat="1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4" fillId="0" borderId="0" xfId="0" applyFont="1" applyAlignment="1">
      <alignment horizontal="left" indent="1"/>
    </xf>
    <xf numFmtId="0" fontId="2" fillId="0" borderId="0" xfId="0" applyFont="1" applyAlignment="1">
      <alignment horizontal="right"/>
    </xf>
    <xf numFmtId="0" fontId="3" fillId="0" borderId="0" xfId="0" quotePrefix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CDF</a:t>
            </a:r>
          </a:p>
        </c:rich>
      </c:tx>
      <c:layout>
        <c:manualLayout>
          <c:xMode val="edge"/>
          <c:yMode val="edge"/>
          <c:x val="0.46692632350346736"/>
          <c:y val="3.832752613240417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896616770936529"/>
          <c:y val="0.19860627177700349"/>
          <c:w val="0.78654850923500752"/>
          <c:h val="0.56794425087108014"/>
        </c:manualLayout>
      </c:layout>
      <c:scatterChart>
        <c:scatterStyle val="smoothMarker"/>
        <c:ser>
          <c:idx val="0"/>
          <c:order val="0"/>
          <c:tx>
            <c:strRef>
              <c:f>SimData!$Q$1</c:f>
              <c:strCache>
                <c:ptCount val="1"/>
                <c:pt idx="0">
                  <c:v>NCI: 1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SimData!$Q$2:$Q$501</c:f>
              <c:numCache>
                <c:formatCode>General</c:formatCode>
                <c:ptCount val="500"/>
                <c:pt idx="0">
                  <c:v>88.712825277060972</c:v>
                </c:pt>
                <c:pt idx="1">
                  <c:v>89.368687453795673</c:v>
                </c:pt>
                <c:pt idx="2">
                  <c:v>90.151142979497081</c:v>
                </c:pt>
                <c:pt idx="3">
                  <c:v>104.14623920100232</c:v>
                </c:pt>
                <c:pt idx="4">
                  <c:v>107.23328451043588</c:v>
                </c:pt>
                <c:pt idx="5">
                  <c:v>109.15632008502669</c:v>
                </c:pt>
                <c:pt idx="6">
                  <c:v>120.41063857537293</c:v>
                </c:pt>
                <c:pt idx="7">
                  <c:v>124.38753613918513</c:v>
                </c:pt>
                <c:pt idx="8">
                  <c:v>125.86595198907614</c:v>
                </c:pt>
                <c:pt idx="9">
                  <c:v>130.53976804263664</c:v>
                </c:pt>
                <c:pt idx="10">
                  <c:v>130.8161816465115</c:v>
                </c:pt>
                <c:pt idx="11">
                  <c:v>131.33802847785921</c:v>
                </c:pt>
                <c:pt idx="12">
                  <c:v>133.90565962148128</c:v>
                </c:pt>
                <c:pt idx="13">
                  <c:v>134.35250121298867</c:v>
                </c:pt>
                <c:pt idx="14">
                  <c:v>134.72531131744688</c:v>
                </c:pt>
                <c:pt idx="15">
                  <c:v>135.41791755105464</c:v>
                </c:pt>
                <c:pt idx="16">
                  <c:v>136.51677696210817</c:v>
                </c:pt>
                <c:pt idx="17">
                  <c:v>136.74403845328078</c:v>
                </c:pt>
                <c:pt idx="18">
                  <c:v>137.33540950732845</c:v>
                </c:pt>
                <c:pt idx="19">
                  <c:v>138.53151548275878</c:v>
                </c:pt>
                <c:pt idx="20">
                  <c:v>138.71343398033281</c:v>
                </c:pt>
                <c:pt idx="21">
                  <c:v>138.97765582622407</c:v>
                </c:pt>
                <c:pt idx="22">
                  <c:v>139.82595108512953</c:v>
                </c:pt>
                <c:pt idx="23">
                  <c:v>140.75799679070803</c:v>
                </c:pt>
                <c:pt idx="24">
                  <c:v>140.82152883534593</c:v>
                </c:pt>
                <c:pt idx="25">
                  <c:v>141.03224211413078</c:v>
                </c:pt>
                <c:pt idx="26">
                  <c:v>142.02898311714472</c:v>
                </c:pt>
                <c:pt idx="27">
                  <c:v>143.08096366112233</c:v>
                </c:pt>
                <c:pt idx="28">
                  <c:v>143.55890755607834</c:v>
                </c:pt>
                <c:pt idx="29">
                  <c:v>144.01572498456642</c:v>
                </c:pt>
                <c:pt idx="30">
                  <c:v>144.15764478423256</c:v>
                </c:pt>
                <c:pt idx="31">
                  <c:v>144.93593901850824</c:v>
                </c:pt>
                <c:pt idx="32">
                  <c:v>145.37733109060298</c:v>
                </c:pt>
                <c:pt idx="33">
                  <c:v>145.45505533057718</c:v>
                </c:pt>
                <c:pt idx="34">
                  <c:v>145.74117277596849</c:v>
                </c:pt>
                <c:pt idx="35">
                  <c:v>146.58438207198208</c:v>
                </c:pt>
                <c:pt idx="36">
                  <c:v>146.97970605007743</c:v>
                </c:pt>
                <c:pt idx="37">
                  <c:v>147.24882685955066</c:v>
                </c:pt>
                <c:pt idx="38">
                  <c:v>147.47397842674553</c:v>
                </c:pt>
                <c:pt idx="39">
                  <c:v>148.47796058723623</c:v>
                </c:pt>
                <c:pt idx="40">
                  <c:v>148.49859298449246</c:v>
                </c:pt>
                <c:pt idx="41">
                  <c:v>149.41561558726931</c:v>
                </c:pt>
                <c:pt idx="42">
                  <c:v>149.57830929256812</c:v>
                </c:pt>
                <c:pt idx="43">
                  <c:v>149.58156247490291</c:v>
                </c:pt>
                <c:pt idx="44">
                  <c:v>149.67888956489531</c:v>
                </c:pt>
                <c:pt idx="45">
                  <c:v>150.17327523210179</c:v>
                </c:pt>
                <c:pt idx="46">
                  <c:v>151.30827660543167</c:v>
                </c:pt>
                <c:pt idx="47">
                  <c:v>151.84496040912404</c:v>
                </c:pt>
                <c:pt idx="48">
                  <c:v>151.98457865901878</c:v>
                </c:pt>
                <c:pt idx="49">
                  <c:v>152.03348604827829</c:v>
                </c:pt>
                <c:pt idx="50">
                  <c:v>152.66554387652644</c:v>
                </c:pt>
                <c:pt idx="51">
                  <c:v>152.79861065539848</c:v>
                </c:pt>
                <c:pt idx="52">
                  <c:v>153.90002684424024</c:v>
                </c:pt>
                <c:pt idx="53">
                  <c:v>154.44525287414416</c:v>
                </c:pt>
                <c:pt idx="54">
                  <c:v>155.27072032136516</c:v>
                </c:pt>
                <c:pt idx="55">
                  <c:v>155.32363983553961</c:v>
                </c:pt>
                <c:pt idx="56">
                  <c:v>155.73110472039309</c:v>
                </c:pt>
                <c:pt idx="57">
                  <c:v>156.57764956533993</c:v>
                </c:pt>
                <c:pt idx="58">
                  <c:v>157.49616086685023</c:v>
                </c:pt>
                <c:pt idx="59">
                  <c:v>157.66240251813497</c:v>
                </c:pt>
                <c:pt idx="60">
                  <c:v>158.81988360912584</c:v>
                </c:pt>
                <c:pt idx="61">
                  <c:v>159.82572745624782</c:v>
                </c:pt>
                <c:pt idx="62">
                  <c:v>159.83727837122564</c:v>
                </c:pt>
                <c:pt idx="63">
                  <c:v>160.42547481706168</c:v>
                </c:pt>
                <c:pt idx="64">
                  <c:v>160.43069497620081</c:v>
                </c:pt>
                <c:pt idx="65">
                  <c:v>160.81217891968839</c:v>
                </c:pt>
                <c:pt idx="66">
                  <c:v>162.36735225163869</c:v>
                </c:pt>
                <c:pt idx="67">
                  <c:v>163.73461223983367</c:v>
                </c:pt>
                <c:pt idx="68">
                  <c:v>165.14587418371065</c:v>
                </c:pt>
                <c:pt idx="69">
                  <c:v>165.67194167741565</c:v>
                </c:pt>
                <c:pt idx="70">
                  <c:v>165.99584859552135</c:v>
                </c:pt>
                <c:pt idx="71">
                  <c:v>166.12375728529116</c:v>
                </c:pt>
                <c:pt idx="72">
                  <c:v>166.98119578858029</c:v>
                </c:pt>
                <c:pt idx="73">
                  <c:v>167.49246605007301</c:v>
                </c:pt>
                <c:pt idx="74">
                  <c:v>168.10673100952761</c:v>
                </c:pt>
                <c:pt idx="75">
                  <c:v>168.35127419908832</c:v>
                </c:pt>
                <c:pt idx="76">
                  <c:v>168.50655650901206</c:v>
                </c:pt>
                <c:pt idx="77">
                  <c:v>168.61280256204941</c:v>
                </c:pt>
                <c:pt idx="78">
                  <c:v>169.32566221307223</c:v>
                </c:pt>
                <c:pt idx="79">
                  <c:v>169.66876244386913</c:v>
                </c:pt>
                <c:pt idx="80">
                  <c:v>169.8795147574117</c:v>
                </c:pt>
                <c:pt idx="81">
                  <c:v>170.01261283562241</c:v>
                </c:pt>
                <c:pt idx="82">
                  <c:v>170.23144935987892</c:v>
                </c:pt>
                <c:pt idx="83">
                  <c:v>170.49371016100969</c:v>
                </c:pt>
                <c:pt idx="84">
                  <c:v>170.49985402288723</c:v>
                </c:pt>
                <c:pt idx="85">
                  <c:v>170.52013090165372</c:v>
                </c:pt>
                <c:pt idx="86">
                  <c:v>170.75358544431737</c:v>
                </c:pt>
                <c:pt idx="87">
                  <c:v>170.82854979045067</c:v>
                </c:pt>
                <c:pt idx="88">
                  <c:v>170.89321800495532</c:v>
                </c:pt>
                <c:pt idx="89">
                  <c:v>170.96086812778634</c:v>
                </c:pt>
                <c:pt idx="90">
                  <c:v>171.01896237457584</c:v>
                </c:pt>
                <c:pt idx="91">
                  <c:v>171.08299835007392</c:v>
                </c:pt>
                <c:pt idx="92">
                  <c:v>171.62037384572534</c:v>
                </c:pt>
                <c:pt idx="93">
                  <c:v>171.63884692417366</c:v>
                </c:pt>
                <c:pt idx="94">
                  <c:v>172.38157018516199</c:v>
                </c:pt>
                <c:pt idx="95">
                  <c:v>172.38464396835241</c:v>
                </c:pt>
                <c:pt idx="96">
                  <c:v>172.74923307425496</c:v>
                </c:pt>
                <c:pt idx="97">
                  <c:v>172.77964984789298</c:v>
                </c:pt>
                <c:pt idx="98">
                  <c:v>173.21513284891404</c:v>
                </c:pt>
                <c:pt idx="99">
                  <c:v>173.68332322637201</c:v>
                </c:pt>
                <c:pt idx="100">
                  <c:v>173.86555059295472</c:v>
                </c:pt>
                <c:pt idx="101">
                  <c:v>174.58552941307067</c:v>
                </c:pt>
                <c:pt idx="102">
                  <c:v>174.84167737230001</c:v>
                </c:pt>
                <c:pt idx="103">
                  <c:v>175.94836658793145</c:v>
                </c:pt>
                <c:pt idx="104">
                  <c:v>176.27388728816771</c:v>
                </c:pt>
                <c:pt idx="105">
                  <c:v>176.5296330202732</c:v>
                </c:pt>
                <c:pt idx="106">
                  <c:v>176.84179593833881</c:v>
                </c:pt>
                <c:pt idx="107">
                  <c:v>177.11683731844607</c:v>
                </c:pt>
                <c:pt idx="108">
                  <c:v>177.4554127319193</c:v>
                </c:pt>
                <c:pt idx="109">
                  <c:v>178.3607428562255</c:v>
                </c:pt>
                <c:pt idx="110">
                  <c:v>178.88995994832084</c:v>
                </c:pt>
                <c:pt idx="111">
                  <c:v>179.76451377974371</c:v>
                </c:pt>
                <c:pt idx="112">
                  <c:v>180.15938933275345</c:v>
                </c:pt>
                <c:pt idx="113">
                  <c:v>180.39271267262376</c:v>
                </c:pt>
                <c:pt idx="114">
                  <c:v>180.42326678071453</c:v>
                </c:pt>
                <c:pt idx="115">
                  <c:v>180.64006415865543</c:v>
                </c:pt>
                <c:pt idx="116">
                  <c:v>180.83043073784154</c:v>
                </c:pt>
                <c:pt idx="117">
                  <c:v>181.45921247055367</c:v>
                </c:pt>
                <c:pt idx="118">
                  <c:v>181.76638912783591</c:v>
                </c:pt>
                <c:pt idx="119">
                  <c:v>181.76709840038552</c:v>
                </c:pt>
                <c:pt idx="120">
                  <c:v>181.97331285417596</c:v>
                </c:pt>
                <c:pt idx="121">
                  <c:v>182.25139578694564</c:v>
                </c:pt>
                <c:pt idx="122">
                  <c:v>182.42674890256166</c:v>
                </c:pt>
                <c:pt idx="123">
                  <c:v>182.45666602290544</c:v>
                </c:pt>
                <c:pt idx="124">
                  <c:v>182.81432455649656</c:v>
                </c:pt>
                <c:pt idx="125">
                  <c:v>183.58266424072667</c:v>
                </c:pt>
                <c:pt idx="126">
                  <c:v>183.9310331296154</c:v>
                </c:pt>
                <c:pt idx="127">
                  <c:v>183.97731385043238</c:v>
                </c:pt>
                <c:pt idx="128">
                  <c:v>184.1350421542972</c:v>
                </c:pt>
                <c:pt idx="129">
                  <c:v>184.42866871565656</c:v>
                </c:pt>
                <c:pt idx="130">
                  <c:v>184.81585144117486</c:v>
                </c:pt>
                <c:pt idx="131">
                  <c:v>184.92619214728546</c:v>
                </c:pt>
                <c:pt idx="132">
                  <c:v>185.19578901561158</c:v>
                </c:pt>
                <c:pt idx="133">
                  <c:v>186.17167961015321</c:v>
                </c:pt>
                <c:pt idx="134">
                  <c:v>186.44869379227168</c:v>
                </c:pt>
                <c:pt idx="135">
                  <c:v>186.9820558087593</c:v>
                </c:pt>
                <c:pt idx="136">
                  <c:v>187.00333822539807</c:v>
                </c:pt>
                <c:pt idx="137">
                  <c:v>187.00337823480317</c:v>
                </c:pt>
                <c:pt idx="138">
                  <c:v>187.00535129856462</c:v>
                </c:pt>
                <c:pt idx="139">
                  <c:v>187.0719440669115</c:v>
                </c:pt>
                <c:pt idx="140">
                  <c:v>187.0952364731333</c:v>
                </c:pt>
                <c:pt idx="141">
                  <c:v>187.46844169478987</c:v>
                </c:pt>
                <c:pt idx="142">
                  <c:v>187.57829668328344</c:v>
                </c:pt>
                <c:pt idx="143">
                  <c:v>188.14705122201246</c:v>
                </c:pt>
                <c:pt idx="144">
                  <c:v>188.15012352335617</c:v>
                </c:pt>
                <c:pt idx="145">
                  <c:v>188.65430855071128</c:v>
                </c:pt>
                <c:pt idx="146">
                  <c:v>189.30340469024208</c:v>
                </c:pt>
                <c:pt idx="147">
                  <c:v>189.53523751558623</c:v>
                </c:pt>
                <c:pt idx="148">
                  <c:v>189.74627376593588</c:v>
                </c:pt>
                <c:pt idx="149">
                  <c:v>189.87045284744937</c:v>
                </c:pt>
                <c:pt idx="150">
                  <c:v>190.22068218113986</c:v>
                </c:pt>
                <c:pt idx="151">
                  <c:v>190.41533104335167</c:v>
                </c:pt>
                <c:pt idx="152">
                  <c:v>190.67591444695296</c:v>
                </c:pt>
                <c:pt idx="153">
                  <c:v>190.71149403959089</c:v>
                </c:pt>
                <c:pt idx="154">
                  <c:v>190.71872665396432</c:v>
                </c:pt>
                <c:pt idx="155">
                  <c:v>190.95375946175665</c:v>
                </c:pt>
                <c:pt idx="156">
                  <c:v>191.31216139295191</c:v>
                </c:pt>
                <c:pt idx="157">
                  <c:v>191.32522761440873</c:v>
                </c:pt>
                <c:pt idx="158">
                  <c:v>191.33096519487987</c:v>
                </c:pt>
                <c:pt idx="159">
                  <c:v>191.35919361735932</c:v>
                </c:pt>
                <c:pt idx="160">
                  <c:v>191.65486701462385</c:v>
                </c:pt>
                <c:pt idx="161">
                  <c:v>191.71010738852743</c:v>
                </c:pt>
                <c:pt idx="162">
                  <c:v>192.4088742827567</c:v>
                </c:pt>
                <c:pt idx="163">
                  <c:v>192.61727394593032</c:v>
                </c:pt>
                <c:pt idx="164">
                  <c:v>192.79424898365659</c:v>
                </c:pt>
                <c:pt idx="165">
                  <c:v>192.82010115874255</c:v>
                </c:pt>
                <c:pt idx="166">
                  <c:v>193.06014367881602</c:v>
                </c:pt>
                <c:pt idx="167">
                  <c:v>193.26657747357194</c:v>
                </c:pt>
                <c:pt idx="168">
                  <c:v>193.73398938256491</c:v>
                </c:pt>
                <c:pt idx="169">
                  <c:v>194.8028002689104</c:v>
                </c:pt>
                <c:pt idx="170">
                  <c:v>195.02552172094363</c:v>
                </c:pt>
                <c:pt idx="171">
                  <c:v>195.62428635217481</c:v>
                </c:pt>
                <c:pt idx="172">
                  <c:v>195.64911911537519</c:v>
                </c:pt>
                <c:pt idx="173">
                  <c:v>196.04444913582171</c:v>
                </c:pt>
                <c:pt idx="174">
                  <c:v>196.13475948956386</c:v>
                </c:pt>
                <c:pt idx="175">
                  <c:v>196.34142298368556</c:v>
                </c:pt>
                <c:pt idx="176">
                  <c:v>196.60694100419414</c:v>
                </c:pt>
                <c:pt idx="177">
                  <c:v>196.67561172733201</c:v>
                </c:pt>
                <c:pt idx="178">
                  <c:v>197.20484535034467</c:v>
                </c:pt>
                <c:pt idx="179">
                  <c:v>197.51994735123355</c:v>
                </c:pt>
                <c:pt idx="180">
                  <c:v>197.58092527208805</c:v>
                </c:pt>
                <c:pt idx="181">
                  <c:v>197.86765096208973</c:v>
                </c:pt>
                <c:pt idx="182">
                  <c:v>198.78694577113083</c:v>
                </c:pt>
                <c:pt idx="183">
                  <c:v>199.43012245790334</c:v>
                </c:pt>
                <c:pt idx="184">
                  <c:v>199.80286382239439</c:v>
                </c:pt>
                <c:pt idx="185">
                  <c:v>199.8821428309119</c:v>
                </c:pt>
                <c:pt idx="186">
                  <c:v>200.00530377291597</c:v>
                </c:pt>
                <c:pt idx="187">
                  <c:v>200.58444581288995</c:v>
                </c:pt>
                <c:pt idx="188">
                  <c:v>200.60195553793955</c:v>
                </c:pt>
                <c:pt idx="189">
                  <c:v>200.63258747695107</c:v>
                </c:pt>
                <c:pt idx="190">
                  <c:v>200.87603204589004</c:v>
                </c:pt>
                <c:pt idx="191">
                  <c:v>200.949511241165</c:v>
                </c:pt>
                <c:pt idx="192">
                  <c:v>200.9540756511247</c:v>
                </c:pt>
                <c:pt idx="193">
                  <c:v>201.02412209748832</c:v>
                </c:pt>
                <c:pt idx="194">
                  <c:v>201.35933493065738</c:v>
                </c:pt>
                <c:pt idx="195">
                  <c:v>201.48708859751838</c:v>
                </c:pt>
                <c:pt idx="196">
                  <c:v>201.95190356700402</c:v>
                </c:pt>
                <c:pt idx="197">
                  <c:v>202.08288121324006</c:v>
                </c:pt>
                <c:pt idx="198">
                  <c:v>202.12787840166658</c:v>
                </c:pt>
                <c:pt idx="199">
                  <c:v>202.12985185965783</c:v>
                </c:pt>
                <c:pt idx="200">
                  <c:v>202.50431880774221</c:v>
                </c:pt>
                <c:pt idx="201">
                  <c:v>202.98921456717846</c:v>
                </c:pt>
                <c:pt idx="202">
                  <c:v>203.2640227366652</c:v>
                </c:pt>
                <c:pt idx="203">
                  <c:v>203.33736090386589</c:v>
                </c:pt>
                <c:pt idx="204">
                  <c:v>203.47235805007824</c:v>
                </c:pt>
                <c:pt idx="205">
                  <c:v>203.6494035652633</c:v>
                </c:pt>
                <c:pt idx="206">
                  <c:v>203.8215956275788</c:v>
                </c:pt>
                <c:pt idx="207">
                  <c:v>203.87481823992772</c:v>
                </c:pt>
                <c:pt idx="208">
                  <c:v>204.03096037086488</c:v>
                </c:pt>
                <c:pt idx="209">
                  <c:v>204.16883729512239</c:v>
                </c:pt>
                <c:pt idx="210">
                  <c:v>204.34194219589625</c:v>
                </c:pt>
                <c:pt idx="211">
                  <c:v>204.65534304082183</c:v>
                </c:pt>
                <c:pt idx="212">
                  <c:v>204.71884328687275</c:v>
                </c:pt>
                <c:pt idx="213">
                  <c:v>204.77121236161793</c:v>
                </c:pt>
                <c:pt idx="214">
                  <c:v>204.92974965441999</c:v>
                </c:pt>
                <c:pt idx="215">
                  <c:v>205.11810226376508</c:v>
                </c:pt>
                <c:pt idx="216">
                  <c:v>205.3539216846504</c:v>
                </c:pt>
                <c:pt idx="217">
                  <c:v>205.69601078670058</c:v>
                </c:pt>
                <c:pt idx="218">
                  <c:v>205.69624683035755</c:v>
                </c:pt>
                <c:pt idx="219">
                  <c:v>205.93569849156466</c:v>
                </c:pt>
                <c:pt idx="220">
                  <c:v>205.94860778876455</c:v>
                </c:pt>
                <c:pt idx="221">
                  <c:v>205.95350019550892</c:v>
                </c:pt>
                <c:pt idx="222">
                  <c:v>206.0683387279434</c:v>
                </c:pt>
                <c:pt idx="223">
                  <c:v>206.12581280444158</c:v>
                </c:pt>
                <c:pt idx="224">
                  <c:v>206.29429993352886</c:v>
                </c:pt>
                <c:pt idx="225">
                  <c:v>206.38654622187579</c:v>
                </c:pt>
                <c:pt idx="226">
                  <c:v>206.57661540917377</c:v>
                </c:pt>
                <c:pt idx="227">
                  <c:v>206.7713137335931</c:v>
                </c:pt>
                <c:pt idx="228">
                  <c:v>206.85118244879203</c:v>
                </c:pt>
                <c:pt idx="229">
                  <c:v>207.28271383192333</c:v>
                </c:pt>
                <c:pt idx="230">
                  <c:v>207.49621179960735</c:v>
                </c:pt>
                <c:pt idx="231">
                  <c:v>207.52643464600101</c:v>
                </c:pt>
                <c:pt idx="232">
                  <c:v>207.53221714571333</c:v>
                </c:pt>
                <c:pt idx="233">
                  <c:v>207.5873037598563</c:v>
                </c:pt>
                <c:pt idx="234">
                  <c:v>207.61015049090781</c:v>
                </c:pt>
                <c:pt idx="235">
                  <c:v>208.09867284389389</c:v>
                </c:pt>
                <c:pt idx="236">
                  <c:v>208.15477681178368</c:v>
                </c:pt>
                <c:pt idx="237">
                  <c:v>208.32021854685127</c:v>
                </c:pt>
                <c:pt idx="238">
                  <c:v>208.42103625347232</c:v>
                </c:pt>
                <c:pt idx="239">
                  <c:v>208.49008490876429</c:v>
                </c:pt>
                <c:pt idx="240">
                  <c:v>208.69348658878397</c:v>
                </c:pt>
                <c:pt idx="241">
                  <c:v>208.86602468526075</c:v>
                </c:pt>
                <c:pt idx="242">
                  <c:v>209.08062335574897</c:v>
                </c:pt>
                <c:pt idx="243">
                  <c:v>209.088281997737</c:v>
                </c:pt>
                <c:pt idx="244">
                  <c:v>209.41055370357469</c:v>
                </c:pt>
                <c:pt idx="245">
                  <c:v>209.61619679694417</c:v>
                </c:pt>
                <c:pt idx="246">
                  <c:v>209.80260958052412</c:v>
                </c:pt>
                <c:pt idx="247">
                  <c:v>209.80781966458522</c:v>
                </c:pt>
                <c:pt idx="248">
                  <c:v>210.06905096885373</c:v>
                </c:pt>
                <c:pt idx="249">
                  <c:v>210.24138212314358</c:v>
                </c:pt>
                <c:pt idx="250">
                  <c:v>210.41674071278049</c:v>
                </c:pt>
                <c:pt idx="251">
                  <c:v>210.86228163805811</c:v>
                </c:pt>
                <c:pt idx="252">
                  <c:v>211.05064941416833</c:v>
                </c:pt>
                <c:pt idx="253">
                  <c:v>211.19523456183811</c:v>
                </c:pt>
                <c:pt idx="254">
                  <c:v>211.52225327468625</c:v>
                </c:pt>
                <c:pt idx="255">
                  <c:v>211.65742977895468</c:v>
                </c:pt>
                <c:pt idx="256">
                  <c:v>211.67025472597805</c:v>
                </c:pt>
                <c:pt idx="257">
                  <c:v>211.75523185618169</c:v>
                </c:pt>
                <c:pt idx="258">
                  <c:v>211.83768282753402</c:v>
                </c:pt>
                <c:pt idx="259">
                  <c:v>211.9298102542266</c:v>
                </c:pt>
                <c:pt idx="260">
                  <c:v>212.11711809214222</c:v>
                </c:pt>
                <c:pt idx="261">
                  <c:v>212.20073567916569</c:v>
                </c:pt>
                <c:pt idx="262">
                  <c:v>212.27894676566393</c:v>
                </c:pt>
                <c:pt idx="263">
                  <c:v>212.32317833651211</c:v>
                </c:pt>
                <c:pt idx="264">
                  <c:v>212.36401057575404</c:v>
                </c:pt>
                <c:pt idx="265">
                  <c:v>212.44707848239273</c:v>
                </c:pt>
                <c:pt idx="266">
                  <c:v>212.76927694203516</c:v>
                </c:pt>
                <c:pt idx="267">
                  <c:v>212.79013843708776</c:v>
                </c:pt>
                <c:pt idx="268">
                  <c:v>213.53137618397346</c:v>
                </c:pt>
                <c:pt idx="269">
                  <c:v>213.76003560005807</c:v>
                </c:pt>
                <c:pt idx="270">
                  <c:v>213.8566669003194</c:v>
                </c:pt>
                <c:pt idx="271">
                  <c:v>213.88618449469084</c:v>
                </c:pt>
                <c:pt idx="272">
                  <c:v>213.95198787136832</c:v>
                </c:pt>
                <c:pt idx="273">
                  <c:v>213.9664201301228</c:v>
                </c:pt>
                <c:pt idx="274">
                  <c:v>214.30750677234306</c:v>
                </c:pt>
                <c:pt idx="275">
                  <c:v>214.5356596931536</c:v>
                </c:pt>
                <c:pt idx="276">
                  <c:v>214.83137659179533</c:v>
                </c:pt>
                <c:pt idx="277">
                  <c:v>214.87461458006123</c:v>
                </c:pt>
                <c:pt idx="278">
                  <c:v>215.00572854198123</c:v>
                </c:pt>
                <c:pt idx="279">
                  <c:v>215.01874979265835</c:v>
                </c:pt>
                <c:pt idx="280">
                  <c:v>215.04271209744314</c:v>
                </c:pt>
                <c:pt idx="281">
                  <c:v>215.07513153116463</c:v>
                </c:pt>
                <c:pt idx="282">
                  <c:v>215.47921656886234</c:v>
                </c:pt>
                <c:pt idx="283">
                  <c:v>215.55663695301291</c:v>
                </c:pt>
                <c:pt idx="284">
                  <c:v>215.66675744997991</c:v>
                </c:pt>
                <c:pt idx="285">
                  <c:v>216.02584924367005</c:v>
                </c:pt>
                <c:pt idx="286">
                  <c:v>216.25615821751023</c:v>
                </c:pt>
                <c:pt idx="287">
                  <c:v>216.47679313335766</c:v>
                </c:pt>
                <c:pt idx="288">
                  <c:v>216.59497731604176</c:v>
                </c:pt>
                <c:pt idx="289">
                  <c:v>216.59803616295488</c:v>
                </c:pt>
                <c:pt idx="290">
                  <c:v>216.60446783121836</c:v>
                </c:pt>
                <c:pt idx="291">
                  <c:v>216.6540513707339</c:v>
                </c:pt>
                <c:pt idx="292">
                  <c:v>216.65915047473567</c:v>
                </c:pt>
                <c:pt idx="293">
                  <c:v>216.70952536607331</c:v>
                </c:pt>
                <c:pt idx="294">
                  <c:v>216.83951714847018</c:v>
                </c:pt>
                <c:pt idx="295">
                  <c:v>217.25090670174706</c:v>
                </c:pt>
                <c:pt idx="296">
                  <c:v>217.3060408155431</c:v>
                </c:pt>
                <c:pt idx="297">
                  <c:v>217.47470552353252</c:v>
                </c:pt>
                <c:pt idx="298">
                  <c:v>217.69401511897502</c:v>
                </c:pt>
                <c:pt idx="299">
                  <c:v>217.78940670106073</c:v>
                </c:pt>
                <c:pt idx="300">
                  <c:v>217.80454208940876</c:v>
                </c:pt>
                <c:pt idx="301">
                  <c:v>217.87229710172352</c:v>
                </c:pt>
                <c:pt idx="302">
                  <c:v>217.89900140481097</c:v>
                </c:pt>
                <c:pt idx="303">
                  <c:v>218.00780383130387</c:v>
                </c:pt>
                <c:pt idx="304">
                  <c:v>218.26426065482093</c:v>
                </c:pt>
                <c:pt idx="305">
                  <c:v>218.47022469258201</c:v>
                </c:pt>
                <c:pt idx="306">
                  <c:v>218.59308548071169</c:v>
                </c:pt>
                <c:pt idx="307">
                  <c:v>218.62146568059109</c:v>
                </c:pt>
                <c:pt idx="308">
                  <c:v>218.62801809658572</c:v>
                </c:pt>
                <c:pt idx="309">
                  <c:v>219.88471051014619</c:v>
                </c:pt>
                <c:pt idx="310">
                  <c:v>219.97606892657717</c:v>
                </c:pt>
                <c:pt idx="311">
                  <c:v>220.15321969280643</c:v>
                </c:pt>
                <c:pt idx="312">
                  <c:v>220.31799731577195</c:v>
                </c:pt>
                <c:pt idx="313">
                  <c:v>220.54751314189366</c:v>
                </c:pt>
                <c:pt idx="314">
                  <c:v>220.75074472082827</c:v>
                </c:pt>
                <c:pt idx="315">
                  <c:v>221.09252157764274</c:v>
                </c:pt>
                <c:pt idx="316">
                  <c:v>221.24840649630414</c:v>
                </c:pt>
                <c:pt idx="317">
                  <c:v>221.38455431287809</c:v>
                </c:pt>
                <c:pt idx="318">
                  <c:v>221.43530657944109</c:v>
                </c:pt>
                <c:pt idx="319">
                  <c:v>221.60395217112392</c:v>
                </c:pt>
                <c:pt idx="320">
                  <c:v>221.63945044613126</c:v>
                </c:pt>
                <c:pt idx="321">
                  <c:v>221.65101928180468</c:v>
                </c:pt>
                <c:pt idx="322">
                  <c:v>221.81628185020185</c:v>
                </c:pt>
                <c:pt idx="323">
                  <c:v>221.9441966783553</c:v>
                </c:pt>
                <c:pt idx="324">
                  <c:v>222.47186229114533</c:v>
                </c:pt>
                <c:pt idx="325">
                  <c:v>222.48270811147813</c:v>
                </c:pt>
                <c:pt idx="326">
                  <c:v>222.48295567294082</c:v>
                </c:pt>
                <c:pt idx="327">
                  <c:v>222.52506588910302</c:v>
                </c:pt>
                <c:pt idx="328">
                  <c:v>222.72542631307289</c:v>
                </c:pt>
                <c:pt idx="329">
                  <c:v>223.13314549515815</c:v>
                </c:pt>
                <c:pt idx="330">
                  <c:v>223.31991445353037</c:v>
                </c:pt>
                <c:pt idx="331">
                  <c:v>223.35700194699734</c:v>
                </c:pt>
                <c:pt idx="332">
                  <c:v>224.24090219194488</c:v>
                </c:pt>
                <c:pt idx="333">
                  <c:v>224.53852752704216</c:v>
                </c:pt>
                <c:pt idx="334">
                  <c:v>224.67447637427284</c:v>
                </c:pt>
                <c:pt idx="335">
                  <c:v>224.73708301771501</c:v>
                </c:pt>
                <c:pt idx="336">
                  <c:v>224.76045892199227</c:v>
                </c:pt>
                <c:pt idx="337">
                  <c:v>224.78388741905587</c:v>
                </c:pt>
                <c:pt idx="338">
                  <c:v>224.88577138574601</c:v>
                </c:pt>
                <c:pt idx="339">
                  <c:v>225.57772480915173</c:v>
                </c:pt>
                <c:pt idx="340">
                  <c:v>225.71463225833594</c:v>
                </c:pt>
                <c:pt idx="341">
                  <c:v>225.74401277310795</c:v>
                </c:pt>
                <c:pt idx="342">
                  <c:v>226.05672694782118</c:v>
                </c:pt>
                <c:pt idx="343">
                  <c:v>226.13694265369423</c:v>
                </c:pt>
                <c:pt idx="344">
                  <c:v>226.36371447620411</c:v>
                </c:pt>
                <c:pt idx="345">
                  <c:v>226.57998497724765</c:v>
                </c:pt>
                <c:pt idx="346">
                  <c:v>227.09996359889129</c:v>
                </c:pt>
                <c:pt idx="347">
                  <c:v>227.54858859703938</c:v>
                </c:pt>
                <c:pt idx="348">
                  <c:v>227.6469700524014</c:v>
                </c:pt>
                <c:pt idx="349">
                  <c:v>227.75982080180609</c:v>
                </c:pt>
                <c:pt idx="350">
                  <c:v>228.27519635471862</c:v>
                </c:pt>
                <c:pt idx="351">
                  <c:v>228.99967768757921</c:v>
                </c:pt>
                <c:pt idx="352">
                  <c:v>229.12776417809937</c:v>
                </c:pt>
                <c:pt idx="353">
                  <c:v>229.18152506894319</c:v>
                </c:pt>
                <c:pt idx="354">
                  <c:v>229.24866800085914</c:v>
                </c:pt>
                <c:pt idx="355">
                  <c:v>229.5736217053128</c:v>
                </c:pt>
                <c:pt idx="356">
                  <c:v>229.71823189716088</c:v>
                </c:pt>
                <c:pt idx="357">
                  <c:v>229.82925573427747</c:v>
                </c:pt>
                <c:pt idx="358">
                  <c:v>229.99476458732596</c:v>
                </c:pt>
                <c:pt idx="359">
                  <c:v>229.99661986614944</c:v>
                </c:pt>
                <c:pt idx="360">
                  <c:v>230.46881197018877</c:v>
                </c:pt>
                <c:pt idx="361">
                  <c:v>230.51995020370885</c:v>
                </c:pt>
                <c:pt idx="362">
                  <c:v>230.68247709760368</c:v>
                </c:pt>
                <c:pt idx="363">
                  <c:v>230.74703186089295</c:v>
                </c:pt>
                <c:pt idx="364">
                  <c:v>231.01643565338429</c:v>
                </c:pt>
                <c:pt idx="365">
                  <c:v>231.40933258955044</c:v>
                </c:pt>
                <c:pt idx="366">
                  <c:v>231.71812824487279</c:v>
                </c:pt>
                <c:pt idx="367">
                  <c:v>232.06781961923338</c:v>
                </c:pt>
                <c:pt idx="368">
                  <c:v>232.16032703990561</c:v>
                </c:pt>
                <c:pt idx="369">
                  <c:v>232.36343357005461</c:v>
                </c:pt>
                <c:pt idx="370">
                  <c:v>232.40438770075951</c:v>
                </c:pt>
                <c:pt idx="371">
                  <c:v>233.11604023051285</c:v>
                </c:pt>
                <c:pt idx="372">
                  <c:v>233.19394702845455</c:v>
                </c:pt>
                <c:pt idx="373">
                  <c:v>233.21450521639031</c:v>
                </c:pt>
                <c:pt idx="374">
                  <c:v>233.58541379717065</c:v>
                </c:pt>
                <c:pt idx="375">
                  <c:v>234.32582503211785</c:v>
                </c:pt>
                <c:pt idx="376">
                  <c:v>234.8216697764525</c:v>
                </c:pt>
                <c:pt idx="377">
                  <c:v>235.51795240595834</c:v>
                </c:pt>
                <c:pt idx="378">
                  <c:v>237.24987787733073</c:v>
                </c:pt>
                <c:pt idx="379">
                  <c:v>237.26105658436313</c:v>
                </c:pt>
                <c:pt idx="380">
                  <c:v>238.47022230664942</c:v>
                </c:pt>
                <c:pt idx="381">
                  <c:v>239.21986471700831</c:v>
                </c:pt>
                <c:pt idx="382">
                  <c:v>239.44835076207607</c:v>
                </c:pt>
                <c:pt idx="383">
                  <c:v>239.57274909820495</c:v>
                </c:pt>
                <c:pt idx="384">
                  <c:v>239.79150377164649</c:v>
                </c:pt>
                <c:pt idx="385">
                  <c:v>239.87519522672994</c:v>
                </c:pt>
                <c:pt idx="386">
                  <c:v>240.34645239075667</c:v>
                </c:pt>
                <c:pt idx="387">
                  <c:v>240.54942257004245</c:v>
                </c:pt>
                <c:pt idx="388">
                  <c:v>241.12011080096221</c:v>
                </c:pt>
                <c:pt idx="389">
                  <c:v>241.74925240584304</c:v>
                </c:pt>
                <c:pt idx="390">
                  <c:v>242.34196124137094</c:v>
                </c:pt>
                <c:pt idx="391">
                  <c:v>242.67647512764989</c:v>
                </c:pt>
                <c:pt idx="392">
                  <c:v>243.57098614267551</c:v>
                </c:pt>
                <c:pt idx="393">
                  <c:v>243.8586104360715</c:v>
                </c:pt>
                <c:pt idx="394">
                  <c:v>243.90270122411204</c:v>
                </c:pt>
                <c:pt idx="395">
                  <c:v>243.93345704696492</c:v>
                </c:pt>
                <c:pt idx="396">
                  <c:v>244.127281363924</c:v>
                </c:pt>
                <c:pt idx="397">
                  <c:v>244.41540791014035</c:v>
                </c:pt>
                <c:pt idx="398">
                  <c:v>244.45385354053457</c:v>
                </c:pt>
                <c:pt idx="399">
                  <c:v>244.62464387152716</c:v>
                </c:pt>
                <c:pt idx="400">
                  <c:v>244.85866526284883</c:v>
                </c:pt>
                <c:pt idx="401">
                  <c:v>244.99922543954551</c:v>
                </c:pt>
                <c:pt idx="402">
                  <c:v>245.14242018362796</c:v>
                </c:pt>
                <c:pt idx="403">
                  <c:v>245.7636582300164</c:v>
                </c:pt>
                <c:pt idx="404">
                  <c:v>246.04647633494437</c:v>
                </c:pt>
                <c:pt idx="405">
                  <c:v>246.76071375290286</c:v>
                </c:pt>
                <c:pt idx="406">
                  <c:v>246.80140029801134</c:v>
                </c:pt>
                <c:pt idx="407">
                  <c:v>247.96181226713492</c:v>
                </c:pt>
                <c:pt idx="408">
                  <c:v>248.85354548985629</c:v>
                </c:pt>
                <c:pt idx="409">
                  <c:v>248.90368154656818</c:v>
                </c:pt>
                <c:pt idx="410">
                  <c:v>250.17319775771148</c:v>
                </c:pt>
                <c:pt idx="411">
                  <c:v>251.15062893550589</c:v>
                </c:pt>
                <c:pt idx="412">
                  <c:v>251.17569862701134</c:v>
                </c:pt>
                <c:pt idx="413">
                  <c:v>251.76049140700923</c:v>
                </c:pt>
                <c:pt idx="414">
                  <c:v>253.07086300710671</c:v>
                </c:pt>
                <c:pt idx="415">
                  <c:v>253.09076776406221</c:v>
                </c:pt>
                <c:pt idx="416">
                  <c:v>253.45161974382887</c:v>
                </c:pt>
                <c:pt idx="417">
                  <c:v>254.34535114307647</c:v>
                </c:pt>
                <c:pt idx="418">
                  <c:v>254.67545430083959</c:v>
                </c:pt>
                <c:pt idx="419">
                  <c:v>254.8494371192246</c:v>
                </c:pt>
                <c:pt idx="420">
                  <c:v>254.89371909191163</c:v>
                </c:pt>
                <c:pt idx="421">
                  <c:v>255.4669329431764</c:v>
                </c:pt>
                <c:pt idx="422">
                  <c:v>256.03892463030451</c:v>
                </c:pt>
                <c:pt idx="423">
                  <c:v>256.20315422260103</c:v>
                </c:pt>
                <c:pt idx="424">
                  <c:v>256.44540092991105</c:v>
                </c:pt>
                <c:pt idx="425">
                  <c:v>256.45306073065007</c:v>
                </c:pt>
                <c:pt idx="426">
                  <c:v>256.51463134658536</c:v>
                </c:pt>
                <c:pt idx="427">
                  <c:v>256.80810462616222</c:v>
                </c:pt>
                <c:pt idx="428">
                  <c:v>257.24804747743184</c:v>
                </c:pt>
                <c:pt idx="429">
                  <c:v>257.68346370268648</c:v>
                </c:pt>
                <c:pt idx="430">
                  <c:v>257.97573264934636</c:v>
                </c:pt>
                <c:pt idx="431">
                  <c:v>258.47389176561711</c:v>
                </c:pt>
                <c:pt idx="432">
                  <c:v>258.48566044333796</c:v>
                </c:pt>
                <c:pt idx="433">
                  <c:v>260.310678268191</c:v>
                </c:pt>
                <c:pt idx="434">
                  <c:v>260.96773779999523</c:v>
                </c:pt>
                <c:pt idx="435">
                  <c:v>261.32779496106104</c:v>
                </c:pt>
                <c:pt idx="436">
                  <c:v>261.62105615693326</c:v>
                </c:pt>
                <c:pt idx="437">
                  <c:v>262.59857838990308</c:v>
                </c:pt>
                <c:pt idx="438">
                  <c:v>263.91273132968428</c:v>
                </c:pt>
                <c:pt idx="439">
                  <c:v>264.59235900088788</c:v>
                </c:pt>
                <c:pt idx="440">
                  <c:v>264.76618814889474</c:v>
                </c:pt>
                <c:pt idx="441">
                  <c:v>265.26474352769327</c:v>
                </c:pt>
                <c:pt idx="442">
                  <c:v>265.29199937486828</c:v>
                </c:pt>
                <c:pt idx="443">
                  <c:v>265.7416084582083</c:v>
                </c:pt>
                <c:pt idx="444">
                  <c:v>267.24591975266895</c:v>
                </c:pt>
                <c:pt idx="445">
                  <c:v>268.52595581044631</c:v>
                </c:pt>
                <c:pt idx="446">
                  <c:v>268.6859699628879</c:v>
                </c:pt>
                <c:pt idx="447">
                  <c:v>268.98923045574202</c:v>
                </c:pt>
                <c:pt idx="448">
                  <c:v>269.5277720015053</c:v>
                </c:pt>
                <c:pt idx="449">
                  <c:v>269.84690310596017</c:v>
                </c:pt>
                <c:pt idx="450">
                  <c:v>269.98995722386809</c:v>
                </c:pt>
                <c:pt idx="451">
                  <c:v>270.18885582611574</c:v>
                </c:pt>
                <c:pt idx="452">
                  <c:v>271.97296907820703</c:v>
                </c:pt>
                <c:pt idx="453">
                  <c:v>272.5829153816241</c:v>
                </c:pt>
                <c:pt idx="454">
                  <c:v>272.63631670187414</c:v>
                </c:pt>
                <c:pt idx="455">
                  <c:v>274.5001433458707</c:v>
                </c:pt>
                <c:pt idx="456">
                  <c:v>275.29268454585656</c:v>
                </c:pt>
                <c:pt idx="457">
                  <c:v>276.5120076128548</c:v>
                </c:pt>
                <c:pt idx="458">
                  <c:v>276.89386712704885</c:v>
                </c:pt>
                <c:pt idx="459">
                  <c:v>277.01638471675358</c:v>
                </c:pt>
                <c:pt idx="460">
                  <c:v>277.53107884676314</c:v>
                </c:pt>
                <c:pt idx="461">
                  <c:v>277.6429494973342</c:v>
                </c:pt>
                <c:pt idx="462">
                  <c:v>277.80004747459537</c:v>
                </c:pt>
                <c:pt idx="463">
                  <c:v>278.42263942240356</c:v>
                </c:pt>
                <c:pt idx="464">
                  <c:v>279.01464249419098</c:v>
                </c:pt>
                <c:pt idx="465">
                  <c:v>280.60009664072464</c:v>
                </c:pt>
                <c:pt idx="466">
                  <c:v>281.88248821430733</c:v>
                </c:pt>
                <c:pt idx="467">
                  <c:v>282.99895246447659</c:v>
                </c:pt>
                <c:pt idx="468">
                  <c:v>283.0958775169716</c:v>
                </c:pt>
                <c:pt idx="469">
                  <c:v>283.9387800930777</c:v>
                </c:pt>
                <c:pt idx="470">
                  <c:v>285.20713597799158</c:v>
                </c:pt>
                <c:pt idx="471">
                  <c:v>286.32817867440542</c:v>
                </c:pt>
                <c:pt idx="472">
                  <c:v>286.5548923482757</c:v>
                </c:pt>
                <c:pt idx="473">
                  <c:v>288.60502957899814</c:v>
                </c:pt>
                <c:pt idx="474">
                  <c:v>288.66849141603501</c:v>
                </c:pt>
                <c:pt idx="475">
                  <c:v>288.90102473271571</c:v>
                </c:pt>
                <c:pt idx="476">
                  <c:v>291.11406155196153</c:v>
                </c:pt>
                <c:pt idx="477">
                  <c:v>292.21759006922207</c:v>
                </c:pt>
                <c:pt idx="478">
                  <c:v>292.252748719321</c:v>
                </c:pt>
                <c:pt idx="479">
                  <c:v>293.48153276391099</c:v>
                </c:pt>
                <c:pt idx="480">
                  <c:v>293.84419878842209</c:v>
                </c:pt>
                <c:pt idx="481">
                  <c:v>296.19023240666445</c:v>
                </c:pt>
                <c:pt idx="482">
                  <c:v>296.48876960614695</c:v>
                </c:pt>
                <c:pt idx="483">
                  <c:v>297.57019943612045</c:v>
                </c:pt>
                <c:pt idx="484">
                  <c:v>297.93661323068523</c:v>
                </c:pt>
                <c:pt idx="485">
                  <c:v>298.76036196733094</c:v>
                </c:pt>
                <c:pt idx="486">
                  <c:v>298.82843335073227</c:v>
                </c:pt>
                <c:pt idx="487">
                  <c:v>298.86866142039059</c:v>
                </c:pt>
                <c:pt idx="488">
                  <c:v>299.05440172479615</c:v>
                </c:pt>
                <c:pt idx="489">
                  <c:v>300.53654823106484</c:v>
                </c:pt>
                <c:pt idx="490">
                  <c:v>301.46968216619501</c:v>
                </c:pt>
                <c:pt idx="491">
                  <c:v>307.76343005304273</c:v>
                </c:pt>
                <c:pt idx="492">
                  <c:v>309.00103978372886</c:v>
                </c:pt>
                <c:pt idx="493">
                  <c:v>316.72235258132025</c:v>
                </c:pt>
                <c:pt idx="494">
                  <c:v>317.4142729527818</c:v>
                </c:pt>
                <c:pt idx="495">
                  <c:v>320.75225824397444</c:v>
                </c:pt>
                <c:pt idx="496">
                  <c:v>322.83479268304529</c:v>
                </c:pt>
                <c:pt idx="497">
                  <c:v>327.18860502763079</c:v>
                </c:pt>
                <c:pt idx="498">
                  <c:v>335.09852188567618</c:v>
                </c:pt>
                <c:pt idx="499">
                  <c:v>341.44431236446036</c:v>
                </c:pt>
              </c:numCache>
            </c:numRef>
          </c:xVal>
          <c:yVal>
            <c:numRef>
              <c:f>SimData!$R$2:$R$501</c:f>
              <c:numCache>
                <c:formatCode>General</c:formatCode>
                <c:ptCount val="500"/>
                <c:pt idx="0">
                  <c:v>0</c:v>
                </c:pt>
                <c:pt idx="1">
                  <c:v>2.004008016032064E-3</c:v>
                </c:pt>
                <c:pt idx="2">
                  <c:v>4.0080160320641279E-3</c:v>
                </c:pt>
                <c:pt idx="3">
                  <c:v>6.0120240480961915E-3</c:v>
                </c:pt>
                <c:pt idx="4">
                  <c:v>8.0160320641282558E-3</c:v>
                </c:pt>
                <c:pt idx="5">
                  <c:v>1.002004008016032E-2</c:v>
                </c:pt>
                <c:pt idx="6">
                  <c:v>1.2024048096192385E-2</c:v>
                </c:pt>
                <c:pt idx="7">
                  <c:v>1.4028056112224449E-2</c:v>
                </c:pt>
                <c:pt idx="8">
                  <c:v>1.6032064128256512E-2</c:v>
                </c:pt>
                <c:pt idx="9">
                  <c:v>1.8036072144288574E-2</c:v>
                </c:pt>
                <c:pt idx="10">
                  <c:v>2.0040080160320637E-2</c:v>
                </c:pt>
                <c:pt idx="11">
                  <c:v>2.20440881763527E-2</c:v>
                </c:pt>
                <c:pt idx="12">
                  <c:v>2.4048096192384762E-2</c:v>
                </c:pt>
                <c:pt idx="13">
                  <c:v>2.6052104208416825E-2</c:v>
                </c:pt>
                <c:pt idx="14">
                  <c:v>2.8056112224448888E-2</c:v>
                </c:pt>
                <c:pt idx="15">
                  <c:v>3.006012024048095E-2</c:v>
                </c:pt>
                <c:pt idx="16">
                  <c:v>3.2064128256513016E-2</c:v>
                </c:pt>
                <c:pt idx="17">
                  <c:v>3.4068136272545083E-2</c:v>
                </c:pt>
                <c:pt idx="18">
                  <c:v>3.6072144288577149E-2</c:v>
                </c:pt>
                <c:pt idx="19">
                  <c:v>3.8076152304609215E-2</c:v>
                </c:pt>
                <c:pt idx="20">
                  <c:v>4.0080160320641281E-2</c:v>
                </c:pt>
                <c:pt idx="21">
                  <c:v>4.2084168336673347E-2</c:v>
                </c:pt>
                <c:pt idx="22">
                  <c:v>4.4088176352705413E-2</c:v>
                </c:pt>
                <c:pt idx="23">
                  <c:v>4.6092184368737479E-2</c:v>
                </c:pt>
                <c:pt idx="24">
                  <c:v>4.8096192384769546E-2</c:v>
                </c:pt>
                <c:pt idx="25">
                  <c:v>5.0100200400801612E-2</c:v>
                </c:pt>
                <c:pt idx="26">
                  <c:v>5.2104208416833678E-2</c:v>
                </c:pt>
                <c:pt idx="27">
                  <c:v>5.4108216432865744E-2</c:v>
                </c:pt>
                <c:pt idx="28">
                  <c:v>5.611222444889781E-2</c:v>
                </c:pt>
                <c:pt idx="29">
                  <c:v>5.8116232464929876E-2</c:v>
                </c:pt>
                <c:pt idx="30">
                  <c:v>6.0120240480961942E-2</c:v>
                </c:pt>
                <c:pt idx="31">
                  <c:v>6.2124248496994008E-2</c:v>
                </c:pt>
                <c:pt idx="32">
                  <c:v>6.4128256513026075E-2</c:v>
                </c:pt>
                <c:pt idx="33">
                  <c:v>6.6132264529058141E-2</c:v>
                </c:pt>
                <c:pt idx="34">
                  <c:v>6.8136272545090207E-2</c:v>
                </c:pt>
                <c:pt idx="35">
                  <c:v>7.0140280561122273E-2</c:v>
                </c:pt>
                <c:pt idx="36">
                  <c:v>7.2144288577154339E-2</c:v>
                </c:pt>
                <c:pt idx="37">
                  <c:v>7.4148296593186405E-2</c:v>
                </c:pt>
                <c:pt idx="38">
                  <c:v>7.6152304609218471E-2</c:v>
                </c:pt>
                <c:pt idx="39">
                  <c:v>7.8156312625250537E-2</c:v>
                </c:pt>
                <c:pt idx="40">
                  <c:v>8.0160320641282604E-2</c:v>
                </c:pt>
                <c:pt idx="41">
                  <c:v>8.216432865731467E-2</c:v>
                </c:pt>
                <c:pt idx="42">
                  <c:v>8.4168336673346736E-2</c:v>
                </c:pt>
                <c:pt idx="43">
                  <c:v>8.6172344689378802E-2</c:v>
                </c:pt>
                <c:pt idx="44">
                  <c:v>8.8176352705410868E-2</c:v>
                </c:pt>
                <c:pt idx="45">
                  <c:v>9.0180360721442934E-2</c:v>
                </c:pt>
                <c:pt idx="46">
                  <c:v>9.2184368737475E-2</c:v>
                </c:pt>
                <c:pt idx="47">
                  <c:v>9.4188376753507067E-2</c:v>
                </c:pt>
                <c:pt idx="48">
                  <c:v>9.6192384769539133E-2</c:v>
                </c:pt>
                <c:pt idx="49">
                  <c:v>9.8196392785571199E-2</c:v>
                </c:pt>
                <c:pt idx="50">
                  <c:v>0.10020040080160326</c:v>
                </c:pt>
                <c:pt idx="51">
                  <c:v>0.10220440881763533</c:v>
                </c:pt>
                <c:pt idx="52">
                  <c:v>0.1042084168336674</c:v>
                </c:pt>
                <c:pt idx="53">
                  <c:v>0.10621242484969946</c:v>
                </c:pt>
                <c:pt idx="54">
                  <c:v>0.10821643286573153</c:v>
                </c:pt>
                <c:pt idx="55">
                  <c:v>0.1102204408817636</c:v>
                </c:pt>
                <c:pt idx="56">
                  <c:v>0.11222444889779566</c:v>
                </c:pt>
                <c:pt idx="57">
                  <c:v>0.11422845691382773</c:v>
                </c:pt>
                <c:pt idx="58">
                  <c:v>0.11623246492985979</c:v>
                </c:pt>
                <c:pt idx="59">
                  <c:v>0.11823647294589186</c:v>
                </c:pt>
                <c:pt idx="60">
                  <c:v>0.12024048096192393</c:v>
                </c:pt>
                <c:pt idx="61">
                  <c:v>0.12224448897795599</c:v>
                </c:pt>
                <c:pt idx="62">
                  <c:v>0.12424849699398806</c:v>
                </c:pt>
                <c:pt idx="63">
                  <c:v>0.12625250501002011</c:v>
                </c:pt>
                <c:pt idx="64">
                  <c:v>0.12825651302605218</c:v>
                </c:pt>
                <c:pt idx="65">
                  <c:v>0.13026052104208424</c:v>
                </c:pt>
                <c:pt idx="66">
                  <c:v>0.13226452905811631</c:v>
                </c:pt>
                <c:pt idx="67">
                  <c:v>0.13426853707414838</c:v>
                </c:pt>
                <c:pt idx="68">
                  <c:v>0.13627254509018044</c:v>
                </c:pt>
                <c:pt idx="69">
                  <c:v>0.13827655310621251</c:v>
                </c:pt>
                <c:pt idx="70">
                  <c:v>0.14028056112224457</c:v>
                </c:pt>
                <c:pt idx="71">
                  <c:v>0.14228456913827664</c:v>
                </c:pt>
                <c:pt idx="72">
                  <c:v>0.14428857715430871</c:v>
                </c:pt>
                <c:pt idx="73">
                  <c:v>0.14629258517034077</c:v>
                </c:pt>
                <c:pt idx="74">
                  <c:v>0.14829659318637284</c:v>
                </c:pt>
                <c:pt idx="75">
                  <c:v>0.1503006012024049</c:v>
                </c:pt>
                <c:pt idx="76">
                  <c:v>0.15230460921843697</c:v>
                </c:pt>
                <c:pt idx="77">
                  <c:v>0.15430861723446904</c:v>
                </c:pt>
                <c:pt idx="78">
                  <c:v>0.1563126252505011</c:v>
                </c:pt>
                <c:pt idx="79">
                  <c:v>0.15831663326653317</c:v>
                </c:pt>
                <c:pt idx="80">
                  <c:v>0.16032064128256523</c:v>
                </c:pt>
                <c:pt idx="81">
                  <c:v>0.1623246492985973</c:v>
                </c:pt>
                <c:pt idx="82">
                  <c:v>0.16432865731462937</c:v>
                </c:pt>
                <c:pt idx="83">
                  <c:v>0.16633266533066143</c:v>
                </c:pt>
                <c:pt idx="84">
                  <c:v>0.1683366733466935</c:v>
                </c:pt>
                <c:pt idx="85">
                  <c:v>0.17034068136272557</c:v>
                </c:pt>
                <c:pt idx="86">
                  <c:v>0.17234468937875763</c:v>
                </c:pt>
                <c:pt idx="87">
                  <c:v>0.1743486973947897</c:v>
                </c:pt>
                <c:pt idx="88">
                  <c:v>0.17635270541082176</c:v>
                </c:pt>
                <c:pt idx="89">
                  <c:v>0.17835671342685383</c:v>
                </c:pt>
                <c:pt idx="90">
                  <c:v>0.1803607214428859</c:v>
                </c:pt>
                <c:pt idx="91">
                  <c:v>0.18236472945891796</c:v>
                </c:pt>
                <c:pt idx="92">
                  <c:v>0.18436873747495003</c:v>
                </c:pt>
                <c:pt idx="93">
                  <c:v>0.18637274549098209</c:v>
                </c:pt>
                <c:pt idx="94">
                  <c:v>0.18837675350701416</c:v>
                </c:pt>
                <c:pt idx="95">
                  <c:v>0.19038076152304623</c:v>
                </c:pt>
                <c:pt idx="96">
                  <c:v>0.19238476953907829</c:v>
                </c:pt>
                <c:pt idx="97">
                  <c:v>0.19438877755511036</c:v>
                </c:pt>
                <c:pt idx="98">
                  <c:v>0.19639278557114243</c:v>
                </c:pt>
                <c:pt idx="99">
                  <c:v>0.19839679358717449</c:v>
                </c:pt>
                <c:pt idx="100">
                  <c:v>0.20040080160320656</c:v>
                </c:pt>
                <c:pt idx="101">
                  <c:v>0.20240480961923862</c:v>
                </c:pt>
                <c:pt idx="102">
                  <c:v>0.20440881763527069</c:v>
                </c:pt>
                <c:pt idx="103">
                  <c:v>0.20641282565130276</c:v>
                </c:pt>
                <c:pt idx="104">
                  <c:v>0.20841683366733482</c:v>
                </c:pt>
                <c:pt idx="105">
                  <c:v>0.21042084168336689</c:v>
                </c:pt>
                <c:pt idx="106">
                  <c:v>0.21242484969939895</c:v>
                </c:pt>
                <c:pt idx="107">
                  <c:v>0.21442885771543102</c:v>
                </c:pt>
                <c:pt idx="108">
                  <c:v>0.21643286573146309</c:v>
                </c:pt>
                <c:pt idx="109">
                  <c:v>0.21843687374749515</c:v>
                </c:pt>
                <c:pt idx="110">
                  <c:v>0.22044088176352722</c:v>
                </c:pt>
                <c:pt idx="111">
                  <c:v>0.22244488977955928</c:v>
                </c:pt>
                <c:pt idx="112">
                  <c:v>0.22444889779559135</c:v>
                </c:pt>
                <c:pt idx="113">
                  <c:v>0.22645290581162342</c:v>
                </c:pt>
                <c:pt idx="114">
                  <c:v>0.22845691382765548</c:v>
                </c:pt>
                <c:pt idx="115">
                  <c:v>0.23046092184368755</c:v>
                </c:pt>
                <c:pt idx="116">
                  <c:v>0.23246492985971962</c:v>
                </c:pt>
                <c:pt idx="117">
                  <c:v>0.23446893787575168</c:v>
                </c:pt>
                <c:pt idx="118">
                  <c:v>0.23647294589178375</c:v>
                </c:pt>
                <c:pt idx="119">
                  <c:v>0.23847695390781581</c:v>
                </c:pt>
                <c:pt idx="120">
                  <c:v>0.24048096192384788</c:v>
                </c:pt>
                <c:pt idx="121">
                  <c:v>0.24248496993987995</c:v>
                </c:pt>
                <c:pt idx="122">
                  <c:v>0.24448897795591201</c:v>
                </c:pt>
                <c:pt idx="123">
                  <c:v>0.24649298597194408</c:v>
                </c:pt>
                <c:pt idx="124">
                  <c:v>0.24849699398797614</c:v>
                </c:pt>
                <c:pt idx="125">
                  <c:v>0.25050100200400821</c:v>
                </c:pt>
                <c:pt idx="126">
                  <c:v>0.25250501002004028</c:v>
                </c:pt>
                <c:pt idx="127">
                  <c:v>0.25450901803607234</c:v>
                </c:pt>
                <c:pt idx="128">
                  <c:v>0.25651302605210441</c:v>
                </c:pt>
                <c:pt idx="129">
                  <c:v>0.25851703406813648</c:v>
                </c:pt>
                <c:pt idx="130">
                  <c:v>0.26052104208416854</c:v>
                </c:pt>
                <c:pt idx="131">
                  <c:v>0.26252505010020061</c:v>
                </c:pt>
                <c:pt idx="132">
                  <c:v>0.26452905811623267</c:v>
                </c:pt>
                <c:pt idx="133">
                  <c:v>0.26653306613226474</c:v>
                </c:pt>
                <c:pt idx="134">
                  <c:v>0.26853707414829681</c:v>
                </c:pt>
                <c:pt idx="135">
                  <c:v>0.27054108216432887</c:v>
                </c:pt>
                <c:pt idx="136">
                  <c:v>0.27254509018036094</c:v>
                </c:pt>
                <c:pt idx="137">
                  <c:v>0.274549098196393</c:v>
                </c:pt>
                <c:pt idx="138">
                  <c:v>0.27655310621242507</c:v>
                </c:pt>
                <c:pt idx="139">
                  <c:v>0.27855711422845714</c:v>
                </c:pt>
                <c:pt idx="140">
                  <c:v>0.2805611222444892</c:v>
                </c:pt>
                <c:pt idx="141">
                  <c:v>0.28256513026052127</c:v>
                </c:pt>
                <c:pt idx="142">
                  <c:v>0.28456913827655334</c:v>
                </c:pt>
                <c:pt idx="143">
                  <c:v>0.2865731462925854</c:v>
                </c:pt>
                <c:pt idx="144">
                  <c:v>0.28857715430861747</c:v>
                </c:pt>
                <c:pt idx="145">
                  <c:v>0.29058116232464953</c:v>
                </c:pt>
                <c:pt idx="146">
                  <c:v>0.2925851703406816</c:v>
                </c:pt>
                <c:pt idx="147">
                  <c:v>0.29458917835671367</c:v>
                </c:pt>
                <c:pt idx="148">
                  <c:v>0.29659318637274573</c:v>
                </c:pt>
                <c:pt idx="149">
                  <c:v>0.2985971943887778</c:v>
                </c:pt>
                <c:pt idx="150">
                  <c:v>0.30060120240480986</c:v>
                </c:pt>
                <c:pt idx="151">
                  <c:v>0.30260521042084193</c:v>
                </c:pt>
                <c:pt idx="152">
                  <c:v>0.304609218436874</c:v>
                </c:pt>
                <c:pt idx="153">
                  <c:v>0.30661322645290606</c:v>
                </c:pt>
                <c:pt idx="154">
                  <c:v>0.30861723446893813</c:v>
                </c:pt>
                <c:pt idx="155">
                  <c:v>0.31062124248497019</c:v>
                </c:pt>
                <c:pt idx="156">
                  <c:v>0.31262525050100226</c:v>
                </c:pt>
                <c:pt idx="157">
                  <c:v>0.31462925851703433</c:v>
                </c:pt>
                <c:pt idx="158">
                  <c:v>0.31663326653306639</c:v>
                </c:pt>
                <c:pt idx="159">
                  <c:v>0.31863727454909846</c:v>
                </c:pt>
                <c:pt idx="160">
                  <c:v>0.32064128256513053</c:v>
                </c:pt>
                <c:pt idx="161">
                  <c:v>0.32264529058116259</c:v>
                </c:pt>
                <c:pt idx="162">
                  <c:v>0.32464929859719466</c:v>
                </c:pt>
                <c:pt idx="163">
                  <c:v>0.32665330661322672</c:v>
                </c:pt>
                <c:pt idx="164">
                  <c:v>0.32865731462925879</c:v>
                </c:pt>
                <c:pt idx="165">
                  <c:v>0.33066132264529086</c:v>
                </c:pt>
                <c:pt idx="166">
                  <c:v>0.33266533066132292</c:v>
                </c:pt>
                <c:pt idx="167">
                  <c:v>0.33466933867735499</c:v>
                </c:pt>
                <c:pt idx="168">
                  <c:v>0.33667334669338705</c:v>
                </c:pt>
                <c:pt idx="169">
                  <c:v>0.33867735470941912</c:v>
                </c:pt>
                <c:pt idx="170">
                  <c:v>0.34068136272545119</c:v>
                </c:pt>
                <c:pt idx="171">
                  <c:v>0.34268537074148325</c:v>
                </c:pt>
                <c:pt idx="172">
                  <c:v>0.34468937875751532</c:v>
                </c:pt>
                <c:pt idx="173">
                  <c:v>0.34669338677354739</c:v>
                </c:pt>
                <c:pt idx="174">
                  <c:v>0.34869739478957945</c:v>
                </c:pt>
                <c:pt idx="175">
                  <c:v>0.35070140280561152</c:v>
                </c:pt>
                <c:pt idx="176">
                  <c:v>0.35270541082164358</c:v>
                </c:pt>
                <c:pt idx="177">
                  <c:v>0.35470941883767565</c:v>
                </c:pt>
                <c:pt idx="178">
                  <c:v>0.35671342685370772</c:v>
                </c:pt>
                <c:pt idx="179">
                  <c:v>0.35871743486973978</c:v>
                </c:pt>
                <c:pt idx="180">
                  <c:v>0.36072144288577185</c:v>
                </c:pt>
                <c:pt idx="181">
                  <c:v>0.36272545090180391</c:v>
                </c:pt>
                <c:pt idx="182">
                  <c:v>0.36472945891783598</c:v>
                </c:pt>
                <c:pt idx="183">
                  <c:v>0.36673346693386805</c:v>
                </c:pt>
                <c:pt idx="184">
                  <c:v>0.36873747494990011</c:v>
                </c:pt>
                <c:pt idx="185">
                  <c:v>0.37074148296593218</c:v>
                </c:pt>
                <c:pt idx="186">
                  <c:v>0.37274549098196424</c:v>
                </c:pt>
                <c:pt idx="187">
                  <c:v>0.37474949899799631</c:v>
                </c:pt>
                <c:pt idx="188">
                  <c:v>0.37675350701402838</c:v>
                </c:pt>
                <c:pt idx="189">
                  <c:v>0.37875751503006044</c:v>
                </c:pt>
                <c:pt idx="190">
                  <c:v>0.38076152304609251</c:v>
                </c:pt>
                <c:pt idx="191">
                  <c:v>0.38276553106212458</c:v>
                </c:pt>
                <c:pt idx="192">
                  <c:v>0.38476953907815664</c:v>
                </c:pt>
                <c:pt idx="193">
                  <c:v>0.38677354709418871</c:v>
                </c:pt>
                <c:pt idx="194">
                  <c:v>0.38877755511022077</c:v>
                </c:pt>
                <c:pt idx="195">
                  <c:v>0.39078156312625284</c:v>
                </c:pt>
                <c:pt idx="196">
                  <c:v>0.39278557114228491</c:v>
                </c:pt>
                <c:pt idx="197">
                  <c:v>0.39478957915831697</c:v>
                </c:pt>
                <c:pt idx="198">
                  <c:v>0.39679358717434904</c:v>
                </c:pt>
                <c:pt idx="199">
                  <c:v>0.3987975951903811</c:v>
                </c:pt>
                <c:pt idx="200">
                  <c:v>0.40080160320641317</c:v>
                </c:pt>
                <c:pt idx="201">
                  <c:v>0.40280561122244524</c:v>
                </c:pt>
                <c:pt idx="202">
                  <c:v>0.4048096192384773</c:v>
                </c:pt>
                <c:pt idx="203">
                  <c:v>0.40681362725450937</c:v>
                </c:pt>
                <c:pt idx="204">
                  <c:v>0.40881763527054144</c:v>
                </c:pt>
                <c:pt idx="205">
                  <c:v>0.4108216432865735</c:v>
                </c:pt>
                <c:pt idx="206">
                  <c:v>0.41282565130260557</c:v>
                </c:pt>
                <c:pt idx="207">
                  <c:v>0.41482965931863763</c:v>
                </c:pt>
                <c:pt idx="208">
                  <c:v>0.4168336673346697</c:v>
                </c:pt>
                <c:pt idx="209">
                  <c:v>0.41883767535070177</c:v>
                </c:pt>
                <c:pt idx="210">
                  <c:v>0.42084168336673383</c:v>
                </c:pt>
                <c:pt idx="211">
                  <c:v>0.4228456913827659</c:v>
                </c:pt>
                <c:pt idx="212">
                  <c:v>0.42484969939879796</c:v>
                </c:pt>
                <c:pt idx="213">
                  <c:v>0.42685370741483003</c:v>
                </c:pt>
                <c:pt idx="214">
                  <c:v>0.4288577154308621</c:v>
                </c:pt>
                <c:pt idx="215">
                  <c:v>0.43086172344689416</c:v>
                </c:pt>
                <c:pt idx="216">
                  <c:v>0.43286573146292623</c:v>
                </c:pt>
                <c:pt idx="217">
                  <c:v>0.43486973947895829</c:v>
                </c:pt>
                <c:pt idx="218">
                  <c:v>0.43687374749499036</c:v>
                </c:pt>
                <c:pt idx="219">
                  <c:v>0.43887775551102243</c:v>
                </c:pt>
                <c:pt idx="220">
                  <c:v>0.44088176352705449</c:v>
                </c:pt>
                <c:pt idx="221">
                  <c:v>0.44288577154308656</c:v>
                </c:pt>
                <c:pt idx="222">
                  <c:v>0.44488977955911863</c:v>
                </c:pt>
                <c:pt idx="223">
                  <c:v>0.44689378757515069</c:v>
                </c:pt>
                <c:pt idx="224">
                  <c:v>0.44889779559118276</c:v>
                </c:pt>
                <c:pt idx="225">
                  <c:v>0.45090180360721482</c:v>
                </c:pt>
                <c:pt idx="226">
                  <c:v>0.45290581162324689</c:v>
                </c:pt>
                <c:pt idx="227">
                  <c:v>0.45490981963927896</c:v>
                </c:pt>
                <c:pt idx="228">
                  <c:v>0.45691382765531102</c:v>
                </c:pt>
                <c:pt idx="229">
                  <c:v>0.45891783567134309</c:v>
                </c:pt>
                <c:pt idx="230">
                  <c:v>0.46092184368737515</c:v>
                </c:pt>
                <c:pt idx="231">
                  <c:v>0.46292585170340722</c:v>
                </c:pt>
                <c:pt idx="232">
                  <c:v>0.46492985971943929</c:v>
                </c:pt>
                <c:pt idx="233">
                  <c:v>0.46693386773547135</c:v>
                </c:pt>
                <c:pt idx="234">
                  <c:v>0.46893787575150342</c:v>
                </c:pt>
                <c:pt idx="235">
                  <c:v>0.47094188376753549</c:v>
                </c:pt>
                <c:pt idx="236">
                  <c:v>0.47294589178356755</c:v>
                </c:pt>
                <c:pt idx="237">
                  <c:v>0.47494989979959962</c:v>
                </c:pt>
                <c:pt idx="238">
                  <c:v>0.47695390781563168</c:v>
                </c:pt>
                <c:pt idx="239">
                  <c:v>0.47895791583166375</c:v>
                </c:pt>
                <c:pt idx="240">
                  <c:v>0.48096192384769582</c:v>
                </c:pt>
                <c:pt idx="241">
                  <c:v>0.48296593186372788</c:v>
                </c:pt>
                <c:pt idx="242">
                  <c:v>0.48496993987975995</c:v>
                </c:pt>
                <c:pt idx="243">
                  <c:v>0.48697394789579201</c:v>
                </c:pt>
                <c:pt idx="244">
                  <c:v>0.48897795591182408</c:v>
                </c:pt>
                <c:pt idx="245">
                  <c:v>0.49098196392785615</c:v>
                </c:pt>
                <c:pt idx="246">
                  <c:v>0.49298597194388821</c:v>
                </c:pt>
                <c:pt idx="247">
                  <c:v>0.49498997995992028</c:v>
                </c:pt>
                <c:pt idx="248">
                  <c:v>0.49699398797595234</c:v>
                </c:pt>
                <c:pt idx="249">
                  <c:v>0.49899799599198441</c:v>
                </c:pt>
                <c:pt idx="250">
                  <c:v>0.50100200400801642</c:v>
                </c:pt>
                <c:pt idx="251">
                  <c:v>0.50300601202404849</c:v>
                </c:pt>
                <c:pt idx="252">
                  <c:v>0.50501002004008055</c:v>
                </c:pt>
                <c:pt idx="253">
                  <c:v>0.50701402805611262</c:v>
                </c:pt>
                <c:pt idx="254">
                  <c:v>0.50901803607214469</c:v>
                </c:pt>
                <c:pt idx="255">
                  <c:v>0.51102204408817675</c:v>
                </c:pt>
                <c:pt idx="256">
                  <c:v>0.51302605210420882</c:v>
                </c:pt>
                <c:pt idx="257">
                  <c:v>0.51503006012024088</c:v>
                </c:pt>
                <c:pt idx="258">
                  <c:v>0.51703406813627295</c:v>
                </c:pt>
                <c:pt idx="259">
                  <c:v>0.51903807615230502</c:v>
                </c:pt>
                <c:pt idx="260">
                  <c:v>0.52104208416833708</c:v>
                </c:pt>
                <c:pt idx="261">
                  <c:v>0.52304609218436915</c:v>
                </c:pt>
                <c:pt idx="262">
                  <c:v>0.52505010020040122</c:v>
                </c:pt>
                <c:pt idx="263">
                  <c:v>0.52705410821643328</c:v>
                </c:pt>
                <c:pt idx="264">
                  <c:v>0.52905811623246535</c:v>
                </c:pt>
                <c:pt idx="265">
                  <c:v>0.53106212424849741</c:v>
                </c:pt>
                <c:pt idx="266">
                  <c:v>0.53306613226452948</c:v>
                </c:pt>
                <c:pt idx="267">
                  <c:v>0.53507014028056155</c:v>
                </c:pt>
                <c:pt idx="268">
                  <c:v>0.53707414829659361</c:v>
                </c:pt>
                <c:pt idx="269">
                  <c:v>0.53907815631262568</c:v>
                </c:pt>
                <c:pt idx="270">
                  <c:v>0.54108216432865774</c:v>
                </c:pt>
                <c:pt idx="271">
                  <c:v>0.54308617234468981</c:v>
                </c:pt>
                <c:pt idx="272">
                  <c:v>0.54509018036072188</c:v>
                </c:pt>
                <c:pt idx="273">
                  <c:v>0.54709418837675394</c:v>
                </c:pt>
                <c:pt idx="274">
                  <c:v>0.54909819639278601</c:v>
                </c:pt>
                <c:pt idx="275">
                  <c:v>0.55110220440881807</c:v>
                </c:pt>
                <c:pt idx="276">
                  <c:v>0.55310621242485014</c:v>
                </c:pt>
                <c:pt idx="277">
                  <c:v>0.55511022044088221</c:v>
                </c:pt>
                <c:pt idx="278">
                  <c:v>0.55711422845691427</c:v>
                </c:pt>
                <c:pt idx="279">
                  <c:v>0.55911823647294634</c:v>
                </c:pt>
                <c:pt idx="280">
                  <c:v>0.56112224448897841</c:v>
                </c:pt>
                <c:pt idx="281">
                  <c:v>0.56312625250501047</c:v>
                </c:pt>
                <c:pt idx="282">
                  <c:v>0.56513026052104254</c:v>
                </c:pt>
                <c:pt idx="283">
                  <c:v>0.5671342685370746</c:v>
                </c:pt>
                <c:pt idx="284">
                  <c:v>0.56913827655310667</c:v>
                </c:pt>
                <c:pt idx="285">
                  <c:v>0.57114228456913874</c:v>
                </c:pt>
                <c:pt idx="286">
                  <c:v>0.5731462925851708</c:v>
                </c:pt>
                <c:pt idx="287">
                  <c:v>0.57515030060120287</c:v>
                </c:pt>
                <c:pt idx="288">
                  <c:v>0.57715430861723493</c:v>
                </c:pt>
                <c:pt idx="289">
                  <c:v>0.579158316633267</c:v>
                </c:pt>
                <c:pt idx="290">
                  <c:v>0.58116232464929907</c:v>
                </c:pt>
                <c:pt idx="291">
                  <c:v>0.58316633266533113</c:v>
                </c:pt>
                <c:pt idx="292">
                  <c:v>0.5851703406813632</c:v>
                </c:pt>
                <c:pt idx="293">
                  <c:v>0.58717434869739527</c:v>
                </c:pt>
                <c:pt idx="294">
                  <c:v>0.58917835671342733</c:v>
                </c:pt>
                <c:pt idx="295">
                  <c:v>0.5911823647294594</c:v>
                </c:pt>
                <c:pt idx="296">
                  <c:v>0.59318637274549146</c:v>
                </c:pt>
                <c:pt idx="297">
                  <c:v>0.59519038076152353</c:v>
                </c:pt>
                <c:pt idx="298">
                  <c:v>0.5971943887775556</c:v>
                </c:pt>
                <c:pt idx="299">
                  <c:v>0.59919839679358766</c:v>
                </c:pt>
                <c:pt idx="300">
                  <c:v>0.60120240480961973</c:v>
                </c:pt>
                <c:pt idx="301">
                  <c:v>0.60320641282565179</c:v>
                </c:pt>
                <c:pt idx="302">
                  <c:v>0.60521042084168386</c:v>
                </c:pt>
                <c:pt idx="303">
                  <c:v>0.60721442885771593</c:v>
                </c:pt>
                <c:pt idx="304">
                  <c:v>0.60921843687374799</c:v>
                </c:pt>
                <c:pt idx="305">
                  <c:v>0.61122244488978006</c:v>
                </c:pt>
                <c:pt idx="306">
                  <c:v>0.61322645290581212</c:v>
                </c:pt>
                <c:pt idx="307">
                  <c:v>0.61523046092184419</c:v>
                </c:pt>
                <c:pt idx="308">
                  <c:v>0.61723446893787626</c:v>
                </c:pt>
                <c:pt idx="309">
                  <c:v>0.61923847695390832</c:v>
                </c:pt>
                <c:pt idx="310">
                  <c:v>0.62124248496994039</c:v>
                </c:pt>
                <c:pt idx="311">
                  <c:v>0.62324649298597246</c:v>
                </c:pt>
                <c:pt idx="312">
                  <c:v>0.62525050100200452</c:v>
                </c:pt>
                <c:pt idx="313">
                  <c:v>0.62725450901803659</c:v>
                </c:pt>
                <c:pt idx="314">
                  <c:v>0.62925851703406865</c:v>
                </c:pt>
                <c:pt idx="315">
                  <c:v>0.63126252505010072</c:v>
                </c:pt>
                <c:pt idx="316">
                  <c:v>0.63326653306613279</c:v>
                </c:pt>
                <c:pt idx="317">
                  <c:v>0.63527054108216485</c:v>
                </c:pt>
                <c:pt idx="318">
                  <c:v>0.63727454909819692</c:v>
                </c:pt>
                <c:pt idx="319">
                  <c:v>0.63927855711422898</c:v>
                </c:pt>
                <c:pt idx="320">
                  <c:v>0.64128256513026105</c:v>
                </c:pt>
                <c:pt idx="321">
                  <c:v>0.64328657314629312</c:v>
                </c:pt>
                <c:pt idx="322">
                  <c:v>0.64529058116232518</c:v>
                </c:pt>
                <c:pt idx="323">
                  <c:v>0.64729458917835725</c:v>
                </c:pt>
                <c:pt idx="324">
                  <c:v>0.64929859719438932</c:v>
                </c:pt>
                <c:pt idx="325">
                  <c:v>0.65130260521042138</c:v>
                </c:pt>
                <c:pt idx="326">
                  <c:v>0.65330661322645345</c:v>
                </c:pt>
                <c:pt idx="327">
                  <c:v>0.65531062124248551</c:v>
                </c:pt>
                <c:pt idx="328">
                  <c:v>0.65731462925851758</c:v>
                </c:pt>
                <c:pt idx="329">
                  <c:v>0.65931863727454965</c:v>
                </c:pt>
                <c:pt idx="330">
                  <c:v>0.66132264529058171</c:v>
                </c:pt>
                <c:pt idx="331">
                  <c:v>0.66332665330661378</c:v>
                </c:pt>
                <c:pt idx="332">
                  <c:v>0.66533066132264584</c:v>
                </c:pt>
                <c:pt idx="333">
                  <c:v>0.66733466933867791</c:v>
                </c:pt>
                <c:pt idx="334">
                  <c:v>0.66933867735470998</c:v>
                </c:pt>
                <c:pt idx="335">
                  <c:v>0.67134268537074204</c:v>
                </c:pt>
                <c:pt idx="336">
                  <c:v>0.67334669338677411</c:v>
                </c:pt>
                <c:pt idx="337">
                  <c:v>0.67535070140280618</c:v>
                </c:pt>
                <c:pt idx="338">
                  <c:v>0.67735470941883824</c:v>
                </c:pt>
                <c:pt idx="339">
                  <c:v>0.67935871743487031</c:v>
                </c:pt>
                <c:pt idx="340">
                  <c:v>0.68136272545090237</c:v>
                </c:pt>
                <c:pt idx="341">
                  <c:v>0.68336673346693444</c:v>
                </c:pt>
                <c:pt idx="342">
                  <c:v>0.68537074148296651</c:v>
                </c:pt>
                <c:pt idx="343">
                  <c:v>0.68737474949899857</c:v>
                </c:pt>
                <c:pt idx="344">
                  <c:v>0.68937875751503064</c:v>
                </c:pt>
                <c:pt idx="345">
                  <c:v>0.6913827655310627</c:v>
                </c:pt>
                <c:pt idx="346">
                  <c:v>0.69338677354709477</c:v>
                </c:pt>
                <c:pt idx="347">
                  <c:v>0.69539078156312684</c:v>
                </c:pt>
                <c:pt idx="348">
                  <c:v>0.6973947895791589</c:v>
                </c:pt>
                <c:pt idx="349">
                  <c:v>0.69939879759519097</c:v>
                </c:pt>
                <c:pt idx="350">
                  <c:v>0.70140280561122303</c:v>
                </c:pt>
                <c:pt idx="351">
                  <c:v>0.7034068136272551</c:v>
                </c:pt>
                <c:pt idx="352">
                  <c:v>0.70541082164328717</c:v>
                </c:pt>
                <c:pt idx="353">
                  <c:v>0.70741482965931923</c:v>
                </c:pt>
                <c:pt idx="354">
                  <c:v>0.7094188376753513</c:v>
                </c:pt>
                <c:pt idx="355">
                  <c:v>0.71142284569138337</c:v>
                </c:pt>
                <c:pt idx="356">
                  <c:v>0.71342685370741543</c:v>
                </c:pt>
                <c:pt idx="357">
                  <c:v>0.7154308617234475</c:v>
                </c:pt>
                <c:pt idx="358">
                  <c:v>0.71743486973947956</c:v>
                </c:pt>
                <c:pt idx="359">
                  <c:v>0.71943887775551163</c:v>
                </c:pt>
                <c:pt idx="360">
                  <c:v>0.7214428857715437</c:v>
                </c:pt>
                <c:pt idx="361">
                  <c:v>0.72344689378757576</c:v>
                </c:pt>
                <c:pt idx="362">
                  <c:v>0.72545090180360783</c:v>
                </c:pt>
                <c:pt idx="363">
                  <c:v>0.72745490981963989</c:v>
                </c:pt>
                <c:pt idx="364">
                  <c:v>0.72945891783567196</c:v>
                </c:pt>
                <c:pt idx="365">
                  <c:v>0.73146292585170403</c:v>
                </c:pt>
                <c:pt idx="366">
                  <c:v>0.73346693386773609</c:v>
                </c:pt>
                <c:pt idx="367">
                  <c:v>0.73547094188376816</c:v>
                </c:pt>
                <c:pt idx="368">
                  <c:v>0.73747494989980023</c:v>
                </c:pt>
                <c:pt idx="369">
                  <c:v>0.73947895791583229</c:v>
                </c:pt>
                <c:pt idx="370">
                  <c:v>0.74148296593186436</c:v>
                </c:pt>
                <c:pt idx="371">
                  <c:v>0.74348697394789642</c:v>
                </c:pt>
                <c:pt idx="372">
                  <c:v>0.74549098196392849</c:v>
                </c:pt>
                <c:pt idx="373">
                  <c:v>0.74749498997996056</c:v>
                </c:pt>
                <c:pt idx="374">
                  <c:v>0.74949899799599262</c:v>
                </c:pt>
                <c:pt idx="375">
                  <c:v>0.75150300601202469</c:v>
                </c:pt>
                <c:pt idx="376">
                  <c:v>0.75350701402805675</c:v>
                </c:pt>
                <c:pt idx="377">
                  <c:v>0.75551102204408882</c:v>
                </c:pt>
                <c:pt idx="378">
                  <c:v>0.75751503006012089</c:v>
                </c:pt>
                <c:pt idx="379">
                  <c:v>0.75951903807615295</c:v>
                </c:pt>
                <c:pt idx="380">
                  <c:v>0.76152304609218502</c:v>
                </c:pt>
                <c:pt idx="381">
                  <c:v>0.76352705410821708</c:v>
                </c:pt>
                <c:pt idx="382">
                  <c:v>0.76553106212424915</c:v>
                </c:pt>
                <c:pt idx="383">
                  <c:v>0.76753507014028122</c:v>
                </c:pt>
                <c:pt idx="384">
                  <c:v>0.76953907815631328</c:v>
                </c:pt>
                <c:pt idx="385">
                  <c:v>0.77154308617234535</c:v>
                </c:pt>
                <c:pt idx="386">
                  <c:v>0.77354709418837742</c:v>
                </c:pt>
                <c:pt idx="387">
                  <c:v>0.77555110220440948</c:v>
                </c:pt>
                <c:pt idx="388">
                  <c:v>0.77755511022044155</c:v>
                </c:pt>
                <c:pt idx="389">
                  <c:v>0.77955911823647361</c:v>
                </c:pt>
                <c:pt idx="390">
                  <c:v>0.78156312625250568</c:v>
                </c:pt>
                <c:pt idx="391">
                  <c:v>0.78356713426853775</c:v>
                </c:pt>
                <c:pt idx="392">
                  <c:v>0.78557114228456981</c:v>
                </c:pt>
                <c:pt idx="393">
                  <c:v>0.78757515030060188</c:v>
                </c:pt>
                <c:pt idx="394">
                  <c:v>0.78957915831663394</c:v>
                </c:pt>
                <c:pt idx="395">
                  <c:v>0.79158316633266601</c:v>
                </c:pt>
                <c:pt idx="396">
                  <c:v>0.79358717434869808</c:v>
                </c:pt>
                <c:pt idx="397">
                  <c:v>0.79559118236473014</c:v>
                </c:pt>
                <c:pt idx="398">
                  <c:v>0.79759519038076221</c:v>
                </c:pt>
                <c:pt idx="399">
                  <c:v>0.79959919839679428</c:v>
                </c:pt>
                <c:pt idx="400">
                  <c:v>0.80160320641282634</c:v>
                </c:pt>
                <c:pt idx="401">
                  <c:v>0.80360721442885841</c:v>
                </c:pt>
                <c:pt idx="402">
                  <c:v>0.80561122244489047</c:v>
                </c:pt>
                <c:pt idx="403">
                  <c:v>0.80761523046092254</c:v>
                </c:pt>
                <c:pt idx="404">
                  <c:v>0.80961923847695461</c:v>
                </c:pt>
                <c:pt idx="405">
                  <c:v>0.81162324649298667</c:v>
                </c:pt>
                <c:pt idx="406">
                  <c:v>0.81362725450901874</c:v>
                </c:pt>
                <c:pt idx="407">
                  <c:v>0.8156312625250508</c:v>
                </c:pt>
                <c:pt idx="408">
                  <c:v>0.81763527054108287</c:v>
                </c:pt>
                <c:pt idx="409">
                  <c:v>0.81963927855711494</c:v>
                </c:pt>
                <c:pt idx="410">
                  <c:v>0.821643286573147</c:v>
                </c:pt>
                <c:pt idx="411">
                  <c:v>0.82364729458917907</c:v>
                </c:pt>
                <c:pt idx="412">
                  <c:v>0.82565130260521113</c:v>
                </c:pt>
                <c:pt idx="413">
                  <c:v>0.8276553106212432</c:v>
                </c:pt>
                <c:pt idx="414">
                  <c:v>0.82965931863727527</c:v>
                </c:pt>
                <c:pt idx="415">
                  <c:v>0.83166332665330733</c:v>
                </c:pt>
                <c:pt idx="416">
                  <c:v>0.8336673346693394</c:v>
                </c:pt>
                <c:pt idx="417">
                  <c:v>0.83567134268537147</c:v>
                </c:pt>
                <c:pt idx="418">
                  <c:v>0.83767535070140353</c:v>
                </c:pt>
                <c:pt idx="419">
                  <c:v>0.8396793587174356</c:v>
                </c:pt>
                <c:pt idx="420">
                  <c:v>0.84168336673346766</c:v>
                </c:pt>
                <c:pt idx="421">
                  <c:v>0.84368737474949973</c:v>
                </c:pt>
                <c:pt idx="422">
                  <c:v>0.8456913827655318</c:v>
                </c:pt>
                <c:pt idx="423">
                  <c:v>0.84769539078156386</c:v>
                </c:pt>
                <c:pt idx="424">
                  <c:v>0.84969939879759593</c:v>
                </c:pt>
                <c:pt idx="425">
                  <c:v>0.85170340681362799</c:v>
                </c:pt>
                <c:pt idx="426">
                  <c:v>0.85370741482966006</c:v>
                </c:pt>
                <c:pt idx="427">
                  <c:v>0.85571142284569213</c:v>
                </c:pt>
                <c:pt idx="428">
                  <c:v>0.85771543086172419</c:v>
                </c:pt>
                <c:pt idx="429">
                  <c:v>0.85971943887775626</c:v>
                </c:pt>
                <c:pt idx="430">
                  <c:v>0.86172344689378833</c:v>
                </c:pt>
                <c:pt idx="431">
                  <c:v>0.86372745490982039</c:v>
                </c:pt>
                <c:pt idx="432">
                  <c:v>0.86573146292585246</c:v>
                </c:pt>
                <c:pt idx="433">
                  <c:v>0.86773547094188452</c:v>
                </c:pt>
                <c:pt idx="434">
                  <c:v>0.86973947895791659</c:v>
                </c:pt>
                <c:pt idx="435">
                  <c:v>0.87174348697394866</c:v>
                </c:pt>
                <c:pt idx="436">
                  <c:v>0.87374749498998072</c:v>
                </c:pt>
                <c:pt idx="437">
                  <c:v>0.87575150300601279</c:v>
                </c:pt>
                <c:pt idx="438">
                  <c:v>0.87775551102204485</c:v>
                </c:pt>
                <c:pt idx="439">
                  <c:v>0.87975951903807692</c:v>
                </c:pt>
                <c:pt idx="440">
                  <c:v>0.88176352705410899</c:v>
                </c:pt>
                <c:pt idx="441">
                  <c:v>0.88376753507014105</c:v>
                </c:pt>
                <c:pt idx="442">
                  <c:v>0.88577154308617312</c:v>
                </c:pt>
                <c:pt idx="443">
                  <c:v>0.88777555110220518</c:v>
                </c:pt>
                <c:pt idx="444">
                  <c:v>0.88977955911823725</c:v>
                </c:pt>
                <c:pt idx="445">
                  <c:v>0.89178356713426932</c:v>
                </c:pt>
                <c:pt idx="446">
                  <c:v>0.89378757515030138</c:v>
                </c:pt>
                <c:pt idx="447">
                  <c:v>0.89579158316633345</c:v>
                </c:pt>
                <c:pt idx="448">
                  <c:v>0.89779559118236552</c:v>
                </c:pt>
                <c:pt idx="449">
                  <c:v>0.89979959919839758</c:v>
                </c:pt>
                <c:pt idx="450">
                  <c:v>0.90180360721442965</c:v>
                </c:pt>
                <c:pt idx="451">
                  <c:v>0.90380761523046171</c:v>
                </c:pt>
                <c:pt idx="452">
                  <c:v>0.90581162324649378</c:v>
                </c:pt>
                <c:pt idx="453">
                  <c:v>0.90781563126252585</c:v>
                </c:pt>
                <c:pt idx="454">
                  <c:v>0.90981963927855791</c:v>
                </c:pt>
                <c:pt idx="455">
                  <c:v>0.91182364729458998</c:v>
                </c:pt>
                <c:pt idx="456">
                  <c:v>0.91382765531062204</c:v>
                </c:pt>
                <c:pt idx="457">
                  <c:v>0.91583166332665411</c:v>
                </c:pt>
                <c:pt idx="458">
                  <c:v>0.91783567134268618</c:v>
                </c:pt>
                <c:pt idx="459">
                  <c:v>0.91983967935871824</c:v>
                </c:pt>
                <c:pt idx="460">
                  <c:v>0.92184368737475031</c:v>
                </c:pt>
                <c:pt idx="461">
                  <c:v>0.92384769539078238</c:v>
                </c:pt>
                <c:pt idx="462">
                  <c:v>0.92585170340681444</c:v>
                </c:pt>
                <c:pt idx="463">
                  <c:v>0.92785571142284651</c:v>
                </c:pt>
                <c:pt idx="464">
                  <c:v>0.92985971943887857</c:v>
                </c:pt>
                <c:pt idx="465">
                  <c:v>0.93186372745491064</c:v>
                </c:pt>
                <c:pt idx="466">
                  <c:v>0.93386773547094271</c:v>
                </c:pt>
                <c:pt idx="467">
                  <c:v>0.93587174348697477</c:v>
                </c:pt>
                <c:pt idx="468">
                  <c:v>0.93787575150300684</c:v>
                </c:pt>
                <c:pt idx="469">
                  <c:v>0.9398797595190389</c:v>
                </c:pt>
                <c:pt idx="470">
                  <c:v>0.94188376753507097</c:v>
                </c:pt>
                <c:pt idx="471">
                  <c:v>0.94388777555110304</c:v>
                </c:pt>
                <c:pt idx="472">
                  <c:v>0.9458917835671351</c:v>
                </c:pt>
                <c:pt idx="473">
                  <c:v>0.94789579158316717</c:v>
                </c:pt>
                <c:pt idx="474">
                  <c:v>0.94989979959919923</c:v>
                </c:pt>
                <c:pt idx="475">
                  <c:v>0.9519038076152313</c:v>
                </c:pt>
                <c:pt idx="476">
                  <c:v>0.95390781563126337</c:v>
                </c:pt>
                <c:pt idx="477">
                  <c:v>0.95591182364729543</c:v>
                </c:pt>
                <c:pt idx="478">
                  <c:v>0.9579158316633275</c:v>
                </c:pt>
                <c:pt idx="479">
                  <c:v>0.95991983967935957</c:v>
                </c:pt>
                <c:pt idx="480">
                  <c:v>0.96192384769539163</c:v>
                </c:pt>
                <c:pt idx="481">
                  <c:v>0.9639278557114237</c:v>
                </c:pt>
                <c:pt idx="482">
                  <c:v>0.96593186372745576</c:v>
                </c:pt>
                <c:pt idx="483">
                  <c:v>0.96793587174348783</c:v>
                </c:pt>
                <c:pt idx="484">
                  <c:v>0.9699398797595199</c:v>
                </c:pt>
                <c:pt idx="485">
                  <c:v>0.97194388777555196</c:v>
                </c:pt>
                <c:pt idx="486">
                  <c:v>0.97394789579158403</c:v>
                </c:pt>
                <c:pt idx="487">
                  <c:v>0.97595190380761609</c:v>
                </c:pt>
                <c:pt idx="488">
                  <c:v>0.97795591182364816</c:v>
                </c:pt>
                <c:pt idx="489">
                  <c:v>0.97995991983968023</c:v>
                </c:pt>
                <c:pt idx="490">
                  <c:v>0.98196392785571229</c:v>
                </c:pt>
                <c:pt idx="491">
                  <c:v>0.98396793587174436</c:v>
                </c:pt>
                <c:pt idx="492">
                  <c:v>0.98597194388777643</c:v>
                </c:pt>
                <c:pt idx="493">
                  <c:v>0.98797595190380849</c:v>
                </c:pt>
                <c:pt idx="494">
                  <c:v>0.98997995991984056</c:v>
                </c:pt>
                <c:pt idx="495">
                  <c:v>0.99198396793587262</c:v>
                </c:pt>
                <c:pt idx="496">
                  <c:v>0.99398797595190469</c:v>
                </c:pt>
                <c:pt idx="497">
                  <c:v>0.99599198396793676</c:v>
                </c:pt>
                <c:pt idx="498">
                  <c:v>0.99799599198396882</c:v>
                </c:pt>
                <c:pt idx="499">
                  <c:v>1.0000000000000009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SimData!$S$1</c:f>
              <c:strCache>
                <c:ptCount val="1"/>
                <c:pt idx="0">
                  <c:v>NCI: 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SimData!$S$2:$S$501</c:f>
              <c:numCache>
                <c:formatCode>General</c:formatCode>
                <c:ptCount val="500"/>
                <c:pt idx="0">
                  <c:v>20.712825277060972</c:v>
                </c:pt>
                <c:pt idx="1">
                  <c:v>21.368687453795673</c:v>
                </c:pt>
                <c:pt idx="2">
                  <c:v>22.151142979497081</c:v>
                </c:pt>
                <c:pt idx="3">
                  <c:v>36.146239201002317</c:v>
                </c:pt>
                <c:pt idx="4">
                  <c:v>39.23328451043588</c:v>
                </c:pt>
                <c:pt idx="5">
                  <c:v>41.156320085026692</c:v>
                </c:pt>
                <c:pt idx="6">
                  <c:v>52.410638575372928</c:v>
                </c:pt>
                <c:pt idx="7">
                  <c:v>56.38753613918513</c:v>
                </c:pt>
                <c:pt idx="8">
                  <c:v>57.865951989076137</c:v>
                </c:pt>
                <c:pt idx="9">
                  <c:v>62.539768042636638</c:v>
                </c:pt>
                <c:pt idx="10">
                  <c:v>62.816181646511495</c:v>
                </c:pt>
                <c:pt idx="11">
                  <c:v>63.338028477859211</c:v>
                </c:pt>
                <c:pt idx="12">
                  <c:v>65.905659621481277</c:v>
                </c:pt>
                <c:pt idx="13">
                  <c:v>66.35250121298867</c:v>
                </c:pt>
                <c:pt idx="14">
                  <c:v>66.725311317446881</c:v>
                </c:pt>
                <c:pt idx="15">
                  <c:v>67.417917551054643</c:v>
                </c:pt>
                <c:pt idx="16">
                  <c:v>68.516776962108167</c:v>
                </c:pt>
                <c:pt idx="17">
                  <c:v>68.74403845328078</c:v>
                </c:pt>
                <c:pt idx="18">
                  <c:v>69.33540950732845</c:v>
                </c:pt>
                <c:pt idx="19">
                  <c:v>70.531515482758778</c:v>
                </c:pt>
                <c:pt idx="20">
                  <c:v>70.713433980332809</c:v>
                </c:pt>
                <c:pt idx="21">
                  <c:v>70.977655826224066</c:v>
                </c:pt>
                <c:pt idx="22">
                  <c:v>71.825951085129532</c:v>
                </c:pt>
                <c:pt idx="23">
                  <c:v>72.757996790708034</c:v>
                </c:pt>
                <c:pt idx="24">
                  <c:v>72.82152883534593</c:v>
                </c:pt>
                <c:pt idx="25">
                  <c:v>73.032242114130781</c:v>
                </c:pt>
                <c:pt idx="26">
                  <c:v>74.028983117144719</c:v>
                </c:pt>
                <c:pt idx="27">
                  <c:v>75.080963661122325</c:v>
                </c:pt>
                <c:pt idx="28">
                  <c:v>75.558907556078339</c:v>
                </c:pt>
                <c:pt idx="29">
                  <c:v>76.015724984566418</c:v>
                </c:pt>
                <c:pt idx="30">
                  <c:v>76.157644784232559</c:v>
                </c:pt>
                <c:pt idx="31">
                  <c:v>76.935939018508236</c:v>
                </c:pt>
                <c:pt idx="32">
                  <c:v>77.377331090602979</c:v>
                </c:pt>
                <c:pt idx="33">
                  <c:v>77.455055330577181</c:v>
                </c:pt>
                <c:pt idx="34">
                  <c:v>77.741172775968494</c:v>
                </c:pt>
                <c:pt idx="35">
                  <c:v>78.584382071982077</c:v>
                </c:pt>
                <c:pt idx="36">
                  <c:v>78.979706050077425</c:v>
                </c:pt>
                <c:pt idx="37">
                  <c:v>79.248826859550661</c:v>
                </c:pt>
                <c:pt idx="38">
                  <c:v>79.473978426745532</c:v>
                </c:pt>
                <c:pt idx="39">
                  <c:v>80.477960587236225</c:v>
                </c:pt>
                <c:pt idx="40">
                  <c:v>80.498592984492461</c:v>
                </c:pt>
                <c:pt idx="41">
                  <c:v>81.415615587269315</c:v>
                </c:pt>
                <c:pt idx="42">
                  <c:v>81.578309292568122</c:v>
                </c:pt>
                <c:pt idx="43">
                  <c:v>81.58156247490291</c:v>
                </c:pt>
                <c:pt idx="44">
                  <c:v>81.678889564895314</c:v>
                </c:pt>
                <c:pt idx="45">
                  <c:v>82.173275232101787</c:v>
                </c:pt>
                <c:pt idx="46">
                  <c:v>83.308276605431672</c:v>
                </c:pt>
                <c:pt idx="47">
                  <c:v>83.844960409124042</c:v>
                </c:pt>
                <c:pt idx="48">
                  <c:v>83.98457865901878</c:v>
                </c:pt>
                <c:pt idx="49">
                  <c:v>84.033486048278291</c:v>
                </c:pt>
                <c:pt idx="50">
                  <c:v>84.665543876526442</c:v>
                </c:pt>
                <c:pt idx="51">
                  <c:v>84.798610655398477</c:v>
                </c:pt>
                <c:pt idx="52">
                  <c:v>85.900026844240244</c:v>
                </c:pt>
                <c:pt idx="53">
                  <c:v>86.44525287414416</c:v>
                </c:pt>
                <c:pt idx="54">
                  <c:v>87.270720321365161</c:v>
                </c:pt>
                <c:pt idx="55">
                  <c:v>87.323639835539609</c:v>
                </c:pt>
                <c:pt idx="56">
                  <c:v>87.731104720393091</c:v>
                </c:pt>
                <c:pt idx="57">
                  <c:v>88.577649565339925</c:v>
                </c:pt>
                <c:pt idx="58">
                  <c:v>89.496160866850232</c:v>
                </c:pt>
                <c:pt idx="59">
                  <c:v>89.662402518134968</c:v>
                </c:pt>
                <c:pt idx="60">
                  <c:v>90.819883609125839</c:v>
                </c:pt>
                <c:pt idx="61">
                  <c:v>91.825727456247819</c:v>
                </c:pt>
                <c:pt idx="62">
                  <c:v>91.837278371225636</c:v>
                </c:pt>
                <c:pt idx="63">
                  <c:v>92.425474817061684</c:v>
                </c:pt>
                <c:pt idx="64">
                  <c:v>92.430694976200812</c:v>
                </c:pt>
                <c:pt idx="65">
                  <c:v>92.812178919688392</c:v>
                </c:pt>
                <c:pt idx="66">
                  <c:v>94.367352251638692</c:v>
                </c:pt>
                <c:pt idx="67">
                  <c:v>95.734612239833666</c:v>
                </c:pt>
                <c:pt idx="68">
                  <c:v>97.145874183710646</c:v>
                </c:pt>
                <c:pt idx="69">
                  <c:v>97.671941677415646</c:v>
                </c:pt>
                <c:pt idx="70">
                  <c:v>97.995848595521352</c:v>
                </c:pt>
                <c:pt idx="71">
                  <c:v>98.123757285291163</c:v>
                </c:pt>
                <c:pt idx="72">
                  <c:v>98.981195788580294</c:v>
                </c:pt>
                <c:pt idx="73">
                  <c:v>99.492466050073006</c:v>
                </c:pt>
                <c:pt idx="74">
                  <c:v>100.10673100952761</c:v>
                </c:pt>
                <c:pt idx="75">
                  <c:v>100.35127419908832</c:v>
                </c:pt>
                <c:pt idx="76">
                  <c:v>100.50655650901206</c:v>
                </c:pt>
                <c:pt idx="77">
                  <c:v>100.61280256204941</c:v>
                </c:pt>
                <c:pt idx="78">
                  <c:v>101.32566221307223</c:v>
                </c:pt>
                <c:pt idx="79">
                  <c:v>101.66876244386913</c:v>
                </c:pt>
                <c:pt idx="80">
                  <c:v>101.8795147574117</c:v>
                </c:pt>
                <c:pt idx="81">
                  <c:v>102.01261283562241</c:v>
                </c:pt>
                <c:pt idx="82">
                  <c:v>102.23144935987892</c:v>
                </c:pt>
                <c:pt idx="83">
                  <c:v>102.49371016100969</c:v>
                </c:pt>
                <c:pt idx="84">
                  <c:v>102.49985402288723</c:v>
                </c:pt>
                <c:pt idx="85">
                  <c:v>102.52013090165372</c:v>
                </c:pt>
                <c:pt idx="86">
                  <c:v>102.75358544431737</c:v>
                </c:pt>
                <c:pt idx="87">
                  <c:v>102.82854979045067</c:v>
                </c:pt>
                <c:pt idx="88">
                  <c:v>102.89321800495532</c:v>
                </c:pt>
                <c:pt idx="89">
                  <c:v>102.96086812778634</c:v>
                </c:pt>
                <c:pt idx="90">
                  <c:v>103.01896237457584</c:v>
                </c:pt>
                <c:pt idx="91">
                  <c:v>103.08299835007392</c:v>
                </c:pt>
                <c:pt idx="92">
                  <c:v>103.62037384572534</c:v>
                </c:pt>
                <c:pt idx="93">
                  <c:v>103.63884692417366</c:v>
                </c:pt>
                <c:pt idx="94">
                  <c:v>104.38157018516199</c:v>
                </c:pt>
                <c:pt idx="95">
                  <c:v>104.38464396835241</c:v>
                </c:pt>
                <c:pt idx="96">
                  <c:v>104.74923307425496</c:v>
                </c:pt>
                <c:pt idx="97">
                  <c:v>104.77964984789298</c:v>
                </c:pt>
                <c:pt idx="98">
                  <c:v>105.21513284891404</c:v>
                </c:pt>
                <c:pt idx="99">
                  <c:v>105.68332322637201</c:v>
                </c:pt>
                <c:pt idx="100">
                  <c:v>105.86555059295472</c:v>
                </c:pt>
                <c:pt idx="101">
                  <c:v>106.58552941307067</c:v>
                </c:pt>
                <c:pt idx="102">
                  <c:v>106.84167737230001</c:v>
                </c:pt>
                <c:pt idx="103">
                  <c:v>107.94836658793145</c:v>
                </c:pt>
                <c:pt idx="104">
                  <c:v>108.27388728816771</c:v>
                </c:pt>
                <c:pt idx="105">
                  <c:v>108.5296330202732</c:v>
                </c:pt>
                <c:pt idx="106">
                  <c:v>108.84179593833881</c:v>
                </c:pt>
                <c:pt idx="107">
                  <c:v>109.11683731844607</c:v>
                </c:pt>
                <c:pt idx="108">
                  <c:v>109.4554127319193</c:v>
                </c:pt>
                <c:pt idx="109">
                  <c:v>110.3607428562255</c:v>
                </c:pt>
                <c:pt idx="110">
                  <c:v>110.88995994832084</c:v>
                </c:pt>
                <c:pt idx="111">
                  <c:v>111.76451377974371</c:v>
                </c:pt>
                <c:pt idx="112">
                  <c:v>112.15938933275345</c:v>
                </c:pt>
                <c:pt idx="113">
                  <c:v>112.39271267262376</c:v>
                </c:pt>
                <c:pt idx="114">
                  <c:v>112.42326678071453</c:v>
                </c:pt>
                <c:pt idx="115">
                  <c:v>112.64006415865543</c:v>
                </c:pt>
                <c:pt idx="116">
                  <c:v>112.83043073784154</c:v>
                </c:pt>
                <c:pt idx="117">
                  <c:v>113.45921247055367</c:v>
                </c:pt>
                <c:pt idx="118">
                  <c:v>113.76638912783591</c:v>
                </c:pt>
                <c:pt idx="119">
                  <c:v>113.76709840038552</c:v>
                </c:pt>
                <c:pt idx="120">
                  <c:v>113.97331285417596</c:v>
                </c:pt>
                <c:pt idx="121">
                  <c:v>114.25139578694564</c:v>
                </c:pt>
                <c:pt idx="122">
                  <c:v>114.42674890256166</c:v>
                </c:pt>
                <c:pt idx="123">
                  <c:v>114.45666602290544</c:v>
                </c:pt>
                <c:pt idx="124">
                  <c:v>114.81432455649656</c:v>
                </c:pt>
                <c:pt idx="125">
                  <c:v>115.58266424072667</c:v>
                </c:pt>
                <c:pt idx="126">
                  <c:v>115.9310331296154</c:v>
                </c:pt>
                <c:pt idx="127">
                  <c:v>115.97731385043238</c:v>
                </c:pt>
                <c:pt idx="128">
                  <c:v>116.1350421542972</c:v>
                </c:pt>
                <c:pt idx="129">
                  <c:v>116.42866871565656</c:v>
                </c:pt>
                <c:pt idx="130">
                  <c:v>116.81585144117486</c:v>
                </c:pt>
                <c:pt idx="131">
                  <c:v>116.92619214728546</c:v>
                </c:pt>
                <c:pt idx="132">
                  <c:v>117.19578901561158</c:v>
                </c:pt>
                <c:pt idx="133">
                  <c:v>118.17167961015321</c:v>
                </c:pt>
                <c:pt idx="134">
                  <c:v>118.44869379227168</c:v>
                </c:pt>
                <c:pt idx="135">
                  <c:v>118.9820558087593</c:v>
                </c:pt>
                <c:pt idx="136">
                  <c:v>119.00333822539807</c:v>
                </c:pt>
                <c:pt idx="137">
                  <c:v>119.00337823480317</c:v>
                </c:pt>
                <c:pt idx="138">
                  <c:v>119.00535129856462</c:v>
                </c:pt>
                <c:pt idx="139">
                  <c:v>119.0719440669115</c:v>
                </c:pt>
                <c:pt idx="140">
                  <c:v>119.0952364731333</c:v>
                </c:pt>
                <c:pt idx="141">
                  <c:v>119.46844169478987</c:v>
                </c:pt>
                <c:pt idx="142">
                  <c:v>119.57829668328344</c:v>
                </c:pt>
                <c:pt idx="143">
                  <c:v>120.14705122201246</c:v>
                </c:pt>
                <c:pt idx="144">
                  <c:v>120.15012352335617</c:v>
                </c:pt>
                <c:pt idx="145">
                  <c:v>120.65430855071128</c:v>
                </c:pt>
                <c:pt idx="146">
                  <c:v>121.30340469024208</c:v>
                </c:pt>
                <c:pt idx="147">
                  <c:v>121.53523751558623</c:v>
                </c:pt>
                <c:pt idx="148">
                  <c:v>121.74627376593588</c:v>
                </c:pt>
                <c:pt idx="149">
                  <c:v>121.87045284744937</c:v>
                </c:pt>
                <c:pt idx="150">
                  <c:v>122.22068218113986</c:v>
                </c:pt>
                <c:pt idx="151">
                  <c:v>122.41533104335167</c:v>
                </c:pt>
                <c:pt idx="152">
                  <c:v>122.67591444695296</c:v>
                </c:pt>
                <c:pt idx="153">
                  <c:v>122.71149403959089</c:v>
                </c:pt>
                <c:pt idx="154">
                  <c:v>122.71872665396432</c:v>
                </c:pt>
                <c:pt idx="155">
                  <c:v>122.95375946175665</c:v>
                </c:pt>
                <c:pt idx="156">
                  <c:v>123.31216139295191</c:v>
                </c:pt>
                <c:pt idx="157">
                  <c:v>123.32522761440873</c:v>
                </c:pt>
                <c:pt idx="158">
                  <c:v>123.33096519487987</c:v>
                </c:pt>
                <c:pt idx="159">
                  <c:v>123.35919361735932</c:v>
                </c:pt>
                <c:pt idx="160">
                  <c:v>123.65486701462385</c:v>
                </c:pt>
                <c:pt idx="161">
                  <c:v>123.71010738852743</c:v>
                </c:pt>
                <c:pt idx="162">
                  <c:v>124.4088742827567</c:v>
                </c:pt>
                <c:pt idx="163">
                  <c:v>124.61727394593032</c:v>
                </c:pt>
                <c:pt idx="164">
                  <c:v>124.79424898365659</c:v>
                </c:pt>
                <c:pt idx="165">
                  <c:v>124.82010115874255</c:v>
                </c:pt>
                <c:pt idx="166">
                  <c:v>125.06014367881602</c:v>
                </c:pt>
                <c:pt idx="167">
                  <c:v>125.26657747357194</c:v>
                </c:pt>
                <c:pt idx="168">
                  <c:v>125.73398938256491</c:v>
                </c:pt>
                <c:pt idx="169">
                  <c:v>126.8028002689104</c:v>
                </c:pt>
                <c:pt idx="170">
                  <c:v>127.02552172094363</c:v>
                </c:pt>
                <c:pt idx="171">
                  <c:v>127.62428635217481</c:v>
                </c:pt>
                <c:pt idx="172">
                  <c:v>127.64911911537519</c:v>
                </c:pt>
                <c:pt idx="173">
                  <c:v>128.04444913582171</c:v>
                </c:pt>
                <c:pt idx="174">
                  <c:v>128.13475948956386</c:v>
                </c:pt>
                <c:pt idx="175">
                  <c:v>128.34142298368556</c:v>
                </c:pt>
                <c:pt idx="176">
                  <c:v>128.60694100419414</c:v>
                </c:pt>
                <c:pt idx="177">
                  <c:v>128.67561172733201</c:v>
                </c:pt>
                <c:pt idx="178">
                  <c:v>129.20484535034467</c:v>
                </c:pt>
                <c:pt idx="179">
                  <c:v>129.51994735123355</c:v>
                </c:pt>
                <c:pt idx="180">
                  <c:v>129.58092527208805</c:v>
                </c:pt>
                <c:pt idx="181">
                  <c:v>129.86765096208973</c:v>
                </c:pt>
                <c:pt idx="182">
                  <c:v>130.78694577113083</c:v>
                </c:pt>
                <c:pt idx="183">
                  <c:v>131.43012245790334</c:v>
                </c:pt>
                <c:pt idx="184">
                  <c:v>131.80286382239439</c:v>
                </c:pt>
                <c:pt idx="185">
                  <c:v>131.8821428309119</c:v>
                </c:pt>
                <c:pt idx="186">
                  <c:v>132.00530377291597</c:v>
                </c:pt>
                <c:pt idx="187">
                  <c:v>132.58444581288995</c:v>
                </c:pt>
                <c:pt idx="188">
                  <c:v>132.60195553793955</c:v>
                </c:pt>
                <c:pt idx="189">
                  <c:v>132.63258747695107</c:v>
                </c:pt>
                <c:pt idx="190">
                  <c:v>132.87603204589004</c:v>
                </c:pt>
                <c:pt idx="191">
                  <c:v>132.949511241165</c:v>
                </c:pt>
                <c:pt idx="192">
                  <c:v>132.9540756511247</c:v>
                </c:pt>
                <c:pt idx="193">
                  <c:v>133.02412209748832</c:v>
                </c:pt>
                <c:pt idx="194">
                  <c:v>133.35933493065738</c:v>
                </c:pt>
                <c:pt idx="195">
                  <c:v>133.48708859751838</c:v>
                </c:pt>
                <c:pt idx="196">
                  <c:v>133.95190356700402</c:v>
                </c:pt>
                <c:pt idx="197">
                  <c:v>134.08288121324006</c:v>
                </c:pt>
                <c:pt idx="198">
                  <c:v>134.12787840166658</c:v>
                </c:pt>
                <c:pt idx="199">
                  <c:v>134.12985185965783</c:v>
                </c:pt>
                <c:pt idx="200">
                  <c:v>134.50431880774221</c:v>
                </c:pt>
                <c:pt idx="201">
                  <c:v>134.98921456717846</c:v>
                </c:pt>
                <c:pt idx="202">
                  <c:v>135.2640227366652</c:v>
                </c:pt>
                <c:pt idx="203">
                  <c:v>135.33736090386589</c:v>
                </c:pt>
                <c:pt idx="204">
                  <c:v>135.47235805007824</c:v>
                </c:pt>
                <c:pt idx="205">
                  <c:v>135.6494035652633</c:v>
                </c:pt>
                <c:pt idx="206">
                  <c:v>135.8215956275788</c:v>
                </c:pt>
                <c:pt idx="207">
                  <c:v>135.87481823992772</c:v>
                </c:pt>
                <c:pt idx="208">
                  <c:v>136.03096037086488</c:v>
                </c:pt>
                <c:pt idx="209">
                  <c:v>136.16883729512239</c:v>
                </c:pt>
                <c:pt idx="210">
                  <c:v>136.34194219589625</c:v>
                </c:pt>
                <c:pt idx="211">
                  <c:v>136.65534304082183</c:v>
                </c:pt>
                <c:pt idx="212">
                  <c:v>136.71884328687275</c:v>
                </c:pt>
                <c:pt idx="213">
                  <c:v>136.77121236161793</c:v>
                </c:pt>
                <c:pt idx="214">
                  <c:v>136.92974965441999</c:v>
                </c:pt>
                <c:pt idx="215">
                  <c:v>137.11810226376508</c:v>
                </c:pt>
                <c:pt idx="216">
                  <c:v>137.3539216846504</c:v>
                </c:pt>
                <c:pt idx="217">
                  <c:v>137.69601078670058</c:v>
                </c:pt>
                <c:pt idx="218">
                  <c:v>137.69624683035755</c:v>
                </c:pt>
                <c:pt idx="219">
                  <c:v>137.93569849156466</c:v>
                </c:pt>
                <c:pt idx="220">
                  <c:v>137.94860778876455</c:v>
                </c:pt>
                <c:pt idx="221">
                  <c:v>137.95350019550892</c:v>
                </c:pt>
                <c:pt idx="222">
                  <c:v>138.0683387279434</c:v>
                </c:pt>
                <c:pt idx="223">
                  <c:v>138.12581280444158</c:v>
                </c:pt>
                <c:pt idx="224">
                  <c:v>138.29429993352886</c:v>
                </c:pt>
                <c:pt idx="225">
                  <c:v>138.38654622187579</c:v>
                </c:pt>
                <c:pt idx="226">
                  <c:v>138.57661540917377</c:v>
                </c:pt>
                <c:pt idx="227">
                  <c:v>138.7713137335931</c:v>
                </c:pt>
                <c:pt idx="228">
                  <c:v>138.85118244879203</c:v>
                </c:pt>
                <c:pt idx="229">
                  <c:v>139.28271383192333</c:v>
                </c:pt>
                <c:pt idx="230">
                  <c:v>139.49621179960735</c:v>
                </c:pt>
                <c:pt idx="231">
                  <c:v>139.52643464600101</c:v>
                </c:pt>
                <c:pt idx="232">
                  <c:v>139.53221714571333</c:v>
                </c:pt>
                <c:pt idx="233">
                  <c:v>139.5873037598563</c:v>
                </c:pt>
                <c:pt idx="234">
                  <c:v>139.61015049090781</c:v>
                </c:pt>
                <c:pt idx="235">
                  <c:v>140.09867284389389</c:v>
                </c:pt>
                <c:pt idx="236">
                  <c:v>140.15477681178368</c:v>
                </c:pt>
                <c:pt idx="237">
                  <c:v>140.32021854685127</c:v>
                </c:pt>
                <c:pt idx="238">
                  <c:v>140.42103625347232</c:v>
                </c:pt>
                <c:pt idx="239">
                  <c:v>140.49008490876429</c:v>
                </c:pt>
                <c:pt idx="240">
                  <c:v>140.69348658878397</c:v>
                </c:pt>
                <c:pt idx="241">
                  <c:v>140.86602468526075</c:v>
                </c:pt>
                <c:pt idx="242">
                  <c:v>141.08062335574897</c:v>
                </c:pt>
                <c:pt idx="243">
                  <c:v>141.088281997737</c:v>
                </c:pt>
                <c:pt idx="244">
                  <c:v>141.41055370357469</c:v>
                </c:pt>
                <c:pt idx="245">
                  <c:v>141.61619679694417</c:v>
                </c:pt>
                <c:pt idx="246">
                  <c:v>141.80260958052412</c:v>
                </c:pt>
                <c:pt idx="247">
                  <c:v>141.80781966458522</c:v>
                </c:pt>
                <c:pt idx="248">
                  <c:v>142.06905096885373</c:v>
                </c:pt>
                <c:pt idx="249">
                  <c:v>142.24138212314358</c:v>
                </c:pt>
                <c:pt idx="250">
                  <c:v>142.41674071278049</c:v>
                </c:pt>
                <c:pt idx="251">
                  <c:v>142.86228163805811</c:v>
                </c:pt>
                <c:pt idx="252">
                  <c:v>143.05064941416833</c:v>
                </c:pt>
                <c:pt idx="253">
                  <c:v>143.19523456183811</c:v>
                </c:pt>
                <c:pt idx="254">
                  <c:v>143.52225327468625</c:v>
                </c:pt>
                <c:pt idx="255">
                  <c:v>143.65742977895468</c:v>
                </c:pt>
                <c:pt idx="256">
                  <c:v>143.67025472597805</c:v>
                </c:pt>
                <c:pt idx="257">
                  <c:v>143.75523185618169</c:v>
                </c:pt>
                <c:pt idx="258">
                  <c:v>143.83768282753402</c:v>
                </c:pt>
                <c:pt idx="259">
                  <c:v>143.9298102542266</c:v>
                </c:pt>
                <c:pt idx="260">
                  <c:v>144.11711809214222</c:v>
                </c:pt>
                <c:pt idx="261">
                  <c:v>144.20073567916569</c:v>
                </c:pt>
                <c:pt idx="262">
                  <c:v>144.27894676566393</c:v>
                </c:pt>
                <c:pt idx="263">
                  <c:v>144.32317833651211</c:v>
                </c:pt>
                <c:pt idx="264">
                  <c:v>144.36401057575404</c:v>
                </c:pt>
                <c:pt idx="265">
                  <c:v>144.44707848239273</c:v>
                </c:pt>
                <c:pt idx="266">
                  <c:v>144.76927694203516</c:v>
                </c:pt>
                <c:pt idx="267">
                  <c:v>144.79013843708776</c:v>
                </c:pt>
                <c:pt idx="268">
                  <c:v>145.53137618397346</c:v>
                </c:pt>
                <c:pt idx="269">
                  <c:v>145.76003560005807</c:v>
                </c:pt>
                <c:pt idx="270">
                  <c:v>145.8566669003194</c:v>
                </c:pt>
                <c:pt idx="271">
                  <c:v>145.88618449469084</c:v>
                </c:pt>
                <c:pt idx="272">
                  <c:v>145.95198787136832</c:v>
                </c:pt>
                <c:pt idx="273">
                  <c:v>145.9664201301228</c:v>
                </c:pt>
                <c:pt idx="274">
                  <c:v>146.30750677234306</c:v>
                </c:pt>
                <c:pt idx="275">
                  <c:v>146.5356596931536</c:v>
                </c:pt>
                <c:pt idx="276">
                  <c:v>146.83137659179533</c:v>
                </c:pt>
                <c:pt idx="277">
                  <c:v>146.87461458006123</c:v>
                </c:pt>
                <c:pt idx="278">
                  <c:v>147.00572854198123</c:v>
                </c:pt>
                <c:pt idx="279">
                  <c:v>147.01874979265835</c:v>
                </c:pt>
                <c:pt idx="280">
                  <c:v>147.04271209744314</c:v>
                </c:pt>
                <c:pt idx="281">
                  <c:v>147.07513153116463</c:v>
                </c:pt>
                <c:pt idx="282">
                  <c:v>147.47921656886234</c:v>
                </c:pt>
                <c:pt idx="283">
                  <c:v>147.55663695301291</c:v>
                </c:pt>
                <c:pt idx="284">
                  <c:v>147.66675744997991</c:v>
                </c:pt>
                <c:pt idx="285">
                  <c:v>148.02584924367005</c:v>
                </c:pt>
                <c:pt idx="286">
                  <c:v>148.25615821751023</c:v>
                </c:pt>
                <c:pt idx="287">
                  <c:v>148.47679313335766</c:v>
                </c:pt>
                <c:pt idx="288">
                  <c:v>148.59497731604176</c:v>
                </c:pt>
                <c:pt idx="289">
                  <c:v>148.59803616295488</c:v>
                </c:pt>
                <c:pt idx="290">
                  <c:v>148.60446783121836</c:v>
                </c:pt>
                <c:pt idx="291">
                  <c:v>148.6540513707339</c:v>
                </c:pt>
                <c:pt idx="292">
                  <c:v>148.65915047473567</c:v>
                </c:pt>
                <c:pt idx="293">
                  <c:v>148.70952536607331</c:v>
                </c:pt>
                <c:pt idx="294">
                  <c:v>148.83951714847018</c:v>
                </c:pt>
                <c:pt idx="295">
                  <c:v>149.25090670174706</c:v>
                </c:pt>
                <c:pt idx="296">
                  <c:v>149.3060408155431</c:v>
                </c:pt>
                <c:pt idx="297">
                  <c:v>149.47470552353252</c:v>
                </c:pt>
                <c:pt idx="298">
                  <c:v>149.69401511897502</c:v>
                </c:pt>
                <c:pt idx="299">
                  <c:v>149.78940670106073</c:v>
                </c:pt>
                <c:pt idx="300">
                  <c:v>149.80454208940876</c:v>
                </c:pt>
                <c:pt idx="301">
                  <c:v>149.87229710172352</c:v>
                </c:pt>
                <c:pt idx="302">
                  <c:v>149.89900140481097</c:v>
                </c:pt>
                <c:pt idx="303">
                  <c:v>150.00780383130387</c:v>
                </c:pt>
                <c:pt idx="304">
                  <c:v>150.26426065482093</c:v>
                </c:pt>
                <c:pt idx="305">
                  <c:v>150.47022469258201</c:v>
                </c:pt>
                <c:pt idx="306">
                  <c:v>150.59308548071169</c:v>
                </c:pt>
                <c:pt idx="307">
                  <c:v>150.62146568059109</c:v>
                </c:pt>
                <c:pt idx="308">
                  <c:v>150.62801809658572</c:v>
                </c:pt>
                <c:pt idx="309">
                  <c:v>151.88471051014619</c:v>
                </c:pt>
                <c:pt idx="310">
                  <c:v>151.97606892657717</c:v>
                </c:pt>
                <c:pt idx="311">
                  <c:v>152.15321969280643</c:v>
                </c:pt>
                <c:pt idx="312">
                  <c:v>152.31799731577195</c:v>
                </c:pt>
                <c:pt idx="313">
                  <c:v>152.54751314189366</c:v>
                </c:pt>
                <c:pt idx="314">
                  <c:v>152.75074472082827</c:v>
                </c:pt>
                <c:pt idx="315">
                  <c:v>153.09252157764274</c:v>
                </c:pt>
                <c:pt idx="316">
                  <c:v>153.24840649630414</c:v>
                </c:pt>
                <c:pt idx="317">
                  <c:v>153.38455431287809</c:v>
                </c:pt>
                <c:pt idx="318">
                  <c:v>153.43530657944109</c:v>
                </c:pt>
                <c:pt idx="319">
                  <c:v>153.60395217112392</c:v>
                </c:pt>
                <c:pt idx="320">
                  <c:v>153.63945044613126</c:v>
                </c:pt>
                <c:pt idx="321">
                  <c:v>153.65101928180468</c:v>
                </c:pt>
                <c:pt idx="322">
                  <c:v>153.81628185020185</c:v>
                </c:pt>
                <c:pt idx="323">
                  <c:v>153.9441966783553</c:v>
                </c:pt>
                <c:pt idx="324">
                  <c:v>154.47186229114533</c:v>
                </c:pt>
                <c:pt idx="325">
                  <c:v>154.48270811147813</c:v>
                </c:pt>
                <c:pt idx="326">
                  <c:v>154.48295567294082</c:v>
                </c:pt>
                <c:pt idx="327">
                  <c:v>154.52506588910302</c:v>
                </c:pt>
                <c:pt idx="328">
                  <c:v>154.72542631307289</c:v>
                </c:pt>
                <c:pt idx="329">
                  <c:v>155.13314549515815</c:v>
                </c:pt>
                <c:pt idx="330">
                  <c:v>155.31991445353037</c:v>
                </c:pt>
                <c:pt idx="331">
                  <c:v>155.35700194699734</c:v>
                </c:pt>
                <c:pt idx="332">
                  <c:v>156.24090219194488</c:v>
                </c:pt>
                <c:pt idx="333">
                  <c:v>156.53852752704216</c:v>
                </c:pt>
                <c:pt idx="334">
                  <c:v>156.67447637427284</c:v>
                </c:pt>
                <c:pt idx="335">
                  <c:v>156.73708301771501</c:v>
                </c:pt>
                <c:pt idx="336">
                  <c:v>156.76045892199227</c:v>
                </c:pt>
                <c:pt idx="337">
                  <c:v>156.78388741905587</c:v>
                </c:pt>
                <c:pt idx="338">
                  <c:v>156.88577138574601</c:v>
                </c:pt>
                <c:pt idx="339">
                  <c:v>157.57772480915173</c:v>
                </c:pt>
                <c:pt idx="340">
                  <c:v>157.71463225833594</c:v>
                </c:pt>
                <c:pt idx="341">
                  <c:v>157.74401277310795</c:v>
                </c:pt>
                <c:pt idx="342">
                  <c:v>158.05672694782118</c:v>
                </c:pt>
                <c:pt idx="343">
                  <c:v>158.13694265369423</c:v>
                </c:pt>
                <c:pt idx="344">
                  <c:v>158.36371447620411</c:v>
                </c:pt>
                <c:pt idx="345">
                  <c:v>158.57998497724765</c:v>
                </c:pt>
                <c:pt idx="346">
                  <c:v>159.09996359889129</c:v>
                </c:pt>
                <c:pt idx="347">
                  <c:v>159.54858859703938</c:v>
                </c:pt>
                <c:pt idx="348">
                  <c:v>159.6469700524014</c:v>
                </c:pt>
                <c:pt idx="349">
                  <c:v>159.75982080180609</c:v>
                </c:pt>
                <c:pt idx="350">
                  <c:v>160.27519635471862</c:v>
                </c:pt>
                <c:pt idx="351">
                  <c:v>160.99967768757921</c:v>
                </c:pt>
                <c:pt idx="352">
                  <c:v>161.12776417809937</c:v>
                </c:pt>
                <c:pt idx="353">
                  <c:v>161.18152506894319</c:v>
                </c:pt>
                <c:pt idx="354">
                  <c:v>161.24866800085914</c:v>
                </c:pt>
                <c:pt idx="355">
                  <c:v>161.5736217053128</c:v>
                </c:pt>
                <c:pt idx="356">
                  <c:v>161.71823189716088</c:v>
                </c:pt>
                <c:pt idx="357">
                  <c:v>161.82925573427747</c:v>
                </c:pt>
                <c:pt idx="358">
                  <c:v>161.99476458732596</c:v>
                </c:pt>
                <c:pt idx="359">
                  <c:v>161.99661986614944</c:v>
                </c:pt>
                <c:pt idx="360">
                  <c:v>162.46881197018877</c:v>
                </c:pt>
                <c:pt idx="361">
                  <c:v>162.51995020370885</c:v>
                </c:pt>
                <c:pt idx="362">
                  <c:v>162.68247709760368</c:v>
                </c:pt>
                <c:pt idx="363">
                  <c:v>162.74703186089295</c:v>
                </c:pt>
                <c:pt idx="364">
                  <c:v>163.01643565338429</c:v>
                </c:pt>
                <c:pt idx="365">
                  <c:v>163.40933258955044</c:v>
                </c:pt>
                <c:pt idx="366">
                  <c:v>163.71812824487279</c:v>
                </c:pt>
                <c:pt idx="367">
                  <c:v>164.06781961923338</c:v>
                </c:pt>
                <c:pt idx="368">
                  <c:v>164.16032703990561</c:v>
                </c:pt>
                <c:pt idx="369">
                  <c:v>164.36343357005461</c:v>
                </c:pt>
                <c:pt idx="370">
                  <c:v>164.40438770075951</c:v>
                </c:pt>
                <c:pt idx="371">
                  <c:v>165.11604023051285</c:v>
                </c:pt>
                <c:pt idx="372">
                  <c:v>165.19394702845455</c:v>
                </c:pt>
                <c:pt idx="373">
                  <c:v>165.21450521639031</c:v>
                </c:pt>
                <c:pt idx="374">
                  <c:v>165.58541379717065</c:v>
                </c:pt>
                <c:pt idx="375">
                  <c:v>166.32582503211785</c:v>
                </c:pt>
                <c:pt idx="376">
                  <c:v>166.8216697764525</c:v>
                </c:pt>
                <c:pt idx="377">
                  <c:v>167.51795240595834</c:v>
                </c:pt>
                <c:pt idx="378">
                  <c:v>169.24987787733073</c:v>
                </c:pt>
                <c:pt idx="379">
                  <c:v>169.26105658436313</c:v>
                </c:pt>
                <c:pt idx="380">
                  <c:v>170.47022230664942</c:v>
                </c:pt>
                <c:pt idx="381">
                  <c:v>171.21986471700831</c:v>
                </c:pt>
                <c:pt idx="382">
                  <c:v>171.44835076207607</c:v>
                </c:pt>
                <c:pt idx="383">
                  <c:v>171.57274909820495</c:v>
                </c:pt>
                <c:pt idx="384">
                  <c:v>171.79150377164649</c:v>
                </c:pt>
                <c:pt idx="385">
                  <c:v>171.87519522672994</c:v>
                </c:pt>
                <c:pt idx="386">
                  <c:v>172.34645239075667</c:v>
                </c:pt>
                <c:pt idx="387">
                  <c:v>172.54942257004245</c:v>
                </c:pt>
                <c:pt idx="388">
                  <c:v>173.12011080096221</c:v>
                </c:pt>
                <c:pt idx="389">
                  <c:v>173.74925240584304</c:v>
                </c:pt>
                <c:pt idx="390">
                  <c:v>174.34196124137094</c:v>
                </c:pt>
                <c:pt idx="391">
                  <c:v>174.67647512764989</c:v>
                </c:pt>
                <c:pt idx="392">
                  <c:v>175.57098614267551</c:v>
                </c:pt>
                <c:pt idx="393">
                  <c:v>175.8586104360715</c:v>
                </c:pt>
                <c:pt idx="394">
                  <c:v>175.90270122411204</c:v>
                </c:pt>
                <c:pt idx="395">
                  <c:v>175.93345704696492</c:v>
                </c:pt>
                <c:pt idx="396">
                  <c:v>176.127281363924</c:v>
                </c:pt>
                <c:pt idx="397">
                  <c:v>176.41540791014035</c:v>
                </c:pt>
                <c:pt idx="398">
                  <c:v>176.45385354053457</c:v>
                </c:pt>
                <c:pt idx="399">
                  <c:v>176.62464387152716</c:v>
                </c:pt>
                <c:pt idx="400">
                  <c:v>176.85866526284883</c:v>
                </c:pt>
                <c:pt idx="401">
                  <c:v>176.99922543954551</c:v>
                </c:pt>
                <c:pt idx="402">
                  <c:v>177.14242018362796</c:v>
                </c:pt>
                <c:pt idx="403">
                  <c:v>177.7636582300164</c:v>
                </c:pt>
                <c:pt idx="404">
                  <c:v>178.04647633494437</c:v>
                </c:pt>
                <c:pt idx="405">
                  <c:v>178.76071375290286</c:v>
                </c:pt>
                <c:pt idx="406">
                  <c:v>178.80140029801134</c:v>
                </c:pt>
                <c:pt idx="407">
                  <c:v>179.96181226713492</c:v>
                </c:pt>
                <c:pt idx="408">
                  <c:v>180.85354548985629</c:v>
                </c:pt>
                <c:pt idx="409">
                  <c:v>180.90368154656818</c:v>
                </c:pt>
                <c:pt idx="410">
                  <c:v>182.17319775771148</c:v>
                </c:pt>
                <c:pt idx="411">
                  <c:v>183.15062893550589</c:v>
                </c:pt>
                <c:pt idx="412">
                  <c:v>183.17569862701134</c:v>
                </c:pt>
                <c:pt idx="413">
                  <c:v>183.76049140700923</c:v>
                </c:pt>
                <c:pt idx="414">
                  <c:v>185.07086300710671</c:v>
                </c:pt>
                <c:pt idx="415">
                  <c:v>185.09076776406221</c:v>
                </c:pt>
                <c:pt idx="416">
                  <c:v>185.45161974382887</c:v>
                </c:pt>
                <c:pt idx="417">
                  <c:v>186.34535114307647</c:v>
                </c:pt>
                <c:pt idx="418">
                  <c:v>186.67545430083959</c:v>
                </c:pt>
                <c:pt idx="419">
                  <c:v>186.8494371192246</c:v>
                </c:pt>
                <c:pt idx="420">
                  <c:v>186.89371909191163</c:v>
                </c:pt>
                <c:pt idx="421">
                  <c:v>187.4669329431764</c:v>
                </c:pt>
                <c:pt idx="422">
                  <c:v>188.03892463030451</c:v>
                </c:pt>
                <c:pt idx="423">
                  <c:v>188.20315422260103</c:v>
                </c:pt>
                <c:pt idx="424">
                  <c:v>188.44540092991105</c:v>
                </c:pt>
                <c:pt idx="425">
                  <c:v>188.45306073065007</c:v>
                </c:pt>
                <c:pt idx="426">
                  <c:v>188.51463134658536</c:v>
                </c:pt>
                <c:pt idx="427">
                  <c:v>188.80810462616222</c:v>
                </c:pt>
                <c:pt idx="428">
                  <c:v>189.24804747743184</c:v>
                </c:pt>
                <c:pt idx="429">
                  <c:v>189.68346370268648</c:v>
                </c:pt>
                <c:pt idx="430">
                  <c:v>189.97573264934636</c:v>
                </c:pt>
                <c:pt idx="431">
                  <c:v>190.47389176561711</c:v>
                </c:pt>
                <c:pt idx="432">
                  <c:v>190.48566044333796</c:v>
                </c:pt>
                <c:pt idx="433">
                  <c:v>192.310678268191</c:v>
                </c:pt>
                <c:pt idx="434">
                  <c:v>192.96773779999523</c:v>
                </c:pt>
                <c:pt idx="435">
                  <c:v>193.32779496106104</c:v>
                </c:pt>
                <c:pt idx="436">
                  <c:v>193.62105615693326</c:v>
                </c:pt>
                <c:pt idx="437">
                  <c:v>194.59857838990308</c:v>
                </c:pt>
                <c:pt idx="438">
                  <c:v>195.91273132968428</c:v>
                </c:pt>
                <c:pt idx="439">
                  <c:v>196.59235900088788</c:v>
                </c:pt>
                <c:pt idx="440">
                  <c:v>196.76618814889474</c:v>
                </c:pt>
                <c:pt idx="441">
                  <c:v>197.26474352769327</c:v>
                </c:pt>
                <c:pt idx="442">
                  <c:v>197.29199937486828</c:v>
                </c:pt>
                <c:pt idx="443">
                  <c:v>197.7416084582083</c:v>
                </c:pt>
                <c:pt idx="444">
                  <c:v>199.24591975266895</c:v>
                </c:pt>
                <c:pt idx="445">
                  <c:v>200.52595581044631</c:v>
                </c:pt>
                <c:pt idx="446">
                  <c:v>200.6859699628879</c:v>
                </c:pt>
                <c:pt idx="447">
                  <c:v>200.98923045574202</c:v>
                </c:pt>
                <c:pt idx="448">
                  <c:v>201.5277720015053</c:v>
                </c:pt>
                <c:pt idx="449">
                  <c:v>201.84690310596017</c:v>
                </c:pt>
                <c:pt idx="450">
                  <c:v>201.98995722386809</c:v>
                </c:pt>
                <c:pt idx="451">
                  <c:v>202.18885582611574</c:v>
                </c:pt>
                <c:pt idx="452">
                  <c:v>203.97296907820703</c:v>
                </c:pt>
                <c:pt idx="453">
                  <c:v>204.5829153816241</c:v>
                </c:pt>
                <c:pt idx="454">
                  <c:v>204.63631670187414</c:v>
                </c:pt>
                <c:pt idx="455">
                  <c:v>206.5001433458707</c:v>
                </c:pt>
                <c:pt idx="456">
                  <c:v>207.29268454585656</c:v>
                </c:pt>
                <c:pt idx="457">
                  <c:v>208.5120076128548</c:v>
                </c:pt>
                <c:pt idx="458">
                  <c:v>208.89386712704885</c:v>
                </c:pt>
                <c:pt idx="459">
                  <c:v>209.01638471675358</c:v>
                </c:pt>
                <c:pt idx="460">
                  <c:v>209.53107884676314</c:v>
                </c:pt>
                <c:pt idx="461">
                  <c:v>209.6429494973342</c:v>
                </c:pt>
                <c:pt idx="462">
                  <c:v>209.80004747459537</c:v>
                </c:pt>
                <c:pt idx="463">
                  <c:v>210.42263942240356</c:v>
                </c:pt>
                <c:pt idx="464">
                  <c:v>211.01464249419098</c:v>
                </c:pt>
                <c:pt idx="465">
                  <c:v>212.60009664072464</c:v>
                </c:pt>
                <c:pt idx="466">
                  <c:v>213.88248821430733</c:v>
                </c:pt>
                <c:pt idx="467">
                  <c:v>214.99895246447659</c:v>
                </c:pt>
                <c:pt idx="468">
                  <c:v>215.0958775169716</c:v>
                </c:pt>
                <c:pt idx="469">
                  <c:v>215.9387800930777</c:v>
                </c:pt>
                <c:pt idx="470">
                  <c:v>217.20713597799158</c:v>
                </c:pt>
                <c:pt idx="471">
                  <c:v>218.32817867440542</c:v>
                </c:pt>
                <c:pt idx="472">
                  <c:v>218.5548923482757</c:v>
                </c:pt>
                <c:pt idx="473">
                  <c:v>220.60502957899814</c:v>
                </c:pt>
                <c:pt idx="474">
                  <c:v>220.66849141603501</c:v>
                </c:pt>
                <c:pt idx="475">
                  <c:v>220.90102473271571</c:v>
                </c:pt>
                <c:pt idx="476">
                  <c:v>223.11406155196153</c:v>
                </c:pt>
                <c:pt idx="477">
                  <c:v>224.21759006922207</c:v>
                </c:pt>
                <c:pt idx="478">
                  <c:v>224.252748719321</c:v>
                </c:pt>
                <c:pt idx="479">
                  <c:v>225.48153276391099</c:v>
                </c:pt>
                <c:pt idx="480">
                  <c:v>225.84419878842209</c:v>
                </c:pt>
                <c:pt idx="481">
                  <c:v>228.19023240666445</c:v>
                </c:pt>
                <c:pt idx="482">
                  <c:v>228.48876960614695</c:v>
                </c:pt>
                <c:pt idx="483">
                  <c:v>229.57019943612045</c:v>
                </c:pt>
                <c:pt idx="484">
                  <c:v>229.93661323068523</c:v>
                </c:pt>
                <c:pt idx="485">
                  <c:v>230.76036196733094</c:v>
                </c:pt>
                <c:pt idx="486">
                  <c:v>230.82843335073227</c:v>
                </c:pt>
                <c:pt idx="487">
                  <c:v>230.86866142039059</c:v>
                </c:pt>
                <c:pt idx="488">
                  <c:v>231.05440172479615</c:v>
                </c:pt>
                <c:pt idx="489">
                  <c:v>232.53654823106484</c:v>
                </c:pt>
                <c:pt idx="490">
                  <c:v>233.46968216619501</c:v>
                </c:pt>
                <c:pt idx="491">
                  <c:v>239.76343005304273</c:v>
                </c:pt>
                <c:pt idx="492">
                  <c:v>241.00103978372886</c:v>
                </c:pt>
                <c:pt idx="493">
                  <c:v>248.72235258132025</c:v>
                </c:pt>
                <c:pt idx="494">
                  <c:v>249.4142729527818</c:v>
                </c:pt>
                <c:pt idx="495">
                  <c:v>252.75225824397444</c:v>
                </c:pt>
                <c:pt idx="496">
                  <c:v>254.83479268304529</c:v>
                </c:pt>
                <c:pt idx="497">
                  <c:v>259.18860502763079</c:v>
                </c:pt>
                <c:pt idx="498">
                  <c:v>267.09852188567618</c:v>
                </c:pt>
                <c:pt idx="499">
                  <c:v>273.44431236446036</c:v>
                </c:pt>
              </c:numCache>
            </c:numRef>
          </c:xVal>
          <c:yVal>
            <c:numRef>
              <c:f>SimData!$T$2:$T$501</c:f>
              <c:numCache>
                <c:formatCode>General</c:formatCode>
                <c:ptCount val="500"/>
                <c:pt idx="0">
                  <c:v>0</c:v>
                </c:pt>
                <c:pt idx="1">
                  <c:v>2.004008016032064E-3</c:v>
                </c:pt>
                <c:pt idx="2">
                  <c:v>4.0080160320641279E-3</c:v>
                </c:pt>
                <c:pt idx="3">
                  <c:v>6.0120240480961915E-3</c:v>
                </c:pt>
                <c:pt idx="4">
                  <c:v>8.0160320641282558E-3</c:v>
                </c:pt>
                <c:pt idx="5">
                  <c:v>1.002004008016032E-2</c:v>
                </c:pt>
                <c:pt idx="6">
                  <c:v>1.2024048096192385E-2</c:v>
                </c:pt>
                <c:pt idx="7">
                  <c:v>1.4028056112224449E-2</c:v>
                </c:pt>
                <c:pt idx="8">
                  <c:v>1.6032064128256512E-2</c:v>
                </c:pt>
                <c:pt idx="9">
                  <c:v>1.8036072144288574E-2</c:v>
                </c:pt>
                <c:pt idx="10">
                  <c:v>2.0040080160320637E-2</c:v>
                </c:pt>
                <c:pt idx="11">
                  <c:v>2.20440881763527E-2</c:v>
                </c:pt>
                <c:pt idx="12">
                  <c:v>2.4048096192384762E-2</c:v>
                </c:pt>
                <c:pt idx="13">
                  <c:v>2.6052104208416825E-2</c:v>
                </c:pt>
                <c:pt idx="14">
                  <c:v>2.8056112224448888E-2</c:v>
                </c:pt>
                <c:pt idx="15">
                  <c:v>3.006012024048095E-2</c:v>
                </c:pt>
                <c:pt idx="16">
                  <c:v>3.2064128256513016E-2</c:v>
                </c:pt>
                <c:pt idx="17">
                  <c:v>3.4068136272545083E-2</c:v>
                </c:pt>
                <c:pt idx="18">
                  <c:v>3.6072144288577149E-2</c:v>
                </c:pt>
                <c:pt idx="19">
                  <c:v>3.8076152304609215E-2</c:v>
                </c:pt>
                <c:pt idx="20">
                  <c:v>4.0080160320641281E-2</c:v>
                </c:pt>
                <c:pt idx="21">
                  <c:v>4.2084168336673347E-2</c:v>
                </c:pt>
                <c:pt idx="22">
                  <c:v>4.4088176352705413E-2</c:v>
                </c:pt>
                <c:pt idx="23">
                  <c:v>4.6092184368737479E-2</c:v>
                </c:pt>
                <c:pt idx="24">
                  <c:v>4.8096192384769546E-2</c:v>
                </c:pt>
                <c:pt idx="25">
                  <c:v>5.0100200400801612E-2</c:v>
                </c:pt>
                <c:pt idx="26">
                  <c:v>5.2104208416833678E-2</c:v>
                </c:pt>
                <c:pt idx="27">
                  <c:v>5.4108216432865744E-2</c:v>
                </c:pt>
                <c:pt idx="28">
                  <c:v>5.611222444889781E-2</c:v>
                </c:pt>
                <c:pt idx="29">
                  <c:v>5.8116232464929876E-2</c:v>
                </c:pt>
                <c:pt idx="30">
                  <c:v>6.0120240480961942E-2</c:v>
                </c:pt>
                <c:pt idx="31">
                  <c:v>6.2124248496994008E-2</c:v>
                </c:pt>
                <c:pt idx="32">
                  <c:v>6.4128256513026075E-2</c:v>
                </c:pt>
                <c:pt idx="33">
                  <c:v>6.6132264529058141E-2</c:v>
                </c:pt>
                <c:pt idx="34">
                  <c:v>6.8136272545090207E-2</c:v>
                </c:pt>
                <c:pt idx="35">
                  <c:v>7.0140280561122273E-2</c:v>
                </c:pt>
                <c:pt idx="36">
                  <c:v>7.2144288577154339E-2</c:v>
                </c:pt>
                <c:pt idx="37">
                  <c:v>7.4148296593186405E-2</c:v>
                </c:pt>
                <c:pt idx="38">
                  <c:v>7.6152304609218471E-2</c:v>
                </c:pt>
                <c:pt idx="39">
                  <c:v>7.8156312625250537E-2</c:v>
                </c:pt>
                <c:pt idx="40">
                  <c:v>8.0160320641282604E-2</c:v>
                </c:pt>
                <c:pt idx="41">
                  <c:v>8.216432865731467E-2</c:v>
                </c:pt>
                <c:pt idx="42">
                  <c:v>8.4168336673346736E-2</c:v>
                </c:pt>
                <c:pt idx="43">
                  <c:v>8.6172344689378802E-2</c:v>
                </c:pt>
                <c:pt idx="44">
                  <c:v>8.8176352705410868E-2</c:v>
                </c:pt>
                <c:pt idx="45">
                  <c:v>9.0180360721442934E-2</c:v>
                </c:pt>
                <c:pt idx="46">
                  <c:v>9.2184368737475E-2</c:v>
                </c:pt>
                <c:pt idx="47">
                  <c:v>9.4188376753507067E-2</c:v>
                </c:pt>
                <c:pt idx="48">
                  <c:v>9.6192384769539133E-2</c:v>
                </c:pt>
                <c:pt idx="49">
                  <c:v>9.8196392785571199E-2</c:v>
                </c:pt>
                <c:pt idx="50">
                  <c:v>0.10020040080160326</c:v>
                </c:pt>
                <c:pt idx="51">
                  <c:v>0.10220440881763533</c:v>
                </c:pt>
                <c:pt idx="52">
                  <c:v>0.1042084168336674</c:v>
                </c:pt>
                <c:pt idx="53">
                  <c:v>0.10621242484969946</c:v>
                </c:pt>
                <c:pt idx="54">
                  <c:v>0.10821643286573153</c:v>
                </c:pt>
                <c:pt idx="55">
                  <c:v>0.1102204408817636</c:v>
                </c:pt>
                <c:pt idx="56">
                  <c:v>0.11222444889779566</c:v>
                </c:pt>
                <c:pt idx="57">
                  <c:v>0.11422845691382773</c:v>
                </c:pt>
                <c:pt idx="58">
                  <c:v>0.11623246492985979</c:v>
                </c:pt>
                <c:pt idx="59">
                  <c:v>0.11823647294589186</c:v>
                </c:pt>
                <c:pt idx="60">
                  <c:v>0.12024048096192393</c:v>
                </c:pt>
                <c:pt idx="61">
                  <c:v>0.12224448897795599</c:v>
                </c:pt>
                <c:pt idx="62">
                  <c:v>0.12424849699398806</c:v>
                </c:pt>
                <c:pt idx="63">
                  <c:v>0.12625250501002011</c:v>
                </c:pt>
                <c:pt idx="64">
                  <c:v>0.12825651302605218</c:v>
                </c:pt>
                <c:pt idx="65">
                  <c:v>0.13026052104208424</c:v>
                </c:pt>
                <c:pt idx="66">
                  <c:v>0.13226452905811631</c:v>
                </c:pt>
                <c:pt idx="67">
                  <c:v>0.13426853707414838</c:v>
                </c:pt>
                <c:pt idx="68">
                  <c:v>0.13627254509018044</c:v>
                </c:pt>
                <c:pt idx="69">
                  <c:v>0.13827655310621251</c:v>
                </c:pt>
                <c:pt idx="70">
                  <c:v>0.14028056112224457</c:v>
                </c:pt>
                <c:pt idx="71">
                  <c:v>0.14228456913827664</c:v>
                </c:pt>
                <c:pt idx="72">
                  <c:v>0.14428857715430871</c:v>
                </c:pt>
                <c:pt idx="73">
                  <c:v>0.14629258517034077</c:v>
                </c:pt>
                <c:pt idx="74">
                  <c:v>0.14829659318637284</c:v>
                </c:pt>
                <c:pt idx="75">
                  <c:v>0.1503006012024049</c:v>
                </c:pt>
                <c:pt idx="76">
                  <c:v>0.15230460921843697</c:v>
                </c:pt>
                <c:pt idx="77">
                  <c:v>0.15430861723446904</c:v>
                </c:pt>
                <c:pt idx="78">
                  <c:v>0.1563126252505011</c:v>
                </c:pt>
                <c:pt idx="79">
                  <c:v>0.15831663326653317</c:v>
                </c:pt>
                <c:pt idx="80">
                  <c:v>0.16032064128256523</c:v>
                </c:pt>
                <c:pt idx="81">
                  <c:v>0.1623246492985973</c:v>
                </c:pt>
                <c:pt idx="82">
                  <c:v>0.16432865731462937</c:v>
                </c:pt>
                <c:pt idx="83">
                  <c:v>0.16633266533066143</c:v>
                </c:pt>
                <c:pt idx="84">
                  <c:v>0.1683366733466935</c:v>
                </c:pt>
                <c:pt idx="85">
                  <c:v>0.17034068136272557</c:v>
                </c:pt>
                <c:pt idx="86">
                  <c:v>0.17234468937875763</c:v>
                </c:pt>
                <c:pt idx="87">
                  <c:v>0.1743486973947897</c:v>
                </c:pt>
                <c:pt idx="88">
                  <c:v>0.17635270541082176</c:v>
                </c:pt>
                <c:pt idx="89">
                  <c:v>0.17835671342685383</c:v>
                </c:pt>
                <c:pt idx="90">
                  <c:v>0.1803607214428859</c:v>
                </c:pt>
                <c:pt idx="91">
                  <c:v>0.18236472945891796</c:v>
                </c:pt>
                <c:pt idx="92">
                  <c:v>0.18436873747495003</c:v>
                </c:pt>
                <c:pt idx="93">
                  <c:v>0.18637274549098209</c:v>
                </c:pt>
                <c:pt idx="94">
                  <c:v>0.18837675350701416</c:v>
                </c:pt>
                <c:pt idx="95">
                  <c:v>0.19038076152304623</c:v>
                </c:pt>
                <c:pt idx="96">
                  <c:v>0.19238476953907829</c:v>
                </c:pt>
                <c:pt idx="97">
                  <c:v>0.19438877755511036</c:v>
                </c:pt>
                <c:pt idx="98">
                  <c:v>0.19639278557114243</c:v>
                </c:pt>
                <c:pt idx="99">
                  <c:v>0.19839679358717449</c:v>
                </c:pt>
                <c:pt idx="100">
                  <c:v>0.20040080160320656</c:v>
                </c:pt>
                <c:pt idx="101">
                  <c:v>0.20240480961923862</c:v>
                </c:pt>
                <c:pt idx="102">
                  <c:v>0.20440881763527069</c:v>
                </c:pt>
                <c:pt idx="103">
                  <c:v>0.20641282565130276</c:v>
                </c:pt>
                <c:pt idx="104">
                  <c:v>0.20841683366733482</c:v>
                </c:pt>
                <c:pt idx="105">
                  <c:v>0.21042084168336689</c:v>
                </c:pt>
                <c:pt idx="106">
                  <c:v>0.21242484969939895</c:v>
                </c:pt>
                <c:pt idx="107">
                  <c:v>0.21442885771543102</c:v>
                </c:pt>
                <c:pt idx="108">
                  <c:v>0.21643286573146309</c:v>
                </c:pt>
                <c:pt idx="109">
                  <c:v>0.21843687374749515</c:v>
                </c:pt>
                <c:pt idx="110">
                  <c:v>0.22044088176352722</c:v>
                </c:pt>
                <c:pt idx="111">
                  <c:v>0.22244488977955928</c:v>
                </c:pt>
                <c:pt idx="112">
                  <c:v>0.22444889779559135</c:v>
                </c:pt>
                <c:pt idx="113">
                  <c:v>0.22645290581162342</c:v>
                </c:pt>
                <c:pt idx="114">
                  <c:v>0.22845691382765548</c:v>
                </c:pt>
                <c:pt idx="115">
                  <c:v>0.23046092184368755</c:v>
                </c:pt>
                <c:pt idx="116">
                  <c:v>0.23246492985971962</c:v>
                </c:pt>
                <c:pt idx="117">
                  <c:v>0.23446893787575168</c:v>
                </c:pt>
                <c:pt idx="118">
                  <c:v>0.23647294589178375</c:v>
                </c:pt>
                <c:pt idx="119">
                  <c:v>0.23847695390781581</c:v>
                </c:pt>
                <c:pt idx="120">
                  <c:v>0.24048096192384788</c:v>
                </c:pt>
                <c:pt idx="121">
                  <c:v>0.24248496993987995</c:v>
                </c:pt>
                <c:pt idx="122">
                  <c:v>0.24448897795591201</c:v>
                </c:pt>
                <c:pt idx="123">
                  <c:v>0.24649298597194408</c:v>
                </c:pt>
                <c:pt idx="124">
                  <c:v>0.24849699398797614</c:v>
                </c:pt>
                <c:pt idx="125">
                  <c:v>0.25050100200400821</c:v>
                </c:pt>
                <c:pt idx="126">
                  <c:v>0.25250501002004028</c:v>
                </c:pt>
                <c:pt idx="127">
                  <c:v>0.25450901803607234</c:v>
                </c:pt>
                <c:pt idx="128">
                  <c:v>0.25651302605210441</c:v>
                </c:pt>
                <c:pt idx="129">
                  <c:v>0.25851703406813648</c:v>
                </c:pt>
                <c:pt idx="130">
                  <c:v>0.26052104208416854</c:v>
                </c:pt>
                <c:pt idx="131">
                  <c:v>0.26252505010020061</c:v>
                </c:pt>
                <c:pt idx="132">
                  <c:v>0.26452905811623267</c:v>
                </c:pt>
                <c:pt idx="133">
                  <c:v>0.26653306613226474</c:v>
                </c:pt>
                <c:pt idx="134">
                  <c:v>0.26853707414829681</c:v>
                </c:pt>
                <c:pt idx="135">
                  <c:v>0.27054108216432887</c:v>
                </c:pt>
                <c:pt idx="136">
                  <c:v>0.27254509018036094</c:v>
                </c:pt>
                <c:pt idx="137">
                  <c:v>0.274549098196393</c:v>
                </c:pt>
                <c:pt idx="138">
                  <c:v>0.27655310621242507</c:v>
                </c:pt>
                <c:pt idx="139">
                  <c:v>0.27855711422845714</c:v>
                </c:pt>
                <c:pt idx="140">
                  <c:v>0.2805611222444892</c:v>
                </c:pt>
                <c:pt idx="141">
                  <c:v>0.28256513026052127</c:v>
                </c:pt>
                <c:pt idx="142">
                  <c:v>0.28456913827655334</c:v>
                </c:pt>
                <c:pt idx="143">
                  <c:v>0.2865731462925854</c:v>
                </c:pt>
                <c:pt idx="144">
                  <c:v>0.28857715430861747</c:v>
                </c:pt>
                <c:pt idx="145">
                  <c:v>0.29058116232464953</c:v>
                </c:pt>
                <c:pt idx="146">
                  <c:v>0.2925851703406816</c:v>
                </c:pt>
                <c:pt idx="147">
                  <c:v>0.29458917835671367</c:v>
                </c:pt>
                <c:pt idx="148">
                  <c:v>0.29659318637274573</c:v>
                </c:pt>
                <c:pt idx="149">
                  <c:v>0.2985971943887778</c:v>
                </c:pt>
                <c:pt idx="150">
                  <c:v>0.30060120240480986</c:v>
                </c:pt>
                <c:pt idx="151">
                  <c:v>0.30260521042084193</c:v>
                </c:pt>
                <c:pt idx="152">
                  <c:v>0.304609218436874</c:v>
                </c:pt>
                <c:pt idx="153">
                  <c:v>0.30661322645290606</c:v>
                </c:pt>
                <c:pt idx="154">
                  <c:v>0.30861723446893813</c:v>
                </c:pt>
                <c:pt idx="155">
                  <c:v>0.31062124248497019</c:v>
                </c:pt>
                <c:pt idx="156">
                  <c:v>0.31262525050100226</c:v>
                </c:pt>
                <c:pt idx="157">
                  <c:v>0.31462925851703433</c:v>
                </c:pt>
                <c:pt idx="158">
                  <c:v>0.31663326653306639</c:v>
                </c:pt>
                <c:pt idx="159">
                  <c:v>0.31863727454909846</c:v>
                </c:pt>
                <c:pt idx="160">
                  <c:v>0.32064128256513053</c:v>
                </c:pt>
                <c:pt idx="161">
                  <c:v>0.32264529058116259</c:v>
                </c:pt>
                <c:pt idx="162">
                  <c:v>0.32464929859719466</c:v>
                </c:pt>
                <c:pt idx="163">
                  <c:v>0.32665330661322672</c:v>
                </c:pt>
                <c:pt idx="164">
                  <c:v>0.32865731462925879</c:v>
                </c:pt>
                <c:pt idx="165">
                  <c:v>0.33066132264529086</c:v>
                </c:pt>
                <c:pt idx="166">
                  <c:v>0.33266533066132292</c:v>
                </c:pt>
                <c:pt idx="167">
                  <c:v>0.33466933867735499</c:v>
                </c:pt>
                <c:pt idx="168">
                  <c:v>0.33667334669338705</c:v>
                </c:pt>
                <c:pt idx="169">
                  <c:v>0.33867735470941912</c:v>
                </c:pt>
                <c:pt idx="170">
                  <c:v>0.34068136272545119</c:v>
                </c:pt>
                <c:pt idx="171">
                  <c:v>0.34268537074148325</c:v>
                </c:pt>
                <c:pt idx="172">
                  <c:v>0.34468937875751532</c:v>
                </c:pt>
                <c:pt idx="173">
                  <c:v>0.34669338677354739</c:v>
                </c:pt>
                <c:pt idx="174">
                  <c:v>0.34869739478957945</c:v>
                </c:pt>
                <c:pt idx="175">
                  <c:v>0.35070140280561152</c:v>
                </c:pt>
                <c:pt idx="176">
                  <c:v>0.35270541082164358</c:v>
                </c:pt>
                <c:pt idx="177">
                  <c:v>0.35470941883767565</c:v>
                </c:pt>
                <c:pt idx="178">
                  <c:v>0.35671342685370772</c:v>
                </c:pt>
                <c:pt idx="179">
                  <c:v>0.35871743486973978</c:v>
                </c:pt>
                <c:pt idx="180">
                  <c:v>0.36072144288577185</c:v>
                </c:pt>
                <c:pt idx="181">
                  <c:v>0.36272545090180391</c:v>
                </c:pt>
                <c:pt idx="182">
                  <c:v>0.36472945891783598</c:v>
                </c:pt>
                <c:pt idx="183">
                  <c:v>0.36673346693386805</c:v>
                </c:pt>
                <c:pt idx="184">
                  <c:v>0.36873747494990011</c:v>
                </c:pt>
                <c:pt idx="185">
                  <c:v>0.37074148296593218</c:v>
                </c:pt>
                <c:pt idx="186">
                  <c:v>0.37274549098196424</c:v>
                </c:pt>
                <c:pt idx="187">
                  <c:v>0.37474949899799631</c:v>
                </c:pt>
                <c:pt idx="188">
                  <c:v>0.37675350701402838</c:v>
                </c:pt>
                <c:pt idx="189">
                  <c:v>0.37875751503006044</c:v>
                </c:pt>
                <c:pt idx="190">
                  <c:v>0.38076152304609251</c:v>
                </c:pt>
                <c:pt idx="191">
                  <c:v>0.38276553106212458</c:v>
                </c:pt>
                <c:pt idx="192">
                  <c:v>0.38476953907815664</c:v>
                </c:pt>
                <c:pt idx="193">
                  <c:v>0.38677354709418871</c:v>
                </c:pt>
                <c:pt idx="194">
                  <c:v>0.38877755511022077</c:v>
                </c:pt>
                <c:pt idx="195">
                  <c:v>0.39078156312625284</c:v>
                </c:pt>
                <c:pt idx="196">
                  <c:v>0.39278557114228491</c:v>
                </c:pt>
                <c:pt idx="197">
                  <c:v>0.39478957915831697</c:v>
                </c:pt>
                <c:pt idx="198">
                  <c:v>0.39679358717434904</c:v>
                </c:pt>
                <c:pt idx="199">
                  <c:v>0.3987975951903811</c:v>
                </c:pt>
                <c:pt idx="200">
                  <c:v>0.40080160320641317</c:v>
                </c:pt>
                <c:pt idx="201">
                  <c:v>0.40280561122244524</c:v>
                </c:pt>
                <c:pt idx="202">
                  <c:v>0.4048096192384773</c:v>
                </c:pt>
                <c:pt idx="203">
                  <c:v>0.40681362725450937</c:v>
                </c:pt>
                <c:pt idx="204">
                  <c:v>0.40881763527054144</c:v>
                </c:pt>
                <c:pt idx="205">
                  <c:v>0.4108216432865735</c:v>
                </c:pt>
                <c:pt idx="206">
                  <c:v>0.41282565130260557</c:v>
                </c:pt>
                <c:pt idx="207">
                  <c:v>0.41482965931863763</c:v>
                </c:pt>
                <c:pt idx="208">
                  <c:v>0.4168336673346697</c:v>
                </c:pt>
                <c:pt idx="209">
                  <c:v>0.41883767535070177</c:v>
                </c:pt>
                <c:pt idx="210">
                  <c:v>0.42084168336673383</c:v>
                </c:pt>
                <c:pt idx="211">
                  <c:v>0.4228456913827659</c:v>
                </c:pt>
                <c:pt idx="212">
                  <c:v>0.42484969939879796</c:v>
                </c:pt>
                <c:pt idx="213">
                  <c:v>0.42685370741483003</c:v>
                </c:pt>
                <c:pt idx="214">
                  <c:v>0.4288577154308621</c:v>
                </c:pt>
                <c:pt idx="215">
                  <c:v>0.43086172344689416</c:v>
                </c:pt>
                <c:pt idx="216">
                  <c:v>0.43286573146292623</c:v>
                </c:pt>
                <c:pt idx="217">
                  <c:v>0.43486973947895829</c:v>
                </c:pt>
                <c:pt idx="218">
                  <c:v>0.43687374749499036</c:v>
                </c:pt>
                <c:pt idx="219">
                  <c:v>0.43887775551102243</c:v>
                </c:pt>
                <c:pt idx="220">
                  <c:v>0.44088176352705449</c:v>
                </c:pt>
                <c:pt idx="221">
                  <c:v>0.44288577154308656</c:v>
                </c:pt>
                <c:pt idx="222">
                  <c:v>0.44488977955911863</c:v>
                </c:pt>
                <c:pt idx="223">
                  <c:v>0.44689378757515069</c:v>
                </c:pt>
                <c:pt idx="224">
                  <c:v>0.44889779559118276</c:v>
                </c:pt>
                <c:pt idx="225">
                  <c:v>0.45090180360721482</c:v>
                </c:pt>
                <c:pt idx="226">
                  <c:v>0.45290581162324689</c:v>
                </c:pt>
                <c:pt idx="227">
                  <c:v>0.45490981963927896</c:v>
                </c:pt>
                <c:pt idx="228">
                  <c:v>0.45691382765531102</c:v>
                </c:pt>
                <c:pt idx="229">
                  <c:v>0.45891783567134309</c:v>
                </c:pt>
                <c:pt idx="230">
                  <c:v>0.46092184368737515</c:v>
                </c:pt>
                <c:pt idx="231">
                  <c:v>0.46292585170340722</c:v>
                </c:pt>
                <c:pt idx="232">
                  <c:v>0.46492985971943929</c:v>
                </c:pt>
                <c:pt idx="233">
                  <c:v>0.46693386773547135</c:v>
                </c:pt>
                <c:pt idx="234">
                  <c:v>0.46893787575150342</c:v>
                </c:pt>
                <c:pt idx="235">
                  <c:v>0.47094188376753549</c:v>
                </c:pt>
                <c:pt idx="236">
                  <c:v>0.47294589178356755</c:v>
                </c:pt>
                <c:pt idx="237">
                  <c:v>0.47494989979959962</c:v>
                </c:pt>
                <c:pt idx="238">
                  <c:v>0.47695390781563168</c:v>
                </c:pt>
                <c:pt idx="239">
                  <c:v>0.47895791583166375</c:v>
                </c:pt>
                <c:pt idx="240">
                  <c:v>0.48096192384769582</c:v>
                </c:pt>
                <c:pt idx="241">
                  <c:v>0.48296593186372788</c:v>
                </c:pt>
                <c:pt idx="242">
                  <c:v>0.48496993987975995</c:v>
                </c:pt>
                <c:pt idx="243">
                  <c:v>0.48697394789579201</c:v>
                </c:pt>
                <c:pt idx="244">
                  <c:v>0.48897795591182408</c:v>
                </c:pt>
                <c:pt idx="245">
                  <c:v>0.49098196392785615</c:v>
                </c:pt>
                <c:pt idx="246">
                  <c:v>0.49298597194388821</c:v>
                </c:pt>
                <c:pt idx="247">
                  <c:v>0.49498997995992028</c:v>
                </c:pt>
                <c:pt idx="248">
                  <c:v>0.49699398797595234</c:v>
                </c:pt>
                <c:pt idx="249">
                  <c:v>0.49899799599198441</c:v>
                </c:pt>
                <c:pt idx="250">
                  <c:v>0.50100200400801642</c:v>
                </c:pt>
                <c:pt idx="251">
                  <c:v>0.50300601202404849</c:v>
                </c:pt>
                <c:pt idx="252">
                  <c:v>0.50501002004008055</c:v>
                </c:pt>
                <c:pt idx="253">
                  <c:v>0.50701402805611262</c:v>
                </c:pt>
                <c:pt idx="254">
                  <c:v>0.50901803607214469</c:v>
                </c:pt>
                <c:pt idx="255">
                  <c:v>0.51102204408817675</c:v>
                </c:pt>
                <c:pt idx="256">
                  <c:v>0.51302605210420882</c:v>
                </c:pt>
                <c:pt idx="257">
                  <c:v>0.51503006012024088</c:v>
                </c:pt>
                <c:pt idx="258">
                  <c:v>0.51703406813627295</c:v>
                </c:pt>
                <c:pt idx="259">
                  <c:v>0.51903807615230502</c:v>
                </c:pt>
                <c:pt idx="260">
                  <c:v>0.52104208416833708</c:v>
                </c:pt>
                <c:pt idx="261">
                  <c:v>0.52304609218436915</c:v>
                </c:pt>
                <c:pt idx="262">
                  <c:v>0.52505010020040122</c:v>
                </c:pt>
                <c:pt idx="263">
                  <c:v>0.52705410821643328</c:v>
                </c:pt>
                <c:pt idx="264">
                  <c:v>0.52905811623246535</c:v>
                </c:pt>
                <c:pt idx="265">
                  <c:v>0.53106212424849741</c:v>
                </c:pt>
                <c:pt idx="266">
                  <c:v>0.53306613226452948</c:v>
                </c:pt>
                <c:pt idx="267">
                  <c:v>0.53507014028056155</c:v>
                </c:pt>
                <c:pt idx="268">
                  <c:v>0.53707414829659361</c:v>
                </c:pt>
                <c:pt idx="269">
                  <c:v>0.53907815631262568</c:v>
                </c:pt>
                <c:pt idx="270">
                  <c:v>0.54108216432865774</c:v>
                </c:pt>
                <c:pt idx="271">
                  <c:v>0.54308617234468981</c:v>
                </c:pt>
                <c:pt idx="272">
                  <c:v>0.54509018036072188</c:v>
                </c:pt>
                <c:pt idx="273">
                  <c:v>0.54709418837675394</c:v>
                </c:pt>
                <c:pt idx="274">
                  <c:v>0.54909819639278601</c:v>
                </c:pt>
                <c:pt idx="275">
                  <c:v>0.55110220440881807</c:v>
                </c:pt>
                <c:pt idx="276">
                  <c:v>0.55310621242485014</c:v>
                </c:pt>
                <c:pt idx="277">
                  <c:v>0.55511022044088221</c:v>
                </c:pt>
                <c:pt idx="278">
                  <c:v>0.55711422845691427</c:v>
                </c:pt>
                <c:pt idx="279">
                  <c:v>0.55911823647294634</c:v>
                </c:pt>
                <c:pt idx="280">
                  <c:v>0.56112224448897841</c:v>
                </c:pt>
                <c:pt idx="281">
                  <c:v>0.56312625250501047</c:v>
                </c:pt>
                <c:pt idx="282">
                  <c:v>0.56513026052104254</c:v>
                </c:pt>
                <c:pt idx="283">
                  <c:v>0.5671342685370746</c:v>
                </c:pt>
                <c:pt idx="284">
                  <c:v>0.56913827655310667</c:v>
                </c:pt>
                <c:pt idx="285">
                  <c:v>0.57114228456913874</c:v>
                </c:pt>
                <c:pt idx="286">
                  <c:v>0.5731462925851708</c:v>
                </c:pt>
                <c:pt idx="287">
                  <c:v>0.57515030060120287</c:v>
                </c:pt>
                <c:pt idx="288">
                  <c:v>0.57715430861723493</c:v>
                </c:pt>
                <c:pt idx="289">
                  <c:v>0.579158316633267</c:v>
                </c:pt>
                <c:pt idx="290">
                  <c:v>0.58116232464929907</c:v>
                </c:pt>
                <c:pt idx="291">
                  <c:v>0.58316633266533113</c:v>
                </c:pt>
                <c:pt idx="292">
                  <c:v>0.5851703406813632</c:v>
                </c:pt>
                <c:pt idx="293">
                  <c:v>0.58717434869739527</c:v>
                </c:pt>
                <c:pt idx="294">
                  <c:v>0.58917835671342733</c:v>
                </c:pt>
                <c:pt idx="295">
                  <c:v>0.5911823647294594</c:v>
                </c:pt>
                <c:pt idx="296">
                  <c:v>0.59318637274549146</c:v>
                </c:pt>
                <c:pt idx="297">
                  <c:v>0.59519038076152353</c:v>
                </c:pt>
                <c:pt idx="298">
                  <c:v>0.5971943887775556</c:v>
                </c:pt>
                <c:pt idx="299">
                  <c:v>0.59919839679358766</c:v>
                </c:pt>
                <c:pt idx="300">
                  <c:v>0.60120240480961973</c:v>
                </c:pt>
                <c:pt idx="301">
                  <c:v>0.60320641282565179</c:v>
                </c:pt>
                <c:pt idx="302">
                  <c:v>0.60521042084168386</c:v>
                </c:pt>
                <c:pt idx="303">
                  <c:v>0.60721442885771593</c:v>
                </c:pt>
                <c:pt idx="304">
                  <c:v>0.60921843687374799</c:v>
                </c:pt>
                <c:pt idx="305">
                  <c:v>0.61122244488978006</c:v>
                </c:pt>
                <c:pt idx="306">
                  <c:v>0.61322645290581212</c:v>
                </c:pt>
                <c:pt idx="307">
                  <c:v>0.61523046092184419</c:v>
                </c:pt>
                <c:pt idx="308">
                  <c:v>0.61723446893787626</c:v>
                </c:pt>
                <c:pt idx="309">
                  <c:v>0.61923847695390832</c:v>
                </c:pt>
                <c:pt idx="310">
                  <c:v>0.62124248496994039</c:v>
                </c:pt>
                <c:pt idx="311">
                  <c:v>0.62324649298597246</c:v>
                </c:pt>
                <c:pt idx="312">
                  <c:v>0.62525050100200452</c:v>
                </c:pt>
                <c:pt idx="313">
                  <c:v>0.62725450901803659</c:v>
                </c:pt>
                <c:pt idx="314">
                  <c:v>0.62925851703406865</c:v>
                </c:pt>
                <c:pt idx="315">
                  <c:v>0.63126252505010072</c:v>
                </c:pt>
                <c:pt idx="316">
                  <c:v>0.63326653306613279</c:v>
                </c:pt>
                <c:pt idx="317">
                  <c:v>0.63527054108216485</c:v>
                </c:pt>
                <c:pt idx="318">
                  <c:v>0.63727454909819692</c:v>
                </c:pt>
                <c:pt idx="319">
                  <c:v>0.63927855711422898</c:v>
                </c:pt>
                <c:pt idx="320">
                  <c:v>0.64128256513026105</c:v>
                </c:pt>
                <c:pt idx="321">
                  <c:v>0.64328657314629312</c:v>
                </c:pt>
                <c:pt idx="322">
                  <c:v>0.64529058116232518</c:v>
                </c:pt>
                <c:pt idx="323">
                  <c:v>0.64729458917835725</c:v>
                </c:pt>
                <c:pt idx="324">
                  <c:v>0.64929859719438932</c:v>
                </c:pt>
                <c:pt idx="325">
                  <c:v>0.65130260521042138</c:v>
                </c:pt>
                <c:pt idx="326">
                  <c:v>0.65330661322645345</c:v>
                </c:pt>
                <c:pt idx="327">
                  <c:v>0.65531062124248551</c:v>
                </c:pt>
                <c:pt idx="328">
                  <c:v>0.65731462925851758</c:v>
                </c:pt>
                <c:pt idx="329">
                  <c:v>0.65931863727454965</c:v>
                </c:pt>
                <c:pt idx="330">
                  <c:v>0.66132264529058171</c:v>
                </c:pt>
                <c:pt idx="331">
                  <c:v>0.66332665330661378</c:v>
                </c:pt>
                <c:pt idx="332">
                  <c:v>0.66533066132264584</c:v>
                </c:pt>
                <c:pt idx="333">
                  <c:v>0.66733466933867791</c:v>
                </c:pt>
                <c:pt idx="334">
                  <c:v>0.66933867735470998</c:v>
                </c:pt>
                <c:pt idx="335">
                  <c:v>0.67134268537074204</c:v>
                </c:pt>
                <c:pt idx="336">
                  <c:v>0.67334669338677411</c:v>
                </c:pt>
                <c:pt idx="337">
                  <c:v>0.67535070140280618</c:v>
                </c:pt>
                <c:pt idx="338">
                  <c:v>0.67735470941883824</c:v>
                </c:pt>
                <c:pt idx="339">
                  <c:v>0.67935871743487031</c:v>
                </c:pt>
                <c:pt idx="340">
                  <c:v>0.68136272545090237</c:v>
                </c:pt>
                <c:pt idx="341">
                  <c:v>0.68336673346693444</c:v>
                </c:pt>
                <c:pt idx="342">
                  <c:v>0.68537074148296651</c:v>
                </c:pt>
                <c:pt idx="343">
                  <c:v>0.68737474949899857</c:v>
                </c:pt>
                <c:pt idx="344">
                  <c:v>0.68937875751503064</c:v>
                </c:pt>
                <c:pt idx="345">
                  <c:v>0.6913827655310627</c:v>
                </c:pt>
                <c:pt idx="346">
                  <c:v>0.69338677354709477</c:v>
                </c:pt>
                <c:pt idx="347">
                  <c:v>0.69539078156312684</c:v>
                </c:pt>
                <c:pt idx="348">
                  <c:v>0.6973947895791589</c:v>
                </c:pt>
                <c:pt idx="349">
                  <c:v>0.69939879759519097</c:v>
                </c:pt>
                <c:pt idx="350">
                  <c:v>0.70140280561122303</c:v>
                </c:pt>
                <c:pt idx="351">
                  <c:v>0.7034068136272551</c:v>
                </c:pt>
                <c:pt idx="352">
                  <c:v>0.70541082164328717</c:v>
                </c:pt>
                <c:pt idx="353">
                  <c:v>0.70741482965931923</c:v>
                </c:pt>
                <c:pt idx="354">
                  <c:v>0.7094188376753513</c:v>
                </c:pt>
                <c:pt idx="355">
                  <c:v>0.71142284569138337</c:v>
                </c:pt>
                <c:pt idx="356">
                  <c:v>0.71342685370741543</c:v>
                </c:pt>
                <c:pt idx="357">
                  <c:v>0.7154308617234475</c:v>
                </c:pt>
                <c:pt idx="358">
                  <c:v>0.71743486973947956</c:v>
                </c:pt>
                <c:pt idx="359">
                  <c:v>0.71943887775551163</c:v>
                </c:pt>
                <c:pt idx="360">
                  <c:v>0.7214428857715437</c:v>
                </c:pt>
                <c:pt idx="361">
                  <c:v>0.72344689378757576</c:v>
                </c:pt>
                <c:pt idx="362">
                  <c:v>0.72545090180360783</c:v>
                </c:pt>
                <c:pt idx="363">
                  <c:v>0.72745490981963989</c:v>
                </c:pt>
                <c:pt idx="364">
                  <c:v>0.72945891783567196</c:v>
                </c:pt>
                <c:pt idx="365">
                  <c:v>0.73146292585170403</c:v>
                </c:pt>
                <c:pt idx="366">
                  <c:v>0.73346693386773609</c:v>
                </c:pt>
                <c:pt idx="367">
                  <c:v>0.73547094188376816</c:v>
                </c:pt>
                <c:pt idx="368">
                  <c:v>0.73747494989980023</c:v>
                </c:pt>
                <c:pt idx="369">
                  <c:v>0.73947895791583229</c:v>
                </c:pt>
                <c:pt idx="370">
                  <c:v>0.74148296593186436</c:v>
                </c:pt>
                <c:pt idx="371">
                  <c:v>0.74348697394789642</c:v>
                </c:pt>
                <c:pt idx="372">
                  <c:v>0.74549098196392849</c:v>
                </c:pt>
                <c:pt idx="373">
                  <c:v>0.74749498997996056</c:v>
                </c:pt>
                <c:pt idx="374">
                  <c:v>0.74949899799599262</c:v>
                </c:pt>
                <c:pt idx="375">
                  <c:v>0.75150300601202469</c:v>
                </c:pt>
                <c:pt idx="376">
                  <c:v>0.75350701402805675</c:v>
                </c:pt>
                <c:pt idx="377">
                  <c:v>0.75551102204408882</c:v>
                </c:pt>
                <c:pt idx="378">
                  <c:v>0.75751503006012089</c:v>
                </c:pt>
                <c:pt idx="379">
                  <c:v>0.75951903807615295</c:v>
                </c:pt>
                <c:pt idx="380">
                  <c:v>0.76152304609218502</c:v>
                </c:pt>
                <c:pt idx="381">
                  <c:v>0.76352705410821708</c:v>
                </c:pt>
                <c:pt idx="382">
                  <c:v>0.76553106212424915</c:v>
                </c:pt>
                <c:pt idx="383">
                  <c:v>0.76753507014028122</c:v>
                </c:pt>
                <c:pt idx="384">
                  <c:v>0.76953907815631328</c:v>
                </c:pt>
                <c:pt idx="385">
                  <c:v>0.77154308617234535</c:v>
                </c:pt>
                <c:pt idx="386">
                  <c:v>0.77354709418837742</c:v>
                </c:pt>
                <c:pt idx="387">
                  <c:v>0.77555110220440948</c:v>
                </c:pt>
                <c:pt idx="388">
                  <c:v>0.77755511022044155</c:v>
                </c:pt>
                <c:pt idx="389">
                  <c:v>0.77955911823647361</c:v>
                </c:pt>
                <c:pt idx="390">
                  <c:v>0.78156312625250568</c:v>
                </c:pt>
                <c:pt idx="391">
                  <c:v>0.78356713426853775</c:v>
                </c:pt>
                <c:pt idx="392">
                  <c:v>0.78557114228456981</c:v>
                </c:pt>
                <c:pt idx="393">
                  <c:v>0.78757515030060188</c:v>
                </c:pt>
                <c:pt idx="394">
                  <c:v>0.78957915831663394</c:v>
                </c:pt>
                <c:pt idx="395">
                  <c:v>0.79158316633266601</c:v>
                </c:pt>
                <c:pt idx="396">
                  <c:v>0.79358717434869808</c:v>
                </c:pt>
                <c:pt idx="397">
                  <c:v>0.79559118236473014</c:v>
                </c:pt>
                <c:pt idx="398">
                  <c:v>0.79759519038076221</c:v>
                </c:pt>
                <c:pt idx="399">
                  <c:v>0.79959919839679428</c:v>
                </c:pt>
                <c:pt idx="400">
                  <c:v>0.80160320641282634</c:v>
                </c:pt>
                <c:pt idx="401">
                  <c:v>0.80360721442885841</c:v>
                </c:pt>
                <c:pt idx="402">
                  <c:v>0.80561122244489047</c:v>
                </c:pt>
                <c:pt idx="403">
                  <c:v>0.80761523046092254</c:v>
                </c:pt>
                <c:pt idx="404">
                  <c:v>0.80961923847695461</c:v>
                </c:pt>
                <c:pt idx="405">
                  <c:v>0.81162324649298667</c:v>
                </c:pt>
                <c:pt idx="406">
                  <c:v>0.81362725450901874</c:v>
                </c:pt>
                <c:pt idx="407">
                  <c:v>0.8156312625250508</c:v>
                </c:pt>
                <c:pt idx="408">
                  <c:v>0.81763527054108287</c:v>
                </c:pt>
                <c:pt idx="409">
                  <c:v>0.81963927855711494</c:v>
                </c:pt>
                <c:pt idx="410">
                  <c:v>0.821643286573147</c:v>
                </c:pt>
                <c:pt idx="411">
                  <c:v>0.82364729458917907</c:v>
                </c:pt>
                <c:pt idx="412">
                  <c:v>0.82565130260521113</c:v>
                </c:pt>
                <c:pt idx="413">
                  <c:v>0.8276553106212432</c:v>
                </c:pt>
                <c:pt idx="414">
                  <c:v>0.82965931863727527</c:v>
                </c:pt>
                <c:pt idx="415">
                  <c:v>0.83166332665330733</c:v>
                </c:pt>
                <c:pt idx="416">
                  <c:v>0.8336673346693394</c:v>
                </c:pt>
                <c:pt idx="417">
                  <c:v>0.83567134268537147</c:v>
                </c:pt>
                <c:pt idx="418">
                  <c:v>0.83767535070140353</c:v>
                </c:pt>
                <c:pt idx="419">
                  <c:v>0.8396793587174356</c:v>
                </c:pt>
                <c:pt idx="420">
                  <c:v>0.84168336673346766</c:v>
                </c:pt>
                <c:pt idx="421">
                  <c:v>0.84368737474949973</c:v>
                </c:pt>
                <c:pt idx="422">
                  <c:v>0.8456913827655318</c:v>
                </c:pt>
                <c:pt idx="423">
                  <c:v>0.84769539078156386</c:v>
                </c:pt>
                <c:pt idx="424">
                  <c:v>0.84969939879759593</c:v>
                </c:pt>
                <c:pt idx="425">
                  <c:v>0.85170340681362799</c:v>
                </c:pt>
                <c:pt idx="426">
                  <c:v>0.85370741482966006</c:v>
                </c:pt>
                <c:pt idx="427">
                  <c:v>0.85571142284569213</c:v>
                </c:pt>
                <c:pt idx="428">
                  <c:v>0.85771543086172419</c:v>
                </c:pt>
                <c:pt idx="429">
                  <c:v>0.85971943887775626</c:v>
                </c:pt>
                <c:pt idx="430">
                  <c:v>0.86172344689378833</c:v>
                </c:pt>
                <c:pt idx="431">
                  <c:v>0.86372745490982039</c:v>
                </c:pt>
                <c:pt idx="432">
                  <c:v>0.86573146292585246</c:v>
                </c:pt>
                <c:pt idx="433">
                  <c:v>0.86773547094188452</c:v>
                </c:pt>
                <c:pt idx="434">
                  <c:v>0.86973947895791659</c:v>
                </c:pt>
                <c:pt idx="435">
                  <c:v>0.87174348697394866</c:v>
                </c:pt>
                <c:pt idx="436">
                  <c:v>0.87374749498998072</c:v>
                </c:pt>
                <c:pt idx="437">
                  <c:v>0.87575150300601279</c:v>
                </c:pt>
                <c:pt idx="438">
                  <c:v>0.87775551102204485</c:v>
                </c:pt>
                <c:pt idx="439">
                  <c:v>0.87975951903807692</c:v>
                </c:pt>
                <c:pt idx="440">
                  <c:v>0.88176352705410899</c:v>
                </c:pt>
                <c:pt idx="441">
                  <c:v>0.88376753507014105</c:v>
                </c:pt>
                <c:pt idx="442">
                  <c:v>0.88577154308617312</c:v>
                </c:pt>
                <c:pt idx="443">
                  <c:v>0.88777555110220518</c:v>
                </c:pt>
                <c:pt idx="444">
                  <c:v>0.88977955911823725</c:v>
                </c:pt>
                <c:pt idx="445">
                  <c:v>0.89178356713426932</c:v>
                </c:pt>
                <c:pt idx="446">
                  <c:v>0.89378757515030138</c:v>
                </c:pt>
                <c:pt idx="447">
                  <c:v>0.89579158316633345</c:v>
                </c:pt>
                <c:pt idx="448">
                  <c:v>0.89779559118236552</c:v>
                </c:pt>
                <c:pt idx="449">
                  <c:v>0.89979959919839758</c:v>
                </c:pt>
                <c:pt idx="450">
                  <c:v>0.90180360721442965</c:v>
                </c:pt>
                <c:pt idx="451">
                  <c:v>0.90380761523046171</c:v>
                </c:pt>
                <c:pt idx="452">
                  <c:v>0.90581162324649378</c:v>
                </c:pt>
                <c:pt idx="453">
                  <c:v>0.90781563126252585</c:v>
                </c:pt>
                <c:pt idx="454">
                  <c:v>0.90981963927855791</c:v>
                </c:pt>
                <c:pt idx="455">
                  <c:v>0.91182364729458998</c:v>
                </c:pt>
                <c:pt idx="456">
                  <c:v>0.91382765531062204</c:v>
                </c:pt>
                <c:pt idx="457">
                  <c:v>0.91583166332665411</c:v>
                </c:pt>
                <c:pt idx="458">
                  <c:v>0.91783567134268618</c:v>
                </c:pt>
                <c:pt idx="459">
                  <c:v>0.91983967935871824</c:v>
                </c:pt>
                <c:pt idx="460">
                  <c:v>0.92184368737475031</c:v>
                </c:pt>
                <c:pt idx="461">
                  <c:v>0.92384769539078238</c:v>
                </c:pt>
                <c:pt idx="462">
                  <c:v>0.92585170340681444</c:v>
                </c:pt>
                <c:pt idx="463">
                  <c:v>0.92785571142284651</c:v>
                </c:pt>
                <c:pt idx="464">
                  <c:v>0.92985971943887857</c:v>
                </c:pt>
                <c:pt idx="465">
                  <c:v>0.93186372745491064</c:v>
                </c:pt>
                <c:pt idx="466">
                  <c:v>0.93386773547094271</c:v>
                </c:pt>
                <c:pt idx="467">
                  <c:v>0.93587174348697477</c:v>
                </c:pt>
                <c:pt idx="468">
                  <c:v>0.93787575150300684</c:v>
                </c:pt>
                <c:pt idx="469">
                  <c:v>0.9398797595190389</c:v>
                </c:pt>
                <c:pt idx="470">
                  <c:v>0.94188376753507097</c:v>
                </c:pt>
                <c:pt idx="471">
                  <c:v>0.94388777555110304</c:v>
                </c:pt>
                <c:pt idx="472">
                  <c:v>0.9458917835671351</c:v>
                </c:pt>
                <c:pt idx="473">
                  <c:v>0.94789579158316717</c:v>
                </c:pt>
                <c:pt idx="474">
                  <c:v>0.94989979959919923</c:v>
                </c:pt>
                <c:pt idx="475">
                  <c:v>0.9519038076152313</c:v>
                </c:pt>
                <c:pt idx="476">
                  <c:v>0.95390781563126337</c:v>
                </c:pt>
                <c:pt idx="477">
                  <c:v>0.95591182364729543</c:v>
                </c:pt>
                <c:pt idx="478">
                  <c:v>0.9579158316633275</c:v>
                </c:pt>
                <c:pt idx="479">
                  <c:v>0.95991983967935957</c:v>
                </c:pt>
                <c:pt idx="480">
                  <c:v>0.96192384769539163</c:v>
                </c:pt>
                <c:pt idx="481">
                  <c:v>0.9639278557114237</c:v>
                </c:pt>
                <c:pt idx="482">
                  <c:v>0.96593186372745576</c:v>
                </c:pt>
                <c:pt idx="483">
                  <c:v>0.96793587174348783</c:v>
                </c:pt>
                <c:pt idx="484">
                  <c:v>0.9699398797595199</c:v>
                </c:pt>
                <c:pt idx="485">
                  <c:v>0.97194388777555196</c:v>
                </c:pt>
                <c:pt idx="486">
                  <c:v>0.97394789579158403</c:v>
                </c:pt>
                <c:pt idx="487">
                  <c:v>0.97595190380761609</c:v>
                </c:pt>
                <c:pt idx="488">
                  <c:v>0.97795591182364816</c:v>
                </c:pt>
                <c:pt idx="489">
                  <c:v>0.97995991983968023</c:v>
                </c:pt>
                <c:pt idx="490">
                  <c:v>0.98196392785571229</c:v>
                </c:pt>
                <c:pt idx="491">
                  <c:v>0.98396793587174436</c:v>
                </c:pt>
                <c:pt idx="492">
                  <c:v>0.98597194388777643</c:v>
                </c:pt>
                <c:pt idx="493">
                  <c:v>0.98797595190380849</c:v>
                </c:pt>
                <c:pt idx="494">
                  <c:v>0.98997995991984056</c:v>
                </c:pt>
                <c:pt idx="495">
                  <c:v>0.99198396793587262</c:v>
                </c:pt>
                <c:pt idx="496">
                  <c:v>0.99398797595190469</c:v>
                </c:pt>
                <c:pt idx="497">
                  <c:v>0.99599198396793676</c:v>
                </c:pt>
                <c:pt idx="498">
                  <c:v>0.99799599198396882</c:v>
                </c:pt>
                <c:pt idx="499">
                  <c:v>1.0000000000000009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SimData!$U$1</c:f>
              <c:strCache>
                <c:ptCount val="1"/>
                <c:pt idx="0">
                  <c:v>NCI: 3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SimData!$U$2:$U$501</c:f>
              <c:numCache>
                <c:formatCode>General</c:formatCode>
                <c:ptCount val="500"/>
                <c:pt idx="0">
                  <c:v>-64.287174722939028</c:v>
                </c:pt>
                <c:pt idx="1">
                  <c:v>-63.631312546204327</c:v>
                </c:pt>
                <c:pt idx="2">
                  <c:v>-62.848857020502919</c:v>
                </c:pt>
                <c:pt idx="3">
                  <c:v>-48.853760798997683</c:v>
                </c:pt>
                <c:pt idx="4">
                  <c:v>-45.76671548956412</c:v>
                </c:pt>
                <c:pt idx="5">
                  <c:v>-43.843679914973308</c:v>
                </c:pt>
                <c:pt idx="6">
                  <c:v>-32.589361424627072</c:v>
                </c:pt>
                <c:pt idx="7">
                  <c:v>-28.61246386081487</c:v>
                </c:pt>
                <c:pt idx="8">
                  <c:v>-27.134048010923863</c:v>
                </c:pt>
                <c:pt idx="9">
                  <c:v>-22.460231957363362</c:v>
                </c:pt>
                <c:pt idx="10">
                  <c:v>-22.183818353488505</c:v>
                </c:pt>
                <c:pt idx="11">
                  <c:v>-21.661971522140789</c:v>
                </c:pt>
                <c:pt idx="12">
                  <c:v>-19.094340378518723</c:v>
                </c:pt>
                <c:pt idx="13">
                  <c:v>-18.64749878701133</c:v>
                </c:pt>
                <c:pt idx="14">
                  <c:v>-18.274688682553119</c:v>
                </c:pt>
                <c:pt idx="15">
                  <c:v>-17.582082448945357</c:v>
                </c:pt>
                <c:pt idx="16">
                  <c:v>-16.483223037891833</c:v>
                </c:pt>
                <c:pt idx="17">
                  <c:v>-16.25596154671922</c:v>
                </c:pt>
                <c:pt idx="18">
                  <c:v>-15.66459049267155</c:v>
                </c:pt>
                <c:pt idx="19">
                  <c:v>-14.468484517241222</c:v>
                </c:pt>
                <c:pt idx="20">
                  <c:v>-14.286566019667191</c:v>
                </c:pt>
                <c:pt idx="21">
                  <c:v>-14.022344173775934</c:v>
                </c:pt>
                <c:pt idx="22">
                  <c:v>-13.174048914870468</c:v>
                </c:pt>
                <c:pt idx="23">
                  <c:v>-12.242003209291966</c:v>
                </c:pt>
                <c:pt idx="24">
                  <c:v>-12.17847116465407</c:v>
                </c:pt>
                <c:pt idx="25">
                  <c:v>-11.967757885869219</c:v>
                </c:pt>
                <c:pt idx="26">
                  <c:v>-10.971016882855281</c:v>
                </c:pt>
                <c:pt idx="27">
                  <c:v>-9.9190363388776746</c:v>
                </c:pt>
                <c:pt idx="28">
                  <c:v>-9.4410924439216615</c:v>
                </c:pt>
                <c:pt idx="29">
                  <c:v>-8.9842750154335818</c:v>
                </c:pt>
                <c:pt idx="30">
                  <c:v>-8.8423552157674408</c:v>
                </c:pt>
                <c:pt idx="31">
                  <c:v>-8.0640609814917639</c:v>
                </c:pt>
                <c:pt idx="32">
                  <c:v>-7.6226689093970208</c:v>
                </c:pt>
                <c:pt idx="33">
                  <c:v>-7.5449446694228186</c:v>
                </c:pt>
                <c:pt idx="34">
                  <c:v>-7.2588272240315064</c:v>
                </c:pt>
                <c:pt idx="35">
                  <c:v>-6.4156179280179231</c:v>
                </c:pt>
                <c:pt idx="36">
                  <c:v>-6.0202939499225749</c:v>
                </c:pt>
                <c:pt idx="37">
                  <c:v>-5.7511731404493389</c:v>
                </c:pt>
                <c:pt idx="38">
                  <c:v>-5.526021573254468</c:v>
                </c:pt>
                <c:pt idx="39">
                  <c:v>-4.5220394127637746</c:v>
                </c:pt>
                <c:pt idx="40">
                  <c:v>-4.5014070155075387</c:v>
                </c:pt>
                <c:pt idx="41">
                  <c:v>-3.5843844127306852</c:v>
                </c:pt>
                <c:pt idx="42">
                  <c:v>-3.4216907074318783</c:v>
                </c:pt>
                <c:pt idx="43">
                  <c:v>-3.4184375250970902</c:v>
                </c:pt>
                <c:pt idx="44">
                  <c:v>-3.3211104351046856</c:v>
                </c:pt>
                <c:pt idx="45">
                  <c:v>-2.826724767898213</c:v>
                </c:pt>
                <c:pt idx="46">
                  <c:v>-1.6917233945683279</c:v>
                </c:pt>
                <c:pt idx="47">
                  <c:v>-1.1550395908759583</c:v>
                </c:pt>
                <c:pt idx="48">
                  <c:v>-1.0154213409812201</c:v>
                </c:pt>
                <c:pt idx="49">
                  <c:v>-0.96651395172170851</c:v>
                </c:pt>
                <c:pt idx="50">
                  <c:v>-0.33445612347355791</c:v>
                </c:pt>
                <c:pt idx="51">
                  <c:v>-0.20138934460152313</c:v>
                </c:pt>
                <c:pt idx="52">
                  <c:v>0.90002684424024437</c:v>
                </c:pt>
                <c:pt idx="53">
                  <c:v>1.4452528741441597</c:v>
                </c:pt>
                <c:pt idx="54">
                  <c:v>2.270720321365161</c:v>
                </c:pt>
                <c:pt idx="55">
                  <c:v>2.3236398355396091</c:v>
                </c:pt>
                <c:pt idx="56">
                  <c:v>2.7311047203930912</c:v>
                </c:pt>
                <c:pt idx="57">
                  <c:v>3.5776495653399252</c:v>
                </c:pt>
                <c:pt idx="58">
                  <c:v>4.4961608668502322</c:v>
                </c:pt>
                <c:pt idx="59">
                  <c:v>4.662402518134968</c:v>
                </c:pt>
                <c:pt idx="60">
                  <c:v>5.8198836091258386</c:v>
                </c:pt>
                <c:pt idx="61">
                  <c:v>6.8257274562478187</c:v>
                </c:pt>
                <c:pt idx="62">
                  <c:v>6.8372783712256364</c:v>
                </c:pt>
                <c:pt idx="63">
                  <c:v>7.4254748170616836</c:v>
                </c:pt>
                <c:pt idx="64">
                  <c:v>7.4306949762008117</c:v>
                </c:pt>
                <c:pt idx="65">
                  <c:v>7.8121789196883924</c:v>
                </c:pt>
                <c:pt idx="66">
                  <c:v>9.3673522516386925</c:v>
                </c:pt>
                <c:pt idx="67">
                  <c:v>10.734612239833666</c:v>
                </c:pt>
                <c:pt idx="68">
                  <c:v>12.145874183710646</c:v>
                </c:pt>
                <c:pt idx="69">
                  <c:v>12.671941677415646</c:v>
                </c:pt>
                <c:pt idx="70">
                  <c:v>12.995848595521352</c:v>
                </c:pt>
                <c:pt idx="71">
                  <c:v>13.123757285291163</c:v>
                </c:pt>
                <c:pt idx="72">
                  <c:v>13.981195788580294</c:v>
                </c:pt>
                <c:pt idx="73">
                  <c:v>14.492466050073006</c:v>
                </c:pt>
                <c:pt idx="74">
                  <c:v>15.106731009527607</c:v>
                </c:pt>
                <c:pt idx="75">
                  <c:v>15.351274199088323</c:v>
                </c:pt>
                <c:pt idx="76">
                  <c:v>15.506556509012057</c:v>
                </c:pt>
                <c:pt idx="77">
                  <c:v>15.61280256204941</c:v>
                </c:pt>
                <c:pt idx="78">
                  <c:v>16.325662213072235</c:v>
                </c:pt>
                <c:pt idx="79">
                  <c:v>16.668762443869127</c:v>
                </c:pt>
                <c:pt idx="80">
                  <c:v>16.879514757411698</c:v>
                </c:pt>
                <c:pt idx="81">
                  <c:v>17.012612835622406</c:v>
                </c:pt>
                <c:pt idx="82">
                  <c:v>17.231449359878923</c:v>
                </c:pt>
                <c:pt idx="83">
                  <c:v>17.493710161009687</c:v>
                </c:pt>
                <c:pt idx="84">
                  <c:v>17.499854022887234</c:v>
                </c:pt>
                <c:pt idx="85">
                  <c:v>17.520130901653715</c:v>
                </c:pt>
                <c:pt idx="86">
                  <c:v>17.753585444317366</c:v>
                </c:pt>
                <c:pt idx="87">
                  <c:v>17.828549790450666</c:v>
                </c:pt>
                <c:pt idx="88">
                  <c:v>17.893218004955315</c:v>
                </c:pt>
                <c:pt idx="89">
                  <c:v>17.960868127786341</c:v>
                </c:pt>
                <c:pt idx="90">
                  <c:v>18.018962374575835</c:v>
                </c:pt>
                <c:pt idx="91">
                  <c:v>18.082998350073922</c:v>
                </c:pt>
                <c:pt idx="92">
                  <c:v>18.620373845725339</c:v>
                </c:pt>
                <c:pt idx="93">
                  <c:v>18.638846924173663</c:v>
                </c:pt>
                <c:pt idx="94">
                  <c:v>19.381570185161991</c:v>
                </c:pt>
                <c:pt idx="95">
                  <c:v>19.384643968352407</c:v>
                </c:pt>
                <c:pt idx="96">
                  <c:v>19.74923307425496</c:v>
                </c:pt>
                <c:pt idx="97">
                  <c:v>19.779649847892983</c:v>
                </c:pt>
                <c:pt idx="98">
                  <c:v>20.215132848914038</c:v>
                </c:pt>
                <c:pt idx="99">
                  <c:v>20.683323226372011</c:v>
                </c:pt>
                <c:pt idx="100">
                  <c:v>20.865550592954719</c:v>
                </c:pt>
                <c:pt idx="101">
                  <c:v>21.585529413070674</c:v>
                </c:pt>
                <c:pt idx="102">
                  <c:v>21.841677372300012</c:v>
                </c:pt>
                <c:pt idx="103">
                  <c:v>22.948366587931446</c:v>
                </c:pt>
                <c:pt idx="104">
                  <c:v>23.273887288167714</c:v>
                </c:pt>
                <c:pt idx="105">
                  <c:v>23.529633020273195</c:v>
                </c:pt>
                <c:pt idx="106">
                  <c:v>23.841795938338805</c:v>
                </c:pt>
                <c:pt idx="107">
                  <c:v>24.116837318446073</c:v>
                </c:pt>
                <c:pt idx="108">
                  <c:v>24.455412731919296</c:v>
                </c:pt>
                <c:pt idx="109">
                  <c:v>25.3607428562255</c:v>
                </c:pt>
                <c:pt idx="110">
                  <c:v>25.889959948320836</c:v>
                </c:pt>
                <c:pt idx="111">
                  <c:v>26.764513779743709</c:v>
                </c:pt>
                <c:pt idx="112">
                  <c:v>27.159389332753449</c:v>
                </c:pt>
                <c:pt idx="113">
                  <c:v>27.392712672623759</c:v>
                </c:pt>
                <c:pt idx="114">
                  <c:v>27.423266780714528</c:v>
                </c:pt>
                <c:pt idx="115">
                  <c:v>27.640064158655434</c:v>
                </c:pt>
                <c:pt idx="116">
                  <c:v>27.830430737841539</c:v>
                </c:pt>
                <c:pt idx="117">
                  <c:v>28.459212470553666</c:v>
                </c:pt>
                <c:pt idx="118">
                  <c:v>28.766389127835907</c:v>
                </c:pt>
                <c:pt idx="119">
                  <c:v>28.767098400385521</c:v>
                </c:pt>
                <c:pt idx="120">
                  <c:v>28.973312854175958</c:v>
                </c:pt>
                <c:pt idx="121">
                  <c:v>29.251395786945636</c:v>
                </c:pt>
                <c:pt idx="122">
                  <c:v>29.426748902561656</c:v>
                </c:pt>
                <c:pt idx="123">
                  <c:v>29.456666022905438</c:v>
                </c:pt>
                <c:pt idx="124">
                  <c:v>29.814324556496558</c:v>
                </c:pt>
                <c:pt idx="125">
                  <c:v>30.582664240726672</c:v>
                </c:pt>
                <c:pt idx="126">
                  <c:v>30.9310331296154</c:v>
                </c:pt>
                <c:pt idx="127">
                  <c:v>30.977313850432381</c:v>
                </c:pt>
                <c:pt idx="128">
                  <c:v>31.135042154297196</c:v>
                </c:pt>
                <c:pt idx="129">
                  <c:v>31.428668715656556</c:v>
                </c:pt>
                <c:pt idx="130">
                  <c:v>31.815851441174857</c:v>
                </c:pt>
                <c:pt idx="131">
                  <c:v>31.926192147285462</c:v>
                </c:pt>
                <c:pt idx="132">
                  <c:v>32.195789015611581</c:v>
                </c:pt>
                <c:pt idx="133">
                  <c:v>33.171679610153205</c:v>
                </c:pt>
                <c:pt idx="134">
                  <c:v>33.448693792271683</c:v>
                </c:pt>
                <c:pt idx="135">
                  <c:v>33.982055808759299</c:v>
                </c:pt>
                <c:pt idx="136">
                  <c:v>34.003338225398068</c:v>
                </c:pt>
                <c:pt idx="137">
                  <c:v>34.003378234803165</c:v>
                </c:pt>
                <c:pt idx="138">
                  <c:v>34.005351298564619</c:v>
                </c:pt>
                <c:pt idx="139">
                  <c:v>34.071944066911499</c:v>
                </c:pt>
                <c:pt idx="140">
                  <c:v>34.095236473133298</c:v>
                </c:pt>
                <c:pt idx="141">
                  <c:v>34.468441694789874</c:v>
                </c:pt>
                <c:pt idx="142">
                  <c:v>34.57829668328344</c:v>
                </c:pt>
                <c:pt idx="143">
                  <c:v>35.147051222012465</c:v>
                </c:pt>
                <c:pt idx="144">
                  <c:v>35.150123523356172</c:v>
                </c:pt>
                <c:pt idx="145">
                  <c:v>35.654308550711278</c:v>
                </c:pt>
                <c:pt idx="146">
                  <c:v>36.303404690242076</c:v>
                </c:pt>
                <c:pt idx="147">
                  <c:v>36.535237515586232</c:v>
                </c:pt>
                <c:pt idx="148">
                  <c:v>36.746273765935882</c:v>
                </c:pt>
                <c:pt idx="149">
                  <c:v>36.870452847449371</c:v>
                </c:pt>
                <c:pt idx="150">
                  <c:v>37.220682181139864</c:v>
                </c:pt>
                <c:pt idx="151">
                  <c:v>37.415331043351671</c:v>
                </c:pt>
                <c:pt idx="152">
                  <c:v>37.675914446952959</c:v>
                </c:pt>
                <c:pt idx="153">
                  <c:v>37.711494039590889</c:v>
                </c:pt>
                <c:pt idx="154">
                  <c:v>37.718726653964325</c:v>
                </c:pt>
                <c:pt idx="155">
                  <c:v>37.953759461756647</c:v>
                </c:pt>
                <c:pt idx="156">
                  <c:v>38.312161392951907</c:v>
                </c:pt>
                <c:pt idx="157">
                  <c:v>38.325227614408732</c:v>
                </c:pt>
                <c:pt idx="158">
                  <c:v>38.330965194879866</c:v>
                </c:pt>
                <c:pt idx="159">
                  <c:v>38.359193617359324</c:v>
                </c:pt>
                <c:pt idx="160">
                  <c:v>38.654867014623846</c:v>
                </c:pt>
                <c:pt idx="161">
                  <c:v>38.710107388527433</c:v>
                </c:pt>
                <c:pt idx="162">
                  <c:v>39.408874282756699</c:v>
                </c:pt>
                <c:pt idx="163">
                  <c:v>39.617273945930322</c:v>
                </c:pt>
                <c:pt idx="164">
                  <c:v>39.794248983656587</c:v>
                </c:pt>
                <c:pt idx="165">
                  <c:v>39.820101158742546</c:v>
                </c:pt>
                <c:pt idx="166">
                  <c:v>40.060143678816019</c:v>
                </c:pt>
                <c:pt idx="167">
                  <c:v>40.266577473571942</c:v>
                </c:pt>
                <c:pt idx="168">
                  <c:v>40.733989382564914</c:v>
                </c:pt>
                <c:pt idx="169">
                  <c:v>41.802800268910403</c:v>
                </c:pt>
                <c:pt idx="170">
                  <c:v>42.02552172094363</c:v>
                </c:pt>
                <c:pt idx="171">
                  <c:v>42.624286352174806</c:v>
                </c:pt>
                <c:pt idx="172">
                  <c:v>42.649119115375186</c:v>
                </c:pt>
                <c:pt idx="173">
                  <c:v>43.044449135821708</c:v>
                </c:pt>
                <c:pt idx="174">
                  <c:v>43.134759489563862</c:v>
                </c:pt>
                <c:pt idx="175">
                  <c:v>43.341422983685561</c:v>
                </c:pt>
                <c:pt idx="176">
                  <c:v>43.606941004194141</c:v>
                </c:pt>
                <c:pt idx="177">
                  <c:v>43.675611727332011</c:v>
                </c:pt>
                <c:pt idx="178">
                  <c:v>44.204845350344669</c:v>
                </c:pt>
                <c:pt idx="179">
                  <c:v>44.519947351233554</c:v>
                </c:pt>
                <c:pt idx="180">
                  <c:v>44.580925272088052</c:v>
                </c:pt>
                <c:pt idx="181">
                  <c:v>44.867650962089726</c:v>
                </c:pt>
                <c:pt idx="182">
                  <c:v>45.786945771130831</c:v>
                </c:pt>
                <c:pt idx="183">
                  <c:v>46.430122457903337</c:v>
                </c:pt>
                <c:pt idx="184">
                  <c:v>46.802863822394386</c:v>
                </c:pt>
                <c:pt idx="185">
                  <c:v>46.882142830911903</c:v>
                </c:pt>
                <c:pt idx="186">
                  <c:v>47.005303772915966</c:v>
                </c:pt>
                <c:pt idx="187">
                  <c:v>47.584445812889953</c:v>
                </c:pt>
                <c:pt idx="188">
                  <c:v>47.601955537939546</c:v>
                </c:pt>
                <c:pt idx="189">
                  <c:v>47.632587476951073</c:v>
                </c:pt>
                <c:pt idx="190">
                  <c:v>47.876032045890042</c:v>
                </c:pt>
                <c:pt idx="191">
                  <c:v>47.949511241164998</c:v>
                </c:pt>
                <c:pt idx="192">
                  <c:v>47.954075651124697</c:v>
                </c:pt>
                <c:pt idx="193">
                  <c:v>48.024122097488316</c:v>
                </c:pt>
                <c:pt idx="194">
                  <c:v>48.359334930657383</c:v>
                </c:pt>
                <c:pt idx="195">
                  <c:v>48.48708859751838</c:v>
                </c:pt>
                <c:pt idx="196">
                  <c:v>48.951903567004024</c:v>
                </c:pt>
                <c:pt idx="197">
                  <c:v>49.082881213240057</c:v>
                </c:pt>
                <c:pt idx="198">
                  <c:v>49.127878401666578</c:v>
                </c:pt>
                <c:pt idx="199">
                  <c:v>49.129851859657833</c:v>
                </c:pt>
                <c:pt idx="200">
                  <c:v>49.504318807742209</c:v>
                </c:pt>
                <c:pt idx="201">
                  <c:v>49.989214567178465</c:v>
                </c:pt>
                <c:pt idx="202">
                  <c:v>50.264022736665197</c:v>
                </c:pt>
                <c:pt idx="203">
                  <c:v>50.337360903865886</c:v>
                </c:pt>
                <c:pt idx="204">
                  <c:v>50.472358050078242</c:v>
                </c:pt>
                <c:pt idx="205">
                  <c:v>50.649403565263299</c:v>
                </c:pt>
                <c:pt idx="206">
                  <c:v>50.821595627578802</c:v>
                </c:pt>
                <c:pt idx="207">
                  <c:v>50.87481823992772</c:v>
                </c:pt>
                <c:pt idx="208">
                  <c:v>51.030960370864875</c:v>
                </c:pt>
                <c:pt idx="209">
                  <c:v>51.168837295122387</c:v>
                </c:pt>
                <c:pt idx="210">
                  <c:v>51.341942195896252</c:v>
                </c:pt>
                <c:pt idx="211">
                  <c:v>51.655343040821833</c:v>
                </c:pt>
                <c:pt idx="212">
                  <c:v>51.718843286872755</c:v>
                </c:pt>
                <c:pt idx="213">
                  <c:v>51.771212361617927</c:v>
                </c:pt>
                <c:pt idx="214">
                  <c:v>51.929749654419993</c:v>
                </c:pt>
                <c:pt idx="215">
                  <c:v>52.118102263765081</c:v>
                </c:pt>
                <c:pt idx="216">
                  <c:v>52.353921684650402</c:v>
                </c:pt>
                <c:pt idx="217">
                  <c:v>52.696010786700583</c:v>
                </c:pt>
                <c:pt idx="218">
                  <c:v>52.696246830357552</c:v>
                </c:pt>
                <c:pt idx="219">
                  <c:v>52.935698491564665</c:v>
                </c:pt>
                <c:pt idx="220">
                  <c:v>52.948607788764548</c:v>
                </c:pt>
                <c:pt idx="221">
                  <c:v>52.953500195508923</c:v>
                </c:pt>
                <c:pt idx="222">
                  <c:v>53.068338727943399</c:v>
                </c:pt>
                <c:pt idx="223">
                  <c:v>53.12581280444158</c:v>
                </c:pt>
                <c:pt idx="224">
                  <c:v>53.294299933528862</c:v>
                </c:pt>
                <c:pt idx="225">
                  <c:v>53.38654622187579</c:v>
                </c:pt>
                <c:pt idx="226">
                  <c:v>53.576615409173769</c:v>
                </c:pt>
                <c:pt idx="227">
                  <c:v>53.771313733593104</c:v>
                </c:pt>
                <c:pt idx="228">
                  <c:v>53.851182448792031</c:v>
                </c:pt>
                <c:pt idx="229">
                  <c:v>54.282713831923331</c:v>
                </c:pt>
                <c:pt idx="230">
                  <c:v>54.496211799607352</c:v>
                </c:pt>
                <c:pt idx="231">
                  <c:v>54.526434646001007</c:v>
                </c:pt>
                <c:pt idx="232">
                  <c:v>54.532217145713332</c:v>
                </c:pt>
                <c:pt idx="233">
                  <c:v>54.587303759856297</c:v>
                </c:pt>
                <c:pt idx="234">
                  <c:v>54.610150490907813</c:v>
                </c:pt>
                <c:pt idx="235">
                  <c:v>55.098672843893894</c:v>
                </c:pt>
                <c:pt idx="236">
                  <c:v>55.154776811783677</c:v>
                </c:pt>
                <c:pt idx="237">
                  <c:v>55.320218546851265</c:v>
                </c:pt>
                <c:pt idx="238">
                  <c:v>55.421036253472323</c:v>
                </c:pt>
                <c:pt idx="239">
                  <c:v>55.490084908764288</c:v>
                </c:pt>
                <c:pt idx="240">
                  <c:v>55.693486588783969</c:v>
                </c:pt>
                <c:pt idx="241">
                  <c:v>55.866024685260754</c:v>
                </c:pt>
                <c:pt idx="242">
                  <c:v>56.080623355748969</c:v>
                </c:pt>
                <c:pt idx="243">
                  <c:v>56.088281997736999</c:v>
                </c:pt>
                <c:pt idx="244">
                  <c:v>56.410553703574692</c:v>
                </c:pt>
                <c:pt idx="245">
                  <c:v>56.616196796944166</c:v>
                </c:pt>
                <c:pt idx="246">
                  <c:v>56.80260958052412</c:v>
                </c:pt>
                <c:pt idx="247">
                  <c:v>56.807819664585224</c:v>
                </c:pt>
                <c:pt idx="248">
                  <c:v>57.06905096885373</c:v>
                </c:pt>
                <c:pt idx="249">
                  <c:v>57.24138212314358</c:v>
                </c:pt>
                <c:pt idx="250">
                  <c:v>57.416740712780495</c:v>
                </c:pt>
                <c:pt idx="251">
                  <c:v>57.862281638058107</c:v>
                </c:pt>
                <c:pt idx="252">
                  <c:v>58.050649414168333</c:v>
                </c:pt>
                <c:pt idx="253">
                  <c:v>58.195234561838106</c:v>
                </c:pt>
                <c:pt idx="254">
                  <c:v>58.52225327468625</c:v>
                </c:pt>
                <c:pt idx="255">
                  <c:v>58.657429778954679</c:v>
                </c:pt>
                <c:pt idx="256">
                  <c:v>58.670254725978054</c:v>
                </c:pt>
                <c:pt idx="257">
                  <c:v>58.755231856181695</c:v>
                </c:pt>
                <c:pt idx="258">
                  <c:v>58.837682827534024</c:v>
                </c:pt>
                <c:pt idx="259">
                  <c:v>58.929810254226595</c:v>
                </c:pt>
                <c:pt idx="260">
                  <c:v>59.117118092142221</c:v>
                </c:pt>
                <c:pt idx="261">
                  <c:v>59.200735679165689</c:v>
                </c:pt>
                <c:pt idx="262">
                  <c:v>59.278946765663932</c:v>
                </c:pt>
                <c:pt idx="263">
                  <c:v>59.323178336512115</c:v>
                </c:pt>
                <c:pt idx="264">
                  <c:v>59.364010575754037</c:v>
                </c:pt>
                <c:pt idx="265">
                  <c:v>59.447078482392726</c:v>
                </c:pt>
                <c:pt idx="266">
                  <c:v>59.769276942035162</c:v>
                </c:pt>
                <c:pt idx="267">
                  <c:v>59.790138437087762</c:v>
                </c:pt>
                <c:pt idx="268">
                  <c:v>60.531376183973464</c:v>
                </c:pt>
                <c:pt idx="269">
                  <c:v>60.760035600058075</c:v>
                </c:pt>
                <c:pt idx="270">
                  <c:v>60.856666900319397</c:v>
                </c:pt>
                <c:pt idx="271">
                  <c:v>60.886184494690838</c:v>
                </c:pt>
                <c:pt idx="272">
                  <c:v>60.951987871368317</c:v>
                </c:pt>
                <c:pt idx="273">
                  <c:v>60.966420130122799</c:v>
                </c:pt>
                <c:pt idx="274">
                  <c:v>61.307506772343061</c:v>
                </c:pt>
                <c:pt idx="275">
                  <c:v>61.535659693153605</c:v>
                </c:pt>
                <c:pt idx="276">
                  <c:v>61.831376591795333</c:v>
                </c:pt>
                <c:pt idx="277">
                  <c:v>61.874614580061234</c:v>
                </c:pt>
                <c:pt idx="278">
                  <c:v>62.005728541981227</c:v>
                </c:pt>
                <c:pt idx="279">
                  <c:v>62.018749792658355</c:v>
                </c:pt>
                <c:pt idx="280">
                  <c:v>62.042712097443143</c:v>
                </c:pt>
                <c:pt idx="281">
                  <c:v>62.075131531164629</c:v>
                </c:pt>
                <c:pt idx="282">
                  <c:v>62.479216568862341</c:v>
                </c:pt>
                <c:pt idx="283">
                  <c:v>62.556636953012912</c:v>
                </c:pt>
                <c:pt idx="284">
                  <c:v>62.666757449979912</c:v>
                </c:pt>
                <c:pt idx="285">
                  <c:v>63.025849243670052</c:v>
                </c:pt>
                <c:pt idx="286">
                  <c:v>63.256158217510233</c:v>
                </c:pt>
                <c:pt idx="287">
                  <c:v>63.47679313335766</c:v>
                </c:pt>
                <c:pt idx="288">
                  <c:v>63.594977316041764</c:v>
                </c:pt>
                <c:pt idx="289">
                  <c:v>63.598036162954884</c:v>
                </c:pt>
                <c:pt idx="290">
                  <c:v>63.604467831218358</c:v>
                </c:pt>
                <c:pt idx="291">
                  <c:v>63.654051370733896</c:v>
                </c:pt>
                <c:pt idx="292">
                  <c:v>63.659150474735668</c:v>
                </c:pt>
                <c:pt idx="293">
                  <c:v>63.709525366073308</c:v>
                </c:pt>
                <c:pt idx="294">
                  <c:v>63.839517148470179</c:v>
                </c:pt>
                <c:pt idx="295">
                  <c:v>64.250906701747056</c:v>
                </c:pt>
                <c:pt idx="296">
                  <c:v>64.306040815543099</c:v>
                </c:pt>
                <c:pt idx="297">
                  <c:v>64.474705523532521</c:v>
                </c:pt>
                <c:pt idx="298">
                  <c:v>64.694015118975017</c:v>
                </c:pt>
                <c:pt idx="299">
                  <c:v>64.789406701060727</c:v>
                </c:pt>
                <c:pt idx="300">
                  <c:v>64.804542089408756</c:v>
                </c:pt>
                <c:pt idx="301">
                  <c:v>64.872297101723518</c:v>
                </c:pt>
                <c:pt idx="302">
                  <c:v>64.899001404810974</c:v>
                </c:pt>
                <c:pt idx="303">
                  <c:v>65.007803831303875</c:v>
                </c:pt>
                <c:pt idx="304">
                  <c:v>65.26426065482093</c:v>
                </c:pt>
                <c:pt idx="305">
                  <c:v>65.470224692582008</c:v>
                </c:pt>
                <c:pt idx="306">
                  <c:v>65.593085480711693</c:v>
                </c:pt>
                <c:pt idx="307">
                  <c:v>65.621465680591086</c:v>
                </c:pt>
                <c:pt idx="308">
                  <c:v>65.62801809658572</c:v>
                </c:pt>
                <c:pt idx="309">
                  <c:v>66.884710510146192</c:v>
                </c:pt>
                <c:pt idx="310">
                  <c:v>66.97606892657717</c:v>
                </c:pt>
                <c:pt idx="311">
                  <c:v>67.153219692806431</c:v>
                </c:pt>
                <c:pt idx="312">
                  <c:v>67.317997315771947</c:v>
                </c:pt>
                <c:pt idx="313">
                  <c:v>67.54751314189366</c:v>
                </c:pt>
                <c:pt idx="314">
                  <c:v>67.750744720828266</c:v>
                </c:pt>
                <c:pt idx="315">
                  <c:v>68.092521577642742</c:v>
                </c:pt>
                <c:pt idx="316">
                  <c:v>68.248406496304142</c:v>
                </c:pt>
                <c:pt idx="317">
                  <c:v>68.384554312878095</c:v>
                </c:pt>
                <c:pt idx="318">
                  <c:v>68.43530657944109</c:v>
                </c:pt>
                <c:pt idx="319">
                  <c:v>68.603952171123922</c:v>
                </c:pt>
                <c:pt idx="320">
                  <c:v>68.639450446131264</c:v>
                </c:pt>
                <c:pt idx="321">
                  <c:v>68.651019281804679</c:v>
                </c:pt>
                <c:pt idx="322">
                  <c:v>68.816281850201847</c:v>
                </c:pt>
                <c:pt idx="323">
                  <c:v>68.944196678355297</c:v>
                </c:pt>
                <c:pt idx="324">
                  <c:v>69.471862291145328</c:v>
                </c:pt>
                <c:pt idx="325">
                  <c:v>69.482708111478132</c:v>
                </c:pt>
                <c:pt idx="326">
                  <c:v>69.482955672940818</c:v>
                </c:pt>
                <c:pt idx="327">
                  <c:v>69.525065889103018</c:v>
                </c:pt>
                <c:pt idx="328">
                  <c:v>69.725426313072887</c:v>
                </c:pt>
                <c:pt idx="329">
                  <c:v>70.133145495158146</c:v>
                </c:pt>
                <c:pt idx="330">
                  <c:v>70.319914453530373</c:v>
                </c:pt>
                <c:pt idx="331">
                  <c:v>70.357001946997343</c:v>
                </c:pt>
                <c:pt idx="332">
                  <c:v>71.240902191944883</c:v>
                </c:pt>
                <c:pt idx="333">
                  <c:v>71.538527527042163</c:v>
                </c:pt>
                <c:pt idx="334">
                  <c:v>71.674476374272842</c:v>
                </c:pt>
                <c:pt idx="335">
                  <c:v>71.737083017715008</c:v>
                </c:pt>
                <c:pt idx="336">
                  <c:v>71.760458921992267</c:v>
                </c:pt>
                <c:pt idx="337">
                  <c:v>71.783887419055873</c:v>
                </c:pt>
                <c:pt idx="338">
                  <c:v>71.885771385746011</c:v>
                </c:pt>
                <c:pt idx="339">
                  <c:v>72.577724809151732</c:v>
                </c:pt>
                <c:pt idx="340">
                  <c:v>72.714632258335939</c:v>
                </c:pt>
                <c:pt idx="341">
                  <c:v>72.744012773107954</c:v>
                </c:pt>
                <c:pt idx="342">
                  <c:v>73.056726947821176</c:v>
                </c:pt>
                <c:pt idx="343">
                  <c:v>73.136942653694234</c:v>
                </c:pt>
                <c:pt idx="344">
                  <c:v>73.363714476204109</c:v>
                </c:pt>
                <c:pt idx="345">
                  <c:v>73.579984977247648</c:v>
                </c:pt>
                <c:pt idx="346">
                  <c:v>74.099963598891293</c:v>
                </c:pt>
                <c:pt idx="347">
                  <c:v>74.548588597039384</c:v>
                </c:pt>
                <c:pt idx="348">
                  <c:v>74.6469700524014</c:v>
                </c:pt>
                <c:pt idx="349">
                  <c:v>74.759820801806086</c:v>
                </c:pt>
                <c:pt idx="350">
                  <c:v>75.275196354718616</c:v>
                </c:pt>
                <c:pt idx="351">
                  <c:v>75.999677687579208</c:v>
                </c:pt>
                <c:pt idx="352">
                  <c:v>76.127764178099369</c:v>
                </c:pt>
                <c:pt idx="353">
                  <c:v>76.181525068943188</c:v>
                </c:pt>
                <c:pt idx="354">
                  <c:v>76.248668000859141</c:v>
                </c:pt>
                <c:pt idx="355">
                  <c:v>76.573621705312803</c:v>
                </c:pt>
                <c:pt idx="356">
                  <c:v>76.718231897160877</c:v>
                </c:pt>
                <c:pt idx="357">
                  <c:v>76.829255734277467</c:v>
                </c:pt>
                <c:pt idx="358">
                  <c:v>76.99476458732596</c:v>
                </c:pt>
                <c:pt idx="359">
                  <c:v>76.996619866149445</c:v>
                </c:pt>
                <c:pt idx="360">
                  <c:v>77.468811970188767</c:v>
                </c:pt>
                <c:pt idx="361">
                  <c:v>77.519950203708845</c:v>
                </c:pt>
                <c:pt idx="362">
                  <c:v>77.68247709760368</c:v>
                </c:pt>
                <c:pt idx="363">
                  <c:v>77.747031860892946</c:v>
                </c:pt>
                <c:pt idx="364">
                  <c:v>78.016435653384292</c:v>
                </c:pt>
                <c:pt idx="365">
                  <c:v>78.409332589550445</c:v>
                </c:pt>
                <c:pt idx="366">
                  <c:v>78.718128244872787</c:v>
                </c:pt>
                <c:pt idx="367">
                  <c:v>79.067819619233376</c:v>
                </c:pt>
                <c:pt idx="368">
                  <c:v>79.16032703990561</c:v>
                </c:pt>
                <c:pt idx="369">
                  <c:v>79.36343357005461</c:v>
                </c:pt>
                <c:pt idx="370">
                  <c:v>79.404387700759514</c:v>
                </c:pt>
                <c:pt idx="371">
                  <c:v>80.116040230512851</c:v>
                </c:pt>
                <c:pt idx="372">
                  <c:v>80.193947028454545</c:v>
                </c:pt>
                <c:pt idx="373">
                  <c:v>80.214505216390307</c:v>
                </c:pt>
                <c:pt idx="374">
                  <c:v>80.585413797170645</c:v>
                </c:pt>
                <c:pt idx="375">
                  <c:v>81.325825032117848</c:v>
                </c:pt>
                <c:pt idx="376">
                  <c:v>81.821669776452495</c:v>
                </c:pt>
                <c:pt idx="377">
                  <c:v>82.51795240595834</c:v>
                </c:pt>
                <c:pt idx="378">
                  <c:v>84.249877877330732</c:v>
                </c:pt>
                <c:pt idx="379">
                  <c:v>84.261056584363132</c:v>
                </c:pt>
                <c:pt idx="380">
                  <c:v>85.470222306649418</c:v>
                </c:pt>
                <c:pt idx="381">
                  <c:v>86.219864717008306</c:v>
                </c:pt>
                <c:pt idx="382">
                  <c:v>86.448350762076075</c:v>
                </c:pt>
                <c:pt idx="383">
                  <c:v>86.572749098204952</c:v>
                </c:pt>
                <c:pt idx="384">
                  <c:v>86.791503771646489</c:v>
                </c:pt>
                <c:pt idx="385">
                  <c:v>86.875195226729943</c:v>
                </c:pt>
                <c:pt idx="386">
                  <c:v>87.346452390756667</c:v>
                </c:pt>
                <c:pt idx="387">
                  <c:v>87.549422570042452</c:v>
                </c:pt>
                <c:pt idx="388">
                  <c:v>88.120110800962209</c:v>
                </c:pt>
                <c:pt idx="389">
                  <c:v>88.749252405843038</c:v>
                </c:pt>
                <c:pt idx="390">
                  <c:v>89.341961241370939</c:v>
                </c:pt>
                <c:pt idx="391">
                  <c:v>89.676475127649894</c:v>
                </c:pt>
                <c:pt idx="392">
                  <c:v>90.570986142675508</c:v>
                </c:pt>
                <c:pt idx="393">
                  <c:v>90.858610436071501</c:v>
                </c:pt>
                <c:pt idx="394">
                  <c:v>90.902701224112036</c:v>
                </c:pt>
                <c:pt idx="395">
                  <c:v>90.933457046964918</c:v>
                </c:pt>
                <c:pt idx="396">
                  <c:v>91.127281363923998</c:v>
                </c:pt>
                <c:pt idx="397">
                  <c:v>91.415407910140345</c:v>
                </c:pt>
                <c:pt idx="398">
                  <c:v>91.453853540534567</c:v>
                </c:pt>
                <c:pt idx="399">
                  <c:v>91.624643871527155</c:v>
                </c:pt>
                <c:pt idx="400">
                  <c:v>91.858665262848831</c:v>
                </c:pt>
                <c:pt idx="401">
                  <c:v>91.999225439545512</c:v>
                </c:pt>
                <c:pt idx="402">
                  <c:v>92.142420183627962</c:v>
                </c:pt>
                <c:pt idx="403">
                  <c:v>92.763658230016404</c:v>
                </c:pt>
                <c:pt idx="404">
                  <c:v>93.046476334944373</c:v>
                </c:pt>
                <c:pt idx="405">
                  <c:v>93.760713752902859</c:v>
                </c:pt>
                <c:pt idx="406">
                  <c:v>93.801400298011345</c:v>
                </c:pt>
                <c:pt idx="407">
                  <c:v>94.961812267134917</c:v>
                </c:pt>
                <c:pt idx="408">
                  <c:v>95.853545489856288</c:v>
                </c:pt>
                <c:pt idx="409">
                  <c:v>95.90368154656818</c:v>
                </c:pt>
                <c:pt idx="410">
                  <c:v>97.173197757711478</c:v>
                </c:pt>
                <c:pt idx="411">
                  <c:v>98.150628935505893</c:v>
                </c:pt>
                <c:pt idx="412">
                  <c:v>98.175698627011343</c:v>
                </c:pt>
                <c:pt idx="413">
                  <c:v>98.760491407009226</c:v>
                </c:pt>
                <c:pt idx="414">
                  <c:v>100.07086300710671</c:v>
                </c:pt>
                <c:pt idx="415">
                  <c:v>100.09076776406221</c:v>
                </c:pt>
                <c:pt idx="416">
                  <c:v>100.45161974382887</c:v>
                </c:pt>
                <c:pt idx="417">
                  <c:v>101.34535114307647</c:v>
                </c:pt>
                <c:pt idx="418">
                  <c:v>101.67545430083959</c:v>
                </c:pt>
                <c:pt idx="419">
                  <c:v>101.8494371192246</c:v>
                </c:pt>
                <c:pt idx="420">
                  <c:v>101.89371909191163</c:v>
                </c:pt>
                <c:pt idx="421">
                  <c:v>102.4669329431764</c:v>
                </c:pt>
                <c:pt idx="422">
                  <c:v>103.03892463030451</c:v>
                </c:pt>
                <c:pt idx="423">
                  <c:v>103.20315422260103</c:v>
                </c:pt>
                <c:pt idx="424">
                  <c:v>103.44540092991105</c:v>
                </c:pt>
                <c:pt idx="425">
                  <c:v>103.45306073065007</c:v>
                </c:pt>
                <c:pt idx="426">
                  <c:v>103.51463134658536</c:v>
                </c:pt>
                <c:pt idx="427">
                  <c:v>103.80810462616222</c:v>
                </c:pt>
                <c:pt idx="428">
                  <c:v>104.24804747743184</c:v>
                </c:pt>
                <c:pt idx="429">
                  <c:v>104.68346370268648</c:v>
                </c:pt>
                <c:pt idx="430">
                  <c:v>104.97573264934636</c:v>
                </c:pt>
                <c:pt idx="431">
                  <c:v>105.47389176561711</c:v>
                </c:pt>
                <c:pt idx="432">
                  <c:v>105.48566044333796</c:v>
                </c:pt>
                <c:pt idx="433">
                  <c:v>107.310678268191</c:v>
                </c:pt>
                <c:pt idx="434">
                  <c:v>107.96773779999523</c:v>
                </c:pt>
                <c:pt idx="435">
                  <c:v>108.32779496106104</c:v>
                </c:pt>
                <c:pt idx="436">
                  <c:v>108.62105615693326</c:v>
                </c:pt>
                <c:pt idx="437">
                  <c:v>109.59857838990308</c:v>
                </c:pt>
                <c:pt idx="438">
                  <c:v>110.91273132968428</c:v>
                </c:pt>
                <c:pt idx="439">
                  <c:v>111.59235900088788</c:v>
                </c:pt>
                <c:pt idx="440">
                  <c:v>111.76618814889474</c:v>
                </c:pt>
                <c:pt idx="441">
                  <c:v>112.26474352769327</c:v>
                </c:pt>
                <c:pt idx="442">
                  <c:v>112.29199937486828</c:v>
                </c:pt>
                <c:pt idx="443">
                  <c:v>112.7416084582083</c:v>
                </c:pt>
                <c:pt idx="444">
                  <c:v>114.24591975266895</c:v>
                </c:pt>
                <c:pt idx="445">
                  <c:v>115.52595581044631</c:v>
                </c:pt>
                <c:pt idx="446">
                  <c:v>115.6859699628879</c:v>
                </c:pt>
                <c:pt idx="447">
                  <c:v>115.98923045574202</c:v>
                </c:pt>
                <c:pt idx="448">
                  <c:v>116.5277720015053</c:v>
                </c:pt>
                <c:pt idx="449">
                  <c:v>116.84690310596017</c:v>
                </c:pt>
                <c:pt idx="450">
                  <c:v>116.98995722386809</c:v>
                </c:pt>
                <c:pt idx="451">
                  <c:v>117.18885582611574</c:v>
                </c:pt>
                <c:pt idx="452">
                  <c:v>118.97296907820703</c:v>
                </c:pt>
                <c:pt idx="453">
                  <c:v>119.5829153816241</c:v>
                </c:pt>
                <c:pt idx="454">
                  <c:v>119.63631670187414</c:v>
                </c:pt>
                <c:pt idx="455">
                  <c:v>121.5001433458707</c:v>
                </c:pt>
                <c:pt idx="456">
                  <c:v>122.29268454585656</c:v>
                </c:pt>
                <c:pt idx="457">
                  <c:v>123.5120076128548</c:v>
                </c:pt>
                <c:pt idx="458">
                  <c:v>123.89386712704885</c:v>
                </c:pt>
                <c:pt idx="459">
                  <c:v>124.01638471675358</c:v>
                </c:pt>
                <c:pt idx="460">
                  <c:v>124.53107884676314</c:v>
                </c:pt>
                <c:pt idx="461">
                  <c:v>124.6429494973342</c:v>
                </c:pt>
                <c:pt idx="462">
                  <c:v>124.80004747459537</c:v>
                </c:pt>
                <c:pt idx="463">
                  <c:v>125.42263942240356</c:v>
                </c:pt>
                <c:pt idx="464">
                  <c:v>126.01464249419098</c:v>
                </c:pt>
                <c:pt idx="465">
                  <c:v>127.60009664072464</c:v>
                </c:pt>
                <c:pt idx="466">
                  <c:v>128.88248821430733</c:v>
                </c:pt>
                <c:pt idx="467">
                  <c:v>129.99895246447659</c:v>
                </c:pt>
                <c:pt idx="468">
                  <c:v>130.0958775169716</c:v>
                </c:pt>
                <c:pt idx="469">
                  <c:v>130.9387800930777</c:v>
                </c:pt>
                <c:pt idx="470">
                  <c:v>132.20713597799158</c:v>
                </c:pt>
                <c:pt idx="471">
                  <c:v>133.32817867440542</c:v>
                </c:pt>
                <c:pt idx="472">
                  <c:v>133.5548923482757</c:v>
                </c:pt>
                <c:pt idx="473">
                  <c:v>135.60502957899814</c:v>
                </c:pt>
                <c:pt idx="474">
                  <c:v>135.66849141603501</c:v>
                </c:pt>
                <c:pt idx="475">
                  <c:v>135.90102473271571</c:v>
                </c:pt>
                <c:pt idx="476">
                  <c:v>138.11406155196153</c:v>
                </c:pt>
                <c:pt idx="477">
                  <c:v>139.21759006922207</c:v>
                </c:pt>
                <c:pt idx="478">
                  <c:v>139.252748719321</c:v>
                </c:pt>
                <c:pt idx="479">
                  <c:v>140.48153276391099</c:v>
                </c:pt>
                <c:pt idx="480">
                  <c:v>140.84419878842209</c:v>
                </c:pt>
                <c:pt idx="481">
                  <c:v>143.19023240666445</c:v>
                </c:pt>
                <c:pt idx="482">
                  <c:v>143.48876960614695</c:v>
                </c:pt>
                <c:pt idx="483">
                  <c:v>144.57019943612045</c:v>
                </c:pt>
                <c:pt idx="484">
                  <c:v>144.93661323068523</c:v>
                </c:pt>
                <c:pt idx="485">
                  <c:v>145.76036196733094</c:v>
                </c:pt>
                <c:pt idx="486">
                  <c:v>145.82843335073227</c:v>
                </c:pt>
                <c:pt idx="487">
                  <c:v>145.86866142039059</c:v>
                </c:pt>
                <c:pt idx="488">
                  <c:v>146.05440172479615</c:v>
                </c:pt>
                <c:pt idx="489">
                  <c:v>147.53654823106484</c:v>
                </c:pt>
                <c:pt idx="490">
                  <c:v>148.46968216619501</c:v>
                </c:pt>
                <c:pt idx="491">
                  <c:v>154.76343005304273</c:v>
                </c:pt>
                <c:pt idx="492">
                  <c:v>156.00103978372886</c:v>
                </c:pt>
                <c:pt idx="493">
                  <c:v>163.72235258132025</c:v>
                </c:pt>
                <c:pt idx="494">
                  <c:v>164.4142729527818</c:v>
                </c:pt>
                <c:pt idx="495">
                  <c:v>167.75225824397444</c:v>
                </c:pt>
                <c:pt idx="496">
                  <c:v>169.83479268304529</c:v>
                </c:pt>
                <c:pt idx="497">
                  <c:v>174.18860502763079</c:v>
                </c:pt>
                <c:pt idx="498">
                  <c:v>182.09852188567618</c:v>
                </c:pt>
                <c:pt idx="499">
                  <c:v>188.44431236446036</c:v>
                </c:pt>
              </c:numCache>
            </c:numRef>
          </c:xVal>
          <c:yVal>
            <c:numRef>
              <c:f>SimData!$V$2:$V$501</c:f>
              <c:numCache>
                <c:formatCode>General</c:formatCode>
                <c:ptCount val="500"/>
                <c:pt idx="0">
                  <c:v>0</c:v>
                </c:pt>
                <c:pt idx="1">
                  <c:v>2.004008016032064E-3</c:v>
                </c:pt>
                <c:pt idx="2">
                  <c:v>4.0080160320641279E-3</c:v>
                </c:pt>
                <c:pt idx="3">
                  <c:v>6.0120240480961915E-3</c:v>
                </c:pt>
                <c:pt idx="4">
                  <c:v>8.0160320641282558E-3</c:v>
                </c:pt>
                <c:pt idx="5">
                  <c:v>1.002004008016032E-2</c:v>
                </c:pt>
                <c:pt idx="6">
                  <c:v>1.2024048096192385E-2</c:v>
                </c:pt>
                <c:pt idx="7">
                  <c:v>1.4028056112224449E-2</c:v>
                </c:pt>
                <c:pt idx="8">
                  <c:v>1.6032064128256512E-2</c:v>
                </c:pt>
                <c:pt idx="9">
                  <c:v>1.8036072144288574E-2</c:v>
                </c:pt>
                <c:pt idx="10">
                  <c:v>2.0040080160320637E-2</c:v>
                </c:pt>
                <c:pt idx="11">
                  <c:v>2.20440881763527E-2</c:v>
                </c:pt>
                <c:pt idx="12">
                  <c:v>2.4048096192384762E-2</c:v>
                </c:pt>
                <c:pt idx="13">
                  <c:v>2.6052104208416825E-2</c:v>
                </c:pt>
                <c:pt idx="14">
                  <c:v>2.8056112224448888E-2</c:v>
                </c:pt>
                <c:pt idx="15">
                  <c:v>3.006012024048095E-2</c:v>
                </c:pt>
                <c:pt idx="16">
                  <c:v>3.2064128256513016E-2</c:v>
                </c:pt>
                <c:pt idx="17">
                  <c:v>3.4068136272545083E-2</c:v>
                </c:pt>
                <c:pt idx="18">
                  <c:v>3.6072144288577149E-2</c:v>
                </c:pt>
                <c:pt idx="19">
                  <c:v>3.8076152304609215E-2</c:v>
                </c:pt>
                <c:pt idx="20">
                  <c:v>4.0080160320641281E-2</c:v>
                </c:pt>
                <c:pt idx="21">
                  <c:v>4.2084168336673347E-2</c:v>
                </c:pt>
                <c:pt idx="22">
                  <c:v>4.4088176352705413E-2</c:v>
                </c:pt>
                <c:pt idx="23">
                  <c:v>4.6092184368737479E-2</c:v>
                </c:pt>
                <c:pt idx="24">
                  <c:v>4.8096192384769546E-2</c:v>
                </c:pt>
                <c:pt idx="25">
                  <c:v>5.0100200400801612E-2</c:v>
                </c:pt>
                <c:pt idx="26">
                  <c:v>5.2104208416833678E-2</c:v>
                </c:pt>
                <c:pt idx="27">
                  <c:v>5.4108216432865744E-2</c:v>
                </c:pt>
                <c:pt idx="28">
                  <c:v>5.611222444889781E-2</c:v>
                </c:pt>
                <c:pt idx="29">
                  <c:v>5.8116232464929876E-2</c:v>
                </c:pt>
                <c:pt idx="30">
                  <c:v>6.0120240480961942E-2</c:v>
                </c:pt>
                <c:pt idx="31">
                  <c:v>6.2124248496994008E-2</c:v>
                </c:pt>
                <c:pt idx="32">
                  <c:v>6.4128256513026075E-2</c:v>
                </c:pt>
                <c:pt idx="33">
                  <c:v>6.6132264529058141E-2</c:v>
                </c:pt>
                <c:pt idx="34">
                  <c:v>6.8136272545090207E-2</c:v>
                </c:pt>
                <c:pt idx="35">
                  <c:v>7.0140280561122273E-2</c:v>
                </c:pt>
                <c:pt idx="36">
                  <c:v>7.2144288577154339E-2</c:v>
                </c:pt>
                <c:pt idx="37">
                  <c:v>7.4148296593186405E-2</c:v>
                </c:pt>
                <c:pt idx="38">
                  <c:v>7.6152304609218471E-2</c:v>
                </c:pt>
                <c:pt idx="39">
                  <c:v>7.8156312625250537E-2</c:v>
                </c:pt>
                <c:pt idx="40">
                  <c:v>8.0160320641282604E-2</c:v>
                </c:pt>
                <c:pt idx="41">
                  <c:v>8.216432865731467E-2</c:v>
                </c:pt>
                <c:pt idx="42">
                  <c:v>8.4168336673346736E-2</c:v>
                </c:pt>
                <c:pt idx="43">
                  <c:v>8.6172344689378802E-2</c:v>
                </c:pt>
                <c:pt idx="44">
                  <c:v>8.8176352705410868E-2</c:v>
                </c:pt>
                <c:pt idx="45">
                  <c:v>9.0180360721442934E-2</c:v>
                </c:pt>
                <c:pt idx="46">
                  <c:v>9.2184368737475E-2</c:v>
                </c:pt>
                <c:pt idx="47">
                  <c:v>9.4188376753507067E-2</c:v>
                </c:pt>
                <c:pt idx="48">
                  <c:v>9.6192384769539133E-2</c:v>
                </c:pt>
                <c:pt idx="49">
                  <c:v>9.8196392785571199E-2</c:v>
                </c:pt>
                <c:pt idx="50">
                  <c:v>0.10020040080160326</c:v>
                </c:pt>
                <c:pt idx="51">
                  <c:v>0.10220440881763533</c:v>
                </c:pt>
                <c:pt idx="52">
                  <c:v>0.1042084168336674</c:v>
                </c:pt>
                <c:pt idx="53">
                  <c:v>0.10621242484969946</c:v>
                </c:pt>
                <c:pt idx="54">
                  <c:v>0.10821643286573153</c:v>
                </c:pt>
                <c:pt idx="55">
                  <c:v>0.1102204408817636</c:v>
                </c:pt>
                <c:pt idx="56">
                  <c:v>0.11222444889779566</c:v>
                </c:pt>
                <c:pt idx="57">
                  <c:v>0.11422845691382773</c:v>
                </c:pt>
                <c:pt idx="58">
                  <c:v>0.11623246492985979</c:v>
                </c:pt>
                <c:pt idx="59">
                  <c:v>0.11823647294589186</c:v>
                </c:pt>
                <c:pt idx="60">
                  <c:v>0.12024048096192393</c:v>
                </c:pt>
                <c:pt idx="61">
                  <c:v>0.12224448897795599</c:v>
                </c:pt>
                <c:pt idx="62">
                  <c:v>0.12424849699398806</c:v>
                </c:pt>
                <c:pt idx="63">
                  <c:v>0.12625250501002011</c:v>
                </c:pt>
                <c:pt idx="64">
                  <c:v>0.12825651302605218</c:v>
                </c:pt>
                <c:pt idx="65">
                  <c:v>0.13026052104208424</c:v>
                </c:pt>
                <c:pt idx="66">
                  <c:v>0.13226452905811631</c:v>
                </c:pt>
                <c:pt idx="67">
                  <c:v>0.13426853707414838</c:v>
                </c:pt>
                <c:pt idx="68">
                  <c:v>0.13627254509018044</c:v>
                </c:pt>
                <c:pt idx="69">
                  <c:v>0.13827655310621251</c:v>
                </c:pt>
                <c:pt idx="70">
                  <c:v>0.14028056112224457</c:v>
                </c:pt>
                <c:pt idx="71">
                  <c:v>0.14228456913827664</c:v>
                </c:pt>
                <c:pt idx="72">
                  <c:v>0.14428857715430871</c:v>
                </c:pt>
                <c:pt idx="73">
                  <c:v>0.14629258517034077</c:v>
                </c:pt>
                <c:pt idx="74">
                  <c:v>0.14829659318637284</c:v>
                </c:pt>
                <c:pt idx="75">
                  <c:v>0.1503006012024049</c:v>
                </c:pt>
                <c:pt idx="76">
                  <c:v>0.15230460921843697</c:v>
                </c:pt>
                <c:pt idx="77">
                  <c:v>0.15430861723446904</c:v>
                </c:pt>
                <c:pt idx="78">
                  <c:v>0.1563126252505011</c:v>
                </c:pt>
                <c:pt idx="79">
                  <c:v>0.15831663326653317</c:v>
                </c:pt>
                <c:pt idx="80">
                  <c:v>0.16032064128256523</c:v>
                </c:pt>
                <c:pt idx="81">
                  <c:v>0.1623246492985973</c:v>
                </c:pt>
                <c:pt idx="82">
                  <c:v>0.16432865731462937</c:v>
                </c:pt>
                <c:pt idx="83">
                  <c:v>0.16633266533066143</c:v>
                </c:pt>
                <c:pt idx="84">
                  <c:v>0.1683366733466935</c:v>
                </c:pt>
                <c:pt idx="85">
                  <c:v>0.17034068136272557</c:v>
                </c:pt>
                <c:pt idx="86">
                  <c:v>0.17234468937875763</c:v>
                </c:pt>
                <c:pt idx="87">
                  <c:v>0.1743486973947897</c:v>
                </c:pt>
                <c:pt idx="88">
                  <c:v>0.17635270541082176</c:v>
                </c:pt>
                <c:pt idx="89">
                  <c:v>0.17835671342685383</c:v>
                </c:pt>
                <c:pt idx="90">
                  <c:v>0.1803607214428859</c:v>
                </c:pt>
                <c:pt idx="91">
                  <c:v>0.18236472945891796</c:v>
                </c:pt>
                <c:pt idx="92">
                  <c:v>0.18436873747495003</c:v>
                </c:pt>
                <c:pt idx="93">
                  <c:v>0.18637274549098209</c:v>
                </c:pt>
                <c:pt idx="94">
                  <c:v>0.18837675350701416</c:v>
                </c:pt>
                <c:pt idx="95">
                  <c:v>0.19038076152304623</c:v>
                </c:pt>
                <c:pt idx="96">
                  <c:v>0.19238476953907829</c:v>
                </c:pt>
                <c:pt idx="97">
                  <c:v>0.19438877755511036</c:v>
                </c:pt>
                <c:pt idx="98">
                  <c:v>0.19639278557114243</c:v>
                </c:pt>
                <c:pt idx="99">
                  <c:v>0.19839679358717449</c:v>
                </c:pt>
                <c:pt idx="100">
                  <c:v>0.20040080160320656</c:v>
                </c:pt>
                <c:pt idx="101">
                  <c:v>0.20240480961923862</c:v>
                </c:pt>
                <c:pt idx="102">
                  <c:v>0.20440881763527069</c:v>
                </c:pt>
                <c:pt idx="103">
                  <c:v>0.20641282565130276</c:v>
                </c:pt>
                <c:pt idx="104">
                  <c:v>0.20841683366733482</c:v>
                </c:pt>
                <c:pt idx="105">
                  <c:v>0.21042084168336689</c:v>
                </c:pt>
                <c:pt idx="106">
                  <c:v>0.21242484969939895</c:v>
                </c:pt>
                <c:pt idx="107">
                  <c:v>0.21442885771543102</c:v>
                </c:pt>
                <c:pt idx="108">
                  <c:v>0.21643286573146309</c:v>
                </c:pt>
                <c:pt idx="109">
                  <c:v>0.21843687374749515</c:v>
                </c:pt>
                <c:pt idx="110">
                  <c:v>0.22044088176352722</c:v>
                </c:pt>
                <c:pt idx="111">
                  <c:v>0.22244488977955928</c:v>
                </c:pt>
                <c:pt idx="112">
                  <c:v>0.22444889779559135</c:v>
                </c:pt>
                <c:pt idx="113">
                  <c:v>0.22645290581162342</c:v>
                </c:pt>
                <c:pt idx="114">
                  <c:v>0.22845691382765548</c:v>
                </c:pt>
                <c:pt idx="115">
                  <c:v>0.23046092184368755</c:v>
                </c:pt>
                <c:pt idx="116">
                  <c:v>0.23246492985971962</c:v>
                </c:pt>
                <c:pt idx="117">
                  <c:v>0.23446893787575168</c:v>
                </c:pt>
                <c:pt idx="118">
                  <c:v>0.23647294589178375</c:v>
                </c:pt>
                <c:pt idx="119">
                  <c:v>0.23847695390781581</c:v>
                </c:pt>
                <c:pt idx="120">
                  <c:v>0.24048096192384788</c:v>
                </c:pt>
                <c:pt idx="121">
                  <c:v>0.24248496993987995</c:v>
                </c:pt>
                <c:pt idx="122">
                  <c:v>0.24448897795591201</c:v>
                </c:pt>
                <c:pt idx="123">
                  <c:v>0.24649298597194408</c:v>
                </c:pt>
                <c:pt idx="124">
                  <c:v>0.24849699398797614</c:v>
                </c:pt>
                <c:pt idx="125">
                  <c:v>0.25050100200400821</c:v>
                </c:pt>
                <c:pt idx="126">
                  <c:v>0.25250501002004028</c:v>
                </c:pt>
                <c:pt idx="127">
                  <c:v>0.25450901803607234</c:v>
                </c:pt>
                <c:pt idx="128">
                  <c:v>0.25651302605210441</c:v>
                </c:pt>
                <c:pt idx="129">
                  <c:v>0.25851703406813648</c:v>
                </c:pt>
                <c:pt idx="130">
                  <c:v>0.26052104208416854</c:v>
                </c:pt>
                <c:pt idx="131">
                  <c:v>0.26252505010020061</c:v>
                </c:pt>
                <c:pt idx="132">
                  <c:v>0.26452905811623267</c:v>
                </c:pt>
                <c:pt idx="133">
                  <c:v>0.26653306613226474</c:v>
                </c:pt>
                <c:pt idx="134">
                  <c:v>0.26853707414829681</c:v>
                </c:pt>
                <c:pt idx="135">
                  <c:v>0.27054108216432887</c:v>
                </c:pt>
                <c:pt idx="136">
                  <c:v>0.27254509018036094</c:v>
                </c:pt>
                <c:pt idx="137">
                  <c:v>0.274549098196393</c:v>
                </c:pt>
                <c:pt idx="138">
                  <c:v>0.27655310621242507</c:v>
                </c:pt>
                <c:pt idx="139">
                  <c:v>0.27855711422845714</c:v>
                </c:pt>
                <c:pt idx="140">
                  <c:v>0.2805611222444892</c:v>
                </c:pt>
                <c:pt idx="141">
                  <c:v>0.28256513026052127</c:v>
                </c:pt>
                <c:pt idx="142">
                  <c:v>0.28456913827655334</c:v>
                </c:pt>
                <c:pt idx="143">
                  <c:v>0.2865731462925854</c:v>
                </c:pt>
                <c:pt idx="144">
                  <c:v>0.28857715430861747</c:v>
                </c:pt>
                <c:pt idx="145">
                  <c:v>0.29058116232464953</c:v>
                </c:pt>
                <c:pt idx="146">
                  <c:v>0.2925851703406816</c:v>
                </c:pt>
                <c:pt idx="147">
                  <c:v>0.29458917835671367</c:v>
                </c:pt>
                <c:pt idx="148">
                  <c:v>0.29659318637274573</c:v>
                </c:pt>
                <c:pt idx="149">
                  <c:v>0.2985971943887778</c:v>
                </c:pt>
                <c:pt idx="150">
                  <c:v>0.30060120240480986</c:v>
                </c:pt>
                <c:pt idx="151">
                  <c:v>0.30260521042084193</c:v>
                </c:pt>
                <c:pt idx="152">
                  <c:v>0.304609218436874</c:v>
                </c:pt>
                <c:pt idx="153">
                  <c:v>0.30661322645290606</c:v>
                </c:pt>
                <c:pt idx="154">
                  <c:v>0.30861723446893813</c:v>
                </c:pt>
                <c:pt idx="155">
                  <c:v>0.31062124248497019</c:v>
                </c:pt>
                <c:pt idx="156">
                  <c:v>0.31262525050100226</c:v>
                </c:pt>
                <c:pt idx="157">
                  <c:v>0.31462925851703433</c:v>
                </c:pt>
                <c:pt idx="158">
                  <c:v>0.31663326653306639</c:v>
                </c:pt>
                <c:pt idx="159">
                  <c:v>0.31863727454909846</c:v>
                </c:pt>
                <c:pt idx="160">
                  <c:v>0.32064128256513053</c:v>
                </c:pt>
                <c:pt idx="161">
                  <c:v>0.32264529058116259</c:v>
                </c:pt>
                <c:pt idx="162">
                  <c:v>0.32464929859719466</c:v>
                </c:pt>
                <c:pt idx="163">
                  <c:v>0.32665330661322672</c:v>
                </c:pt>
                <c:pt idx="164">
                  <c:v>0.32865731462925879</c:v>
                </c:pt>
                <c:pt idx="165">
                  <c:v>0.33066132264529086</c:v>
                </c:pt>
                <c:pt idx="166">
                  <c:v>0.33266533066132292</c:v>
                </c:pt>
                <c:pt idx="167">
                  <c:v>0.33466933867735499</c:v>
                </c:pt>
                <c:pt idx="168">
                  <c:v>0.33667334669338705</c:v>
                </c:pt>
                <c:pt idx="169">
                  <c:v>0.33867735470941912</c:v>
                </c:pt>
                <c:pt idx="170">
                  <c:v>0.34068136272545119</c:v>
                </c:pt>
                <c:pt idx="171">
                  <c:v>0.34268537074148325</c:v>
                </c:pt>
                <c:pt idx="172">
                  <c:v>0.34468937875751532</c:v>
                </c:pt>
                <c:pt idx="173">
                  <c:v>0.34669338677354739</c:v>
                </c:pt>
                <c:pt idx="174">
                  <c:v>0.34869739478957945</c:v>
                </c:pt>
                <c:pt idx="175">
                  <c:v>0.35070140280561152</c:v>
                </c:pt>
                <c:pt idx="176">
                  <c:v>0.35270541082164358</c:v>
                </c:pt>
                <c:pt idx="177">
                  <c:v>0.35470941883767565</c:v>
                </c:pt>
                <c:pt idx="178">
                  <c:v>0.35671342685370772</c:v>
                </c:pt>
                <c:pt idx="179">
                  <c:v>0.35871743486973978</c:v>
                </c:pt>
                <c:pt idx="180">
                  <c:v>0.36072144288577185</c:v>
                </c:pt>
                <c:pt idx="181">
                  <c:v>0.36272545090180391</c:v>
                </c:pt>
                <c:pt idx="182">
                  <c:v>0.36472945891783598</c:v>
                </c:pt>
                <c:pt idx="183">
                  <c:v>0.36673346693386805</c:v>
                </c:pt>
                <c:pt idx="184">
                  <c:v>0.36873747494990011</c:v>
                </c:pt>
                <c:pt idx="185">
                  <c:v>0.37074148296593218</c:v>
                </c:pt>
                <c:pt idx="186">
                  <c:v>0.37274549098196424</c:v>
                </c:pt>
                <c:pt idx="187">
                  <c:v>0.37474949899799631</c:v>
                </c:pt>
                <c:pt idx="188">
                  <c:v>0.37675350701402838</c:v>
                </c:pt>
                <c:pt idx="189">
                  <c:v>0.37875751503006044</c:v>
                </c:pt>
                <c:pt idx="190">
                  <c:v>0.38076152304609251</c:v>
                </c:pt>
                <c:pt idx="191">
                  <c:v>0.38276553106212458</c:v>
                </c:pt>
                <c:pt idx="192">
                  <c:v>0.38476953907815664</c:v>
                </c:pt>
                <c:pt idx="193">
                  <c:v>0.38677354709418871</c:v>
                </c:pt>
                <c:pt idx="194">
                  <c:v>0.38877755511022077</c:v>
                </c:pt>
                <c:pt idx="195">
                  <c:v>0.39078156312625284</c:v>
                </c:pt>
                <c:pt idx="196">
                  <c:v>0.39278557114228491</c:v>
                </c:pt>
                <c:pt idx="197">
                  <c:v>0.39478957915831697</c:v>
                </c:pt>
                <c:pt idx="198">
                  <c:v>0.39679358717434904</c:v>
                </c:pt>
                <c:pt idx="199">
                  <c:v>0.3987975951903811</c:v>
                </c:pt>
                <c:pt idx="200">
                  <c:v>0.40080160320641317</c:v>
                </c:pt>
                <c:pt idx="201">
                  <c:v>0.40280561122244524</c:v>
                </c:pt>
                <c:pt idx="202">
                  <c:v>0.4048096192384773</c:v>
                </c:pt>
                <c:pt idx="203">
                  <c:v>0.40681362725450937</c:v>
                </c:pt>
                <c:pt idx="204">
                  <c:v>0.40881763527054144</c:v>
                </c:pt>
                <c:pt idx="205">
                  <c:v>0.4108216432865735</c:v>
                </c:pt>
                <c:pt idx="206">
                  <c:v>0.41282565130260557</c:v>
                </c:pt>
                <c:pt idx="207">
                  <c:v>0.41482965931863763</c:v>
                </c:pt>
                <c:pt idx="208">
                  <c:v>0.4168336673346697</c:v>
                </c:pt>
                <c:pt idx="209">
                  <c:v>0.41883767535070177</c:v>
                </c:pt>
                <c:pt idx="210">
                  <c:v>0.42084168336673383</c:v>
                </c:pt>
                <c:pt idx="211">
                  <c:v>0.4228456913827659</c:v>
                </c:pt>
                <c:pt idx="212">
                  <c:v>0.42484969939879796</c:v>
                </c:pt>
                <c:pt idx="213">
                  <c:v>0.42685370741483003</c:v>
                </c:pt>
                <c:pt idx="214">
                  <c:v>0.4288577154308621</c:v>
                </c:pt>
                <c:pt idx="215">
                  <c:v>0.43086172344689416</c:v>
                </c:pt>
                <c:pt idx="216">
                  <c:v>0.43286573146292623</c:v>
                </c:pt>
                <c:pt idx="217">
                  <c:v>0.43486973947895829</c:v>
                </c:pt>
                <c:pt idx="218">
                  <c:v>0.43687374749499036</c:v>
                </c:pt>
                <c:pt idx="219">
                  <c:v>0.43887775551102243</c:v>
                </c:pt>
                <c:pt idx="220">
                  <c:v>0.44088176352705449</c:v>
                </c:pt>
                <c:pt idx="221">
                  <c:v>0.44288577154308656</c:v>
                </c:pt>
                <c:pt idx="222">
                  <c:v>0.44488977955911863</c:v>
                </c:pt>
                <c:pt idx="223">
                  <c:v>0.44689378757515069</c:v>
                </c:pt>
                <c:pt idx="224">
                  <c:v>0.44889779559118276</c:v>
                </c:pt>
                <c:pt idx="225">
                  <c:v>0.45090180360721482</c:v>
                </c:pt>
                <c:pt idx="226">
                  <c:v>0.45290581162324689</c:v>
                </c:pt>
                <c:pt idx="227">
                  <c:v>0.45490981963927896</c:v>
                </c:pt>
                <c:pt idx="228">
                  <c:v>0.45691382765531102</c:v>
                </c:pt>
                <c:pt idx="229">
                  <c:v>0.45891783567134309</c:v>
                </c:pt>
                <c:pt idx="230">
                  <c:v>0.46092184368737515</c:v>
                </c:pt>
                <c:pt idx="231">
                  <c:v>0.46292585170340722</c:v>
                </c:pt>
                <c:pt idx="232">
                  <c:v>0.46492985971943929</c:v>
                </c:pt>
                <c:pt idx="233">
                  <c:v>0.46693386773547135</c:v>
                </c:pt>
                <c:pt idx="234">
                  <c:v>0.46893787575150342</c:v>
                </c:pt>
                <c:pt idx="235">
                  <c:v>0.47094188376753549</c:v>
                </c:pt>
                <c:pt idx="236">
                  <c:v>0.47294589178356755</c:v>
                </c:pt>
                <c:pt idx="237">
                  <c:v>0.47494989979959962</c:v>
                </c:pt>
                <c:pt idx="238">
                  <c:v>0.47695390781563168</c:v>
                </c:pt>
                <c:pt idx="239">
                  <c:v>0.47895791583166375</c:v>
                </c:pt>
                <c:pt idx="240">
                  <c:v>0.48096192384769582</c:v>
                </c:pt>
                <c:pt idx="241">
                  <c:v>0.48296593186372788</c:v>
                </c:pt>
                <c:pt idx="242">
                  <c:v>0.48496993987975995</c:v>
                </c:pt>
                <c:pt idx="243">
                  <c:v>0.48697394789579201</c:v>
                </c:pt>
                <c:pt idx="244">
                  <c:v>0.48897795591182408</c:v>
                </c:pt>
                <c:pt idx="245">
                  <c:v>0.49098196392785615</c:v>
                </c:pt>
                <c:pt idx="246">
                  <c:v>0.49298597194388821</c:v>
                </c:pt>
                <c:pt idx="247">
                  <c:v>0.49498997995992028</c:v>
                </c:pt>
                <c:pt idx="248">
                  <c:v>0.49699398797595234</c:v>
                </c:pt>
                <c:pt idx="249">
                  <c:v>0.49899799599198441</c:v>
                </c:pt>
                <c:pt idx="250">
                  <c:v>0.50100200400801642</c:v>
                </c:pt>
                <c:pt idx="251">
                  <c:v>0.50300601202404849</c:v>
                </c:pt>
                <c:pt idx="252">
                  <c:v>0.50501002004008055</c:v>
                </c:pt>
                <c:pt idx="253">
                  <c:v>0.50701402805611262</c:v>
                </c:pt>
                <c:pt idx="254">
                  <c:v>0.50901803607214469</c:v>
                </c:pt>
                <c:pt idx="255">
                  <c:v>0.51102204408817675</c:v>
                </c:pt>
                <c:pt idx="256">
                  <c:v>0.51302605210420882</c:v>
                </c:pt>
                <c:pt idx="257">
                  <c:v>0.51503006012024088</c:v>
                </c:pt>
                <c:pt idx="258">
                  <c:v>0.51703406813627295</c:v>
                </c:pt>
                <c:pt idx="259">
                  <c:v>0.51903807615230502</c:v>
                </c:pt>
                <c:pt idx="260">
                  <c:v>0.52104208416833708</c:v>
                </c:pt>
                <c:pt idx="261">
                  <c:v>0.52304609218436915</c:v>
                </c:pt>
                <c:pt idx="262">
                  <c:v>0.52505010020040122</c:v>
                </c:pt>
                <c:pt idx="263">
                  <c:v>0.52705410821643328</c:v>
                </c:pt>
                <c:pt idx="264">
                  <c:v>0.52905811623246535</c:v>
                </c:pt>
                <c:pt idx="265">
                  <c:v>0.53106212424849741</c:v>
                </c:pt>
                <c:pt idx="266">
                  <c:v>0.53306613226452948</c:v>
                </c:pt>
                <c:pt idx="267">
                  <c:v>0.53507014028056155</c:v>
                </c:pt>
                <c:pt idx="268">
                  <c:v>0.53707414829659361</c:v>
                </c:pt>
                <c:pt idx="269">
                  <c:v>0.53907815631262568</c:v>
                </c:pt>
                <c:pt idx="270">
                  <c:v>0.54108216432865774</c:v>
                </c:pt>
                <c:pt idx="271">
                  <c:v>0.54308617234468981</c:v>
                </c:pt>
                <c:pt idx="272">
                  <c:v>0.54509018036072188</c:v>
                </c:pt>
                <c:pt idx="273">
                  <c:v>0.54709418837675394</c:v>
                </c:pt>
                <c:pt idx="274">
                  <c:v>0.54909819639278601</c:v>
                </c:pt>
                <c:pt idx="275">
                  <c:v>0.55110220440881807</c:v>
                </c:pt>
                <c:pt idx="276">
                  <c:v>0.55310621242485014</c:v>
                </c:pt>
                <c:pt idx="277">
                  <c:v>0.55511022044088221</c:v>
                </c:pt>
                <c:pt idx="278">
                  <c:v>0.55711422845691427</c:v>
                </c:pt>
                <c:pt idx="279">
                  <c:v>0.55911823647294634</c:v>
                </c:pt>
                <c:pt idx="280">
                  <c:v>0.56112224448897841</c:v>
                </c:pt>
                <c:pt idx="281">
                  <c:v>0.56312625250501047</c:v>
                </c:pt>
                <c:pt idx="282">
                  <c:v>0.56513026052104254</c:v>
                </c:pt>
                <c:pt idx="283">
                  <c:v>0.5671342685370746</c:v>
                </c:pt>
                <c:pt idx="284">
                  <c:v>0.56913827655310667</c:v>
                </c:pt>
                <c:pt idx="285">
                  <c:v>0.57114228456913874</c:v>
                </c:pt>
                <c:pt idx="286">
                  <c:v>0.5731462925851708</c:v>
                </c:pt>
                <c:pt idx="287">
                  <c:v>0.57515030060120287</c:v>
                </c:pt>
                <c:pt idx="288">
                  <c:v>0.57715430861723493</c:v>
                </c:pt>
                <c:pt idx="289">
                  <c:v>0.579158316633267</c:v>
                </c:pt>
                <c:pt idx="290">
                  <c:v>0.58116232464929907</c:v>
                </c:pt>
                <c:pt idx="291">
                  <c:v>0.58316633266533113</c:v>
                </c:pt>
                <c:pt idx="292">
                  <c:v>0.5851703406813632</c:v>
                </c:pt>
                <c:pt idx="293">
                  <c:v>0.58717434869739527</c:v>
                </c:pt>
                <c:pt idx="294">
                  <c:v>0.58917835671342733</c:v>
                </c:pt>
                <c:pt idx="295">
                  <c:v>0.5911823647294594</c:v>
                </c:pt>
                <c:pt idx="296">
                  <c:v>0.59318637274549146</c:v>
                </c:pt>
                <c:pt idx="297">
                  <c:v>0.59519038076152353</c:v>
                </c:pt>
                <c:pt idx="298">
                  <c:v>0.5971943887775556</c:v>
                </c:pt>
                <c:pt idx="299">
                  <c:v>0.59919839679358766</c:v>
                </c:pt>
                <c:pt idx="300">
                  <c:v>0.60120240480961973</c:v>
                </c:pt>
                <c:pt idx="301">
                  <c:v>0.60320641282565179</c:v>
                </c:pt>
                <c:pt idx="302">
                  <c:v>0.60521042084168386</c:v>
                </c:pt>
                <c:pt idx="303">
                  <c:v>0.60721442885771593</c:v>
                </c:pt>
                <c:pt idx="304">
                  <c:v>0.60921843687374799</c:v>
                </c:pt>
                <c:pt idx="305">
                  <c:v>0.61122244488978006</c:v>
                </c:pt>
                <c:pt idx="306">
                  <c:v>0.61322645290581212</c:v>
                </c:pt>
                <c:pt idx="307">
                  <c:v>0.61523046092184419</c:v>
                </c:pt>
                <c:pt idx="308">
                  <c:v>0.61723446893787626</c:v>
                </c:pt>
                <c:pt idx="309">
                  <c:v>0.61923847695390832</c:v>
                </c:pt>
                <c:pt idx="310">
                  <c:v>0.62124248496994039</c:v>
                </c:pt>
                <c:pt idx="311">
                  <c:v>0.62324649298597246</c:v>
                </c:pt>
                <c:pt idx="312">
                  <c:v>0.62525050100200452</c:v>
                </c:pt>
                <c:pt idx="313">
                  <c:v>0.62725450901803659</c:v>
                </c:pt>
                <c:pt idx="314">
                  <c:v>0.62925851703406865</c:v>
                </c:pt>
                <c:pt idx="315">
                  <c:v>0.63126252505010072</c:v>
                </c:pt>
                <c:pt idx="316">
                  <c:v>0.63326653306613279</c:v>
                </c:pt>
                <c:pt idx="317">
                  <c:v>0.63527054108216485</c:v>
                </c:pt>
                <c:pt idx="318">
                  <c:v>0.63727454909819692</c:v>
                </c:pt>
                <c:pt idx="319">
                  <c:v>0.63927855711422898</c:v>
                </c:pt>
                <c:pt idx="320">
                  <c:v>0.64128256513026105</c:v>
                </c:pt>
                <c:pt idx="321">
                  <c:v>0.64328657314629312</c:v>
                </c:pt>
                <c:pt idx="322">
                  <c:v>0.64529058116232518</c:v>
                </c:pt>
                <c:pt idx="323">
                  <c:v>0.64729458917835725</c:v>
                </c:pt>
                <c:pt idx="324">
                  <c:v>0.64929859719438932</c:v>
                </c:pt>
                <c:pt idx="325">
                  <c:v>0.65130260521042138</c:v>
                </c:pt>
                <c:pt idx="326">
                  <c:v>0.65330661322645345</c:v>
                </c:pt>
                <c:pt idx="327">
                  <c:v>0.65531062124248551</c:v>
                </c:pt>
                <c:pt idx="328">
                  <c:v>0.65731462925851758</c:v>
                </c:pt>
                <c:pt idx="329">
                  <c:v>0.65931863727454965</c:v>
                </c:pt>
                <c:pt idx="330">
                  <c:v>0.66132264529058171</c:v>
                </c:pt>
                <c:pt idx="331">
                  <c:v>0.66332665330661378</c:v>
                </c:pt>
                <c:pt idx="332">
                  <c:v>0.66533066132264584</c:v>
                </c:pt>
                <c:pt idx="333">
                  <c:v>0.66733466933867791</c:v>
                </c:pt>
                <c:pt idx="334">
                  <c:v>0.66933867735470998</c:v>
                </c:pt>
                <c:pt idx="335">
                  <c:v>0.67134268537074204</c:v>
                </c:pt>
                <c:pt idx="336">
                  <c:v>0.67334669338677411</c:v>
                </c:pt>
                <c:pt idx="337">
                  <c:v>0.67535070140280618</c:v>
                </c:pt>
                <c:pt idx="338">
                  <c:v>0.67735470941883824</c:v>
                </c:pt>
                <c:pt idx="339">
                  <c:v>0.67935871743487031</c:v>
                </c:pt>
                <c:pt idx="340">
                  <c:v>0.68136272545090237</c:v>
                </c:pt>
                <c:pt idx="341">
                  <c:v>0.68336673346693444</c:v>
                </c:pt>
                <c:pt idx="342">
                  <c:v>0.68537074148296651</c:v>
                </c:pt>
                <c:pt idx="343">
                  <c:v>0.68737474949899857</c:v>
                </c:pt>
                <c:pt idx="344">
                  <c:v>0.68937875751503064</c:v>
                </c:pt>
                <c:pt idx="345">
                  <c:v>0.6913827655310627</c:v>
                </c:pt>
                <c:pt idx="346">
                  <c:v>0.69338677354709477</c:v>
                </c:pt>
                <c:pt idx="347">
                  <c:v>0.69539078156312684</c:v>
                </c:pt>
                <c:pt idx="348">
                  <c:v>0.6973947895791589</c:v>
                </c:pt>
                <c:pt idx="349">
                  <c:v>0.69939879759519097</c:v>
                </c:pt>
                <c:pt idx="350">
                  <c:v>0.70140280561122303</c:v>
                </c:pt>
                <c:pt idx="351">
                  <c:v>0.7034068136272551</c:v>
                </c:pt>
                <c:pt idx="352">
                  <c:v>0.70541082164328717</c:v>
                </c:pt>
                <c:pt idx="353">
                  <c:v>0.70741482965931923</c:v>
                </c:pt>
                <c:pt idx="354">
                  <c:v>0.7094188376753513</c:v>
                </c:pt>
                <c:pt idx="355">
                  <c:v>0.71142284569138337</c:v>
                </c:pt>
                <c:pt idx="356">
                  <c:v>0.71342685370741543</c:v>
                </c:pt>
                <c:pt idx="357">
                  <c:v>0.7154308617234475</c:v>
                </c:pt>
                <c:pt idx="358">
                  <c:v>0.71743486973947956</c:v>
                </c:pt>
                <c:pt idx="359">
                  <c:v>0.71943887775551163</c:v>
                </c:pt>
                <c:pt idx="360">
                  <c:v>0.7214428857715437</c:v>
                </c:pt>
                <c:pt idx="361">
                  <c:v>0.72344689378757576</c:v>
                </c:pt>
                <c:pt idx="362">
                  <c:v>0.72545090180360783</c:v>
                </c:pt>
                <c:pt idx="363">
                  <c:v>0.72745490981963989</c:v>
                </c:pt>
                <c:pt idx="364">
                  <c:v>0.72945891783567196</c:v>
                </c:pt>
                <c:pt idx="365">
                  <c:v>0.73146292585170403</c:v>
                </c:pt>
                <c:pt idx="366">
                  <c:v>0.73346693386773609</c:v>
                </c:pt>
                <c:pt idx="367">
                  <c:v>0.73547094188376816</c:v>
                </c:pt>
                <c:pt idx="368">
                  <c:v>0.73747494989980023</c:v>
                </c:pt>
                <c:pt idx="369">
                  <c:v>0.73947895791583229</c:v>
                </c:pt>
                <c:pt idx="370">
                  <c:v>0.74148296593186436</c:v>
                </c:pt>
                <c:pt idx="371">
                  <c:v>0.74348697394789642</c:v>
                </c:pt>
                <c:pt idx="372">
                  <c:v>0.74549098196392849</c:v>
                </c:pt>
                <c:pt idx="373">
                  <c:v>0.74749498997996056</c:v>
                </c:pt>
                <c:pt idx="374">
                  <c:v>0.74949899799599262</c:v>
                </c:pt>
                <c:pt idx="375">
                  <c:v>0.75150300601202469</c:v>
                </c:pt>
                <c:pt idx="376">
                  <c:v>0.75350701402805675</c:v>
                </c:pt>
                <c:pt idx="377">
                  <c:v>0.75551102204408882</c:v>
                </c:pt>
                <c:pt idx="378">
                  <c:v>0.75751503006012089</c:v>
                </c:pt>
                <c:pt idx="379">
                  <c:v>0.75951903807615295</c:v>
                </c:pt>
                <c:pt idx="380">
                  <c:v>0.76152304609218502</c:v>
                </c:pt>
                <c:pt idx="381">
                  <c:v>0.76352705410821708</c:v>
                </c:pt>
                <c:pt idx="382">
                  <c:v>0.76553106212424915</c:v>
                </c:pt>
                <c:pt idx="383">
                  <c:v>0.76753507014028122</c:v>
                </c:pt>
                <c:pt idx="384">
                  <c:v>0.76953907815631328</c:v>
                </c:pt>
                <c:pt idx="385">
                  <c:v>0.77154308617234535</c:v>
                </c:pt>
                <c:pt idx="386">
                  <c:v>0.77354709418837742</c:v>
                </c:pt>
                <c:pt idx="387">
                  <c:v>0.77555110220440948</c:v>
                </c:pt>
                <c:pt idx="388">
                  <c:v>0.77755511022044155</c:v>
                </c:pt>
                <c:pt idx="389">
                  <c:v>0.77955911823647361</c:v>
                </c:pt>
                <c:pt idx="390">
                  <c:v>0.78156312625250568</c:v>
                </c:pt>
                <c:pt idx="391">
                  <c:v>0.78356713426853775</c:v>
                </c:pt>
                <c:pt idx="392">
                  <c:v>0.78557114228456981</c:v>
                </c:pt>
                <c:pt idx="393">
                  <c:v>0.78757515030060188</c:v>
                </c:pt>
                <c:pt idx="394">
                  <c:v>0.78957915831663394</c:v>
                </c:pt>
                <c:pt idx="395">
                  <c:v>0.79158316633266601</c:v>
                </c:pt>
                <c:pt idx="396">
                  <c:v>0.79358717434869808</c:v>
                </c:pt>
                <c:pt idx="397">
                  <c:v>0.79559118236473014</c:v>
                </c:pt>
                <c:pt idx="398">
                  <c:v>0.79759519038076221</c:v>
                </c:pt>
                <c:pt idx="399">
                  <c:v>0.79959919839679428</c:v>
                </c:pt>
                <c:pt idx="400">
                  <c:v>0.80160320641282634</c:v>
                </c:pt>
                <c:pt idx="401">
                  <c:v>0.80360721442885841</c:v>
                </c:pt>
                <c:pt idx="402">
                  <c:v>0.80561122244489047</c:v>
                </c:pt>
                <c:pt idx="403">
                  <c:v>0.80761523046092254</c:v>
                </c:pt>
                <c:pt idx="404">
                  <c:v>0.80961923847695461</c:v>
                </c:pt>
                <c:pt idx="405">
                  <c:v>0.81162324649298667</c:v>
                </c:pt>
                <c:pt idx="406">
                  <c:v>0.81362725450901874</c:v>
                </c:pt>
                <c:pt idx="407">
                  <c:v>0.8156312625250508</c:v>
                </c:pt>
                <c:pt idx="408">
                  <c:v>0.81763527054108287</c:v>
                </c:pt>
                <c:pt idx="409">
                  <c:v>0.81963927855711494</c:v>
                </c:pt>
                <c:pt idx="410">
                  <c:v>0.821643286573147</c:v>
                </c:pt>
                <c:pt idx="411">
                  <c:v>0.82364729458917907</c:v>
                </c:pt>
                <c:pt idx="412">
                  <c:v>0.82565130260521113</c:v>
                </c:pt>
                <c:pt idx="413">
                  <c:v>0.8276553106212432</c:v>
                </c:pt>
                <c:pt idx="414">
                  <c:v>0.82965931863727527</c:v>
                </c:pt>
                <c:pt idx="415">
                  <c:v>0.83166332665330733</c:v>
                </c:pt>
                <c:pt idx="416">
                  <c:v>0.8336673346693394</c:v>
                </c:pt>
                <c:pt idx="417">
                  <c:v>0.83567134268537147</c:v>
                </c:pt>
                <c:pt idx="418">
                  <c:v>0.83767535070140353</c:v>
                </c:pt>
                <c:pt idx="419">
                  <c:v>0.8396793587174356</c:v>
                </c:pt>
                <c:pt idx="420">
                  <c:v>0.84168336673346766</c:v>
                </c:pt>
                <c:pt idx="421">
                  <c:v>0.84368737474949973</c:v>
                </c:pt>
                <c:pt idx="422">
                  <c:v>0.8456913827655318</c:v>
                </c:pt>
                <c:pt idx="423">
                  <c:v>0.84769539078156386</c:v>
                </c:pt>
                <c:pt idx="424">
                  <c:v>0.84969939879759593</c:v>
                </c:pt>
                <c:pt idx="425">
                  <c:v>0.85170340681362799</c:v>
                </c:pt>
                <c:pt idx="426">
                  <c:v>0.85370741482966006</c:v>
                </c:pt>
                <c:pt idx="427">
                  <c:v>0.85571142284569213</c:v>
                </c:pt>
                <c:pt idx="428">
                  <c:v>0.85771543086172419</c:v>
                </c:pt>
                <c:pt idx="429">
                  <c:v>0.85971943887775626</c:v>
                </c:pt>
                <c:pt idx="430">
                  <c:v>0.86172344689378833</c:v>
                </c:pt>
                <c:pt idx="431">
                  <c:v>0.86372745490982039</c:v>
                </c:pt>
                <c:pt idx="432">
                  <c:v>0.86573146292585246</c:v>
                </c:pt>
                <c:pt idx="433">
                  <c:v>0.86773547094188452</c:v>
                </c:pt>
                <c:pt idx="434">
                  <c:v>0.86973947895791659</c:v>
                </c:pt>
                <c:pt idx="435">
                  <c:v>0.87174348697394866</c:v>
                </c:pt>
                <c:pt idx="436">
                  <c:v>0.87374749498998072</c:v>
                </c:pt>
                <c:pt idx="437">
                  <c:v>0.87575150300601279</c:v>
                </c:pt>
                <c:pt idx="438">
                  <c:v>0.87775551102204485</c:v>
                </c:pt>
                <c:pt idx="439">
                  <c:v>0.87975951903807692</c:v>
                </c:pt>
                <c:pt idx="440">
                  <c:v>0.88176352705410899</c:v>
                </c:pt>
                <c:pt idx="441">
                  <c:v>0.88376753507014105</c:v>
                </c:pt>
                <c:pt idx="442">
                  <c:v>0.88577154308617312</c:v>
                </c:pt>
                <c:pt idx="443">
                  <c:v>0.88777555110220518</c:v>
                </c:pt>
                <c:pt idx="444">
                  <c:v>0.88977955911823725</c:v>
                </c:pt>
                <c:pt idx="445">
                  <c:v>0.89178356713426932</c:v>
                </c:pt>
                <c:pt idx="446">
                  <c:v>0.89378757515030138</c:v>
                </c:pt>
                <c:pt idx="447">
                  <c:v>0.89579158316633345</c:v>
                </c:pt>
                <c:pt idx="448">
                  <c:v>0.89779559118236552</c:v>
                </c:pt>
                <c:pt idx="449">
                  <c:v>0.89979959919839758</c:v>
                </c:pt>
                <c:pt idx="450">
                  <c:v>0.90180360721442965</c:v>
                </c:pt>
                <c:pt idx="451">
                  <c:v>0.90380761523046171</c:v>
                </c:pt>
                <c:pt idx="452">
                  <c:v>0.90581162324649378</c:v>
                </c:pt>
                <c:pt idx="453">
                  <c:v>0.90781563126252585</c:v>
                </c:pt>
                <c:pt idx="454">
                  <c:v>0.90981963927855791</c:v>
                </c:pt>
                <c:pt idx="455">
                  <c:v>0.91182364729458998</c:v>
                </c:pt>
                <c:pt idx="456">
                  <c:v>0.91382765531062204</c:v>
                </c:pt>
                <c:pt idx="457">
                  <c:v>0.91583166332665411</c:v>
                </c:pt>
                <c:pt idx="458">
                  <c:v>0.91783567134268618</c:v>
                </c:pt>
                <c:pt idx="459">
                  <c:v>0.91983967935871824</c:v>
                </c:pt>
                <c:pt idx="460">
                  <c:v>0.92184368737475031</c:v>
                </c:pt>
                <c:pt idx="461">
                  <c:v>0.92384769539078238</c:v>
                </c:pt>
                <c:pt idx="462">
                  <c:v>0.92585170340681444</c:v>
                </c:pt>
                <c:pt idx="463">
                  <c:v>0.92785571142284651</c:v>
                </c:pt>
                <c:pt idx="464">
                  <c:v>0.92985971943887857</c:v>
                </c:pt>
                <c:pt idx="465">
                  <c:v>0.93186372745491064</c:v>
                </c:pt>
                <c:pt idx="466">
                  <c:v>0.93386773547094271</c:v>
                </c:pt>
                <c:pt idx="467">
                  <c:v>0.93587174348697477</c:v>
                </c:pt>
                <c:pt idx="468">
                  <c:v>0.93787575150300684</c:v>
                </c:pt>
                <c:pt idx="469">
                  <c:v>0.9398797595190389</c:v>
                </c:pt>
                <c:pt idx="470">
                  <c:v>0.94188376753507097</c:v>
                </c:pt>
                <c:pt idx="471">
                  <c:v>0.94388777555110304</c:v>
                </c:pt>
                <c:pt idx="472">
                  <c:v>0.9458917835671351</c:v>
                </c:pt>
                <c:pt idx="473">
                  <c:v>0.94789579158316717</c:v>
                </c:pt>
                <c:pt idx="474">
                  <c:v>0.94989979959919923</c:v>
                </c:pt>
                <c:pt idx="475">
                  <c:v>0.9519038076152313</c:v>
                </c:pt>
                <c:pt idx="476">
                  <c:v>0.95390781563126337</c:v>
                </c:pt>
                <c:pt idx="477">
                  <c:v>0.95591182364729543</c:v>
                </c:pt>
                <c:pt idx="478">
                  <c:v>0.9579158316633275</c:v>
                </c:pt>
                <c:pt idx="479">
                  <c:v>0.95991983967935957</c:v>
                </c:pt>
                <c:pt idx="480">
                  <c:v>0.96192384769539163</c:v>
                </c:pt>
                <c:pt idx="481">
                  <c:v>0.9639278557114237</c:v>
                </c:pt>
                <c:pt idx="482">
                  <c:v>0.96593186372745576</c:v>
                </c:pt>
                <c:pt idx="483">
                  <c:v>0.96793587174348783</c:v>
                </c:pt>
                <c:pt idx="484">
                  <c:v>0.9699398797595199</c:v>
                </c:pt>
                <c:pt idx="485">
                  <c:v>0.97194388777555196</c:v>
                </c:pt>
                <c:pt idx="486">
                  <c:v>0.97394789579158403</c:v>
                </c:pt>
                <c:pt idx="487">
                  <c:v>0.97595190380761609</c:v>
                </c:pt>
                <c:pt idx="488">
                  <c:v>0.97795591182364816</c:v>
                </c:pt>
                <c:pt idx="489">
                  <c:v>0.97995991983968023</c:v>
                </c:pt>
                <c:pt idx="490">
                  <c:v>0.98196392785571229</c:v>
                </c:pt>
                <c:pt idx="491">
                  <c:v>0.98396793587174436</c:v>
                </c:pt>
                <c:pt idx="492">
                  <c:v>0.98597194388777643</c:v>
                </c:pt>
                <c:pt idx="493">
                  <c:v>0.98797595190380849</c:v>
                </c:pt>
                <c:pt idx="494">
                  <c:v>0.98997995991984056</c:v>
                </c:pt>
                <c:pt idx="495">
                  <c:v>0.99198396793587262</c:v>
                </c:pt>
                <c:pt idx="496">
                  <c:v>0.99398797595190469</c:v>
                </c:pt>
                <c:pt idx="497">
                  <c:v>0.99599198396793676</c:v>
                </c:pt>
                <c:pt idx="498">
                  <c:v>0.99799599198396882</c:v>
                </c:pt>
                <c:pt idx="499">
                  <c:v>1.0000000000000009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SimData!$W$1</c:f>
              <c:strCache>
                <c:ptCount val="1"/>
                <c:pt idx="0">
                  <c:v>NCI: 4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SimData!$W$2:$W$501</c:f>
              <c:numCache>
                <c:formatCode>General</c:formatCode>
                <c:ptCount val="500"/>
                <c:pt idx="0">
                  <c:v>-126.28717472293903</c:v>
                </c:pt>
                <c:pt idx="1">
                  <c:v>-125.63131254620433</c:v>
                </c:pt>
                <c:pt idx="2">
                  <c:v>-124.84885702050292</c:v>
                </c:pt>
                <c:pt idx="3">
                  <c:v>-110.85376079899768</c:v>
                </c:pt>
                <c:pt idx="4">
                  <c:v>-107.76671548956412</c:v>
                </c:pt>
                <c:pt idx="5">
                  <c:v>-105.84367991497331</c:v>
                </c:pt>
                <c:pt idx="6">
                  <c:v>-94.589361424627072</c:v>
                </c:pt>
                <c:pt idx="7">
                  <c:v>-90.61246386081487</c:v>
                </c:pt>
                <c:pt idx="8">
                  <c:v>-89.134048010923863</c:v>
                </c:pt>
                <c:pt idx="9">
                  <c:v>-84.460231957363362</c:v>
                </c:pt>
                <c:pt idx="10">
                  <c:v>-84.183818353488505</c:v>
                </c:pt>
                <c:pt idx="11">
                  <c:v>-83.661971522140789</c:v>
                </c:pt>
                <c:pt idx="12">
                  <c:v>-81.094340378518723</c:v>
                </c:pt>
                <c:pt idx="13">
                  <c:v>-80.64749878701133</c:v>
                </c:pt>
                <c:pt idx="14">
                  <c:v>-80.274688682553119</c:v>
                </c:pt>
                <c:pt idx="15">
                  <c:v>-79.582082448945357</c:v>
                </c:pt>
                <c:pt idx="16">
                  <c:v>-78.483223037891833</c:v>
                </c:pt>
                <c:pt idx="17">
                  <c:v>-78.25596154671922</c:v>
                </c:pt>
                <c:pt idx="18">
                  <c:v>-77.66459049267155</c:v>
                </c:pt>
                <c:pt idx="19">
                  <c:v>-76.468484517241222</c:v>
                </c:pt>
                <c:pt idx="20">
                  <c:v>-76.286566019667191</c:v>
                </c:pt>
                <c:pt idx="21">
                  <c:v>-76.022344173775934</c:v>
                </c:pt>
                <c:pt idx="22">
                  <c:v>-75.174048914870468</c:v>
                </c:pt>
                <c:pt idx="23">
                  <c:v>-74.242003209291966</c:v>
                </c:pt>
                <c:pt idx="24">
                  <c:v>-74.17847116465407</c:v>
                </c:pt>
                <c:pt idx="25">
                  <c:v>-73.967757885869219</c:v>
                </c:pt>
                <c:pt idx="26">
                  <c:v>-72.971016882855281</c:v>
                </c:pt>
                <c:pt idx="27">
                  <c:v>-71.919036338877675</c:v>
                </c:pt>
                <c:pt idx="28">
                  <c:v>-71.441092443921661</c:v>
                </c:pt>
                <c:pt idx="29">
                  <c:v>-70.984275015433582</c:v>
                </c:pt>
                <c:pt idx="30">
                  <c:v>-70.842355215767441</c:v>
                </c:pt>
                <c:pt idx="31">
                  <c:v>-70.064060981491764</c:v>
                </c:pt>
                <c:pt idx="32">
                  <c:v>-69.622668909397021</c:v>
                </c:pt>
                <c:pt idx="33">
                  <c:v>-69.544944669422819</c:v>
                </c:pt>
                <c:pt idx="34">
                  <c:v>-69.258827224031506</c:v>
                </c:pt>
                <c:pt idx="35">
                  <c:v>-68.415617928017923</c:v>
                </c:pt>
                <c:pt idx="36">
                  <c:v>-68.020293949922575</c:v>
                </c:pt>
                <c:pt idx="37">
                  <c:v>-67.751173140449339</c:v>
                </c:pt>
                <c:pt idx="38">
                  <c:v>-67.526021573254468</c:v>
                </c:pt>
                <c:pt idx="39">
                  <c:v>-66.522039412763775</c:v>
                </c:pt>
                <c:pt idx="40">
                  <c:v>-66.501407015507539</c:v>
                </c:pt>
                <c:pt idx="41">
                  <c:v>-65.584384412730685</c:v>
                </c:pt>
                <c:pt idx="42">
                  <c:v>-65.421690707431878</c:v>
                </c:pt>
                <c:pt idx="43">
                  <c:v>-65.41843752509709</c:v>
                </c:pt>
                <c:pt idx="44">
                  <c:v>-65.321110435104686</c:v>
                </c:pt>
                <c:pt idx="45">
                  <c:v>-64.826724767898213</c:v>
                </c:pt>
                <c:pt idx="46">
                  <c:v>-63.691723394568328</c:v>
                </c:pt>
                <c:pt idx="47">
                  <c:v>-63.155039590875958</c:v>
                </c:pt>
                <c:pt idx="48">
                  <c:v>-63.01542134098122</c:v>
                </c:pt>
                <c:pt idx="49">
                  <c:v>-62.966513951721709</c:v>
                </c:pt>
                <c:pt idx="50">
                  <c:v>-62.334456123473558</c:v>
                </c:pt>
                <c:pt idx="51">
                  <c:v>-62.201389344601523</c:v>
                </c:pt>
                <c:pt idx="52">
                  <c:v>-61.099973155759756</c:v>
                </c:pt>
                <c:pt idx="53">
                  <c:v>-60.55474712585584</c:v>
                </c:pt>
                <c:pt idx="54">
                  <c:v>-59.729279678634839</c:v>
                </c:pt>
                <c:pt idx="55">
                  <c:v>-59.676360164460391</c:v>
                </c:pt>
                <c:pt idx="56">
                  <c:v>-59.268895279606909</c:v>
                </c:pt>
                <c:pt idx="57">
                  <c:v>-58.422350434660075</c:v>
                </c:pt>
                <c:pt idx="58">
                  <c:v>-57.503839133149768</c:v>
                </c:pt>
                <c:pt idx="59">
                  <c:v>-57.337597481865032</c:v>
                </c:pt>
                <c:pt idx="60">
                  <c:v>-56.180116390874161</c:v>
                </c:pt>
                <c:pt idx="61">
                  <c:v>-55.174272543752181</c:v>
                </c:pt>
                <c:pt idx="62">
                  <c:v>-55.162721628774364</c:v>
                </c:pt>
                <c:pt idx="63">
                  <c:v>-54.574525182938316</c:v>
                </c:pt>
                <c:pt idx="64">
                  <c:v>-54.569305023799188</c:v>
                </c:pt>
                <c:pt idx="65">
                  <c:v>-54.187821080311608</c:v>
                </c:pt>
                <c:pt idx="66">
                  <c:v>-52.632647748361308</c:v>
                </c:pt>
                <c:pt idx="67">
                  <c:v>-51.265387760166334</c:v>
                </c:pt>
                <c:pt idx="68">
                  <c:v>-49.854125816289354</c:v>
                </c:pt>
                <c:pt idx="69">
                  <c:v>-49.328058322584354</c:v>
                </c:pt>
                <c:pt idx="70">
                  <c:v>-49.004151404478648</c:v>
                </c:pt>
                <c:pt idx="71">
                  <c:v>-48.876242714708837</c:v>
                </c:pt>
                <c:pt idx="72">
                  <c:v>-48.018804211419706</c:v>
                </c:pt>
                <c:pt idx="73">
                  <c:v>-47.507533949926994</c:v>
                </c:pt>
                <c:pt idx="74">
                  <c:v>-46.893268990472393</c:v>
                </c:pt>
                <c:pt idx="75">
                  <c:v>-46.648725800911677</c:v>
                </c:pt>
                <c:pt idx="76">
                  <c:v>-46.493443490987943</c:v>
                </c:pt>
                <c:pt idx="77">
                  <c:v>-46.38719743795059</c:v>
                </c:pt>
                <c:pt idx="78">
                  <c:v>-45.674337786927765</c:v>
                </c:pt>
                <c:pt idx="79">
                  <c:v>-45.331237556130873</c:v>
                </c:pt>
                <c:pt idx="80">
                  <c:v>-45.120485242588302</c:v>
                </c:pt>
                <c:pt idx="81">
                  <c:v>-44.987387164377594</c:v>
                </c:pt>
                <c:pt idx="82">
                  <c:v>-44.768550640121077</c:v>
                </c:pt>
                <c:pt idx="83">
                  <c:v>-44.506289838990313</c:v>
                </c:pt>
                <c:pt idx="84">
                  <c:v>-44.500145977112766</c:v>
                </c:pt>
                <c:pt idx="85">
                  <c:v>-44.479869098346285</c:v>
                </c:pt>
                <c:pt idx="86">
                  <c:v>-44.246414555682634</c:v>
                </c:pt>
                <c:pt idx="87">
                  <c:v>-44.171450209549334</c:v>
                </c:pt>
                <c:pt idx="88">
                  <c:v>-44.106781995044685</c:v>
                </c:pt>
                <c:pt idx="89">
                  <c:v>-44.039131872213659</c:v>
                </c:pt>
                <c:pt idx="90">
                  <c:v>-43.981037625424165</c:v>
                </c:pt>
                <c:pt idx="91">
                  <c:v>-43.917001649926078</c:v>
                </c:pt>
                <c:pt idx="92">
                  <c:v>-43.379626154274661</c:v>
                </c:pt>
                <c:pt idx="93">
                  <c:v>-43.361153075826337</c:v>
                </c:pt>
                <c:pt idx="94">
                  <c:v>-42.618429814838009</c:v>
                </c:pt>
                <c:pt idx="95">
                  <c:v>-42.615356031647593</c:v>
                </c:pt>
                <c:pt idx="96">
                  <c:v>-42.25076692574504</c:v>
                </c:pt>
                <c:pt idx="97">
                  <c:v>-42.220350152107017</c:v>
                </c:pt>
                <c:pt idx="98">
                  <c:v>-41.784867151085962</c:v>
                </c:pt>
                <c:pt idx="99">
                  <c:v>-41.316676773627989</c:v>
                </c:pt>
                <c:pt idx="100">
                  <c:v>-41.134449407045281</c:v>
                </c:pt>
                <c:pt idx="101">
                  <c:v>-40.414470586929326</c:v>
                </c:pt>
                <c:pt idx="102">
                  <c:v>-40.158322627699988</c:v>
                </c:pt>
                <c:pt idx="103">
                  <c:v>-39.051633412068554</c:v>
                </c:pt>
                <c:pt idx="104">
                  <c:v>-38.726112711832286</c:v>
                </c:pt>
                <c:pt idx="105">
                  <c:v>-38.470366979726805</c:v>
                </c:pt>
                <c:pt idx="106">
                  <c:v>-38.158204061661195</c:v>
                </c:pt>
                <c:pt idx="107">
                  <c:v>-37.883162681553927</c:v>
                </c:pt>
                <c:pt idx="108">
                  <c:v>-37.544587268080704</c:v>
                </c:pt>
                <c:pt idx="109">
                  <c:v>-36.6392571437745</c:v>
                </c:pt>
                <c:pt idx="110">
                  <c:v>-36.110040051679164</c:v>
                </c:pt>
                <c:pt idx="111">
                  <c:v>-35.235486220256291</c:v>
                </c:pt>
                <c:pt idx="112">
                  <c:v>-34.840610667246551</c:v>
                </c:pt>
                <c:pt idx="113">
                  <c:v>-34.607287327376241</c:v>
                </c:pt>
                <c:pt idx="114">
                  <c:v>-34.576733219285472</c:v>
                </c:pt>
                <c:pt idx="115">
                  <c:v>-34.359935841344566</c:v>
                </c:pt>
                <c:pt idx="116">
                  <c:v>-34.169569262158461</c:v>
                </c:pt>
                <c:pt idx="117">
                  <c:v>-33.540787529446334</c:v>
                </c:pt>
                <c:pt idx="118">
                  <c:v>-33.233610872164093</c:v>
                </c:pt>
                <c:pt idx="119">
                  <c:v>-33.232901599614479</c:v>
                </c:pt>
                <c:pt idx="120">
                  <c:v>-33.026687145824042</c:v>
                </c:pt>
                <c:pt idx="121">
                  <c:v>-32.748604213054364</c:v>
                </c:pt>
                <c:pt idx="122">
                  <c:v>-32.573251097438344</c:v>
                </c:pt>
                <c:pt idx="123">
                  <c:v>-32.543333977094562</c:v>
                </c:pt>
                <c:pt idx="124">
                  <c:v>-32.185675443503442</c:v>
                </c:pt>
                <c:pt idx="125">
                  <c:v>-31.417335759273328</c:v>
                </c:pt>
                <c:pt idx="126">
                  <c:v>-31.0689668703846</c:v>
                </c:pt>
                <c:pt idx="127">
                  <c:v>-31.022686149567619</c:v>
                </c:pt>
                <c:pt idx="128">
                  <c:v>-30.864957845702804</c:v>
                </c:pt>
                <c:pt idx="129">
                  <c:v>-30.571331284343444</c:v>
                </c:pt>
                <c:pt idx="130">
                  <c:v>-30.184148558825143</c:v>
                </c:pt>
                <c:pt idx="131">
                  <c:v>-30.073807852714538</c:v>
                </c:pt>
                <c:pt idx="132">
                  <c:v>-29.804210984388419</c:v>
                </c:pt>
                <c:pt idx="133">
                  <c:v>-28.828320389846795</c:v>
                </c:pt>
                <c:pt idx="134">
                  <c:v>-28.551306207728317</c:v>
                </c:pt>
                <c:pt idx="135">
                  <c:v>-28.017944191240701</c:v>
                </c:pt>
                <c:pt idx="136">
                  <c:v>-27.996661774601932</c:v>
                </c:pt>
                <c:pt idx="137">
                  <c:v>-27.996621765196835</c:v>
                </c:pt>
                <c:pt idx="138">
                  <c:v>-27.994648701435381</c:v>
                </c:pt>
                <c:pt idx="139">
                  <c:v>-27.928055933088501</c:v>
                </c:pt>
                <c:pt idx="140">
                  <c:v>-27.904763526866702</c:v>
                </c:pt>
                <c:pt idx="141">
                  <c:v>-27.531558305210126</c:v>
                </c:pt>
                <c:pt idx="142">
                  <c:v>-27.42170331671656</c:v>
                </c:pt>
                <c:pt idx="143">
                  <c:v>-26.852948777987535</c:v>
                </c:pt>
                <c:pt idx="144">
                  <c:v>-26.849876476643828</c:v>
                </c:pt>
                <c:pt idx="145">
                  <c:v>-26.345691449288722</c:v>
                </c:pt>
                <c:pt idx="146">
                  <c:v>-25.696595309757924</c:v>
                </c:pt>
                <c:pt idx="147">
                  <c:v>-25.464762484413768</c:v>
                </c:pt>
                <c:pt idx="148">
                  <c:v>-25.253726234064118</c:v>
                </c:pt>
                <c:pt idx="149">
                  <c:v>-25.129547152550629</c:v>
                </c:pt>
                <c:pt idx="150">
                  <c:v>-24.779317818860136</c:v>
                </c:pt>
                <c:pt idx="151">
                  <c:v>-24.584668956648329</c:v>
                </c:pt>
                <c:pt idx="152">
                  <c:v>-24.324085553047041</c:v>
                </c:pt>
                <c:pt idx="153">
                  <c:v>-24.288505960409111</c:v>
                </c:pt>
                <c:pt idx="154">
                  <c:v>-24.281273346035675</c:v>
                </c:pt>
                <c:pt idx="155">
                  <c:v>-24.046240538243353</c:v>
                </c:pt>
                <c:pt idx="156">
                  <c:v>-23.687838607048093</c:v>
                </c:pt>
                <c:pt idx="157">
                  <c:v>-23.674772385591268</c:v>
                </c:pt>
                <c:pt idx="158">
                  <c:v>-23.669034805120134</c:v>
                </c:pt>
                <c:pt idx="159">
                  <c:v>-23.640806382640676</c:v>
                </c:pt>
                <c:pt idx="160">
                  <c:v>-23.345132985376154</c:v>
                </c:pt>
                <c:pt idx="161">
                  <c:v>-23.289892611472567</c:v>
                </c:pt>
                <c:pt idx="162">
                  <c:v>-22.591125717243301</c:v>
                </c:pt>
                <c:pt idx="163">
                  <c:v>-22.382726054069678</c:v>
                </c:pt>
                <c:pt idx="164">
                  <c:v>-22.205751016343413</c:v>
                </c:pt>
                <c:pt idx="165">
                  <c:v>-22.179898841257454</c:v>
                </c:pt>
                <c:pt idx="166">
                  <c:v>-21.939856321183981</c:v>
                </c:pt>
                <c:pt idx="167">
                  <c:v>-21.733422526428058</c:v>
                </c:pt>
                <c:pt idx="168">
                  <c:v>-21.266010617435086</c:v>
                </c:pt>
                <c:pt idx="169">
                  <c:v>-20.197199731089597</c:v>
                </c:pt>
                <c:pt idx="170">
                  <c:v>-19.97447827905637</c:v>
                </c:pt>
                <c:pt idx="171">
                  <c:v>-19.375713647825194</c:v>
                </c:pt>
                <c:pt idx="172">
                  <c:v>-19.350880884624814</c:v>
                </c:pt>
                <c:pt idx="173">
                  <c:v>-18.955550864178292</c:v>
                </c:pt>
                <c:pt idx="174">
                  <c:v>-18.865240510436138</c:v>
                </c:pt>
                <c:pt idx="175">
                  <c:v>-18.658577016314439</c:v>
                </c:pt>
                <c:pt idx="176">
                  <c:v>-18.393058995805859</c:v>
                </c:pt>
                <c:pt idx="177">
                  <c:v>-18.324388272667989</c:v>
                </c:pt>
                <c:pt idx="178">
                  <c:v>-17.795154649655331</c:v>
                </c:pt>
                <c:pt idx="179">
                  <c:v>-17.480052648766446</c:v>
                </c:pt>
                <c:pt idx="180">
                  <c:v>-17.419074727911948</c:v>
                </c:pt>
                <c:pt idx="181">
                  <c:v>-17.132349037910274</c:v>
                </c:pt>
                <c:pt idx="182">
                  <c:v>-16.213054228869169</c:v>
                </c:pt>
                <c:pt idx="183">
                  <c:v>-15.569877542096663</c:v>
                </c:pt>
                <c:pt idx="184">
                  <c:v>-15.197136177605614</c:v>
                </c:pt>
                <c:pt idx="185">
                  <c:v>-15.117857169088097</c:v>
                </c:pt>
                <c:pt idx="186">
                  <c:v>-14.994696227084034</c:v>
                </c:pt>
                <c:pt idx="187">
                  <c:v>-14.415554187110047</c:v>
                </c:pt>
                <c:pt idx="188">
                  <c:v>-14.398044462060454</c:v>
                </c:pt>
                <c:pt idx="189">
                  <c:v>-14.367412523048927</c:v>
                </c:pt>
                <c:pt idx="190">
                  <c:v>-14.123967954109958</c:v>
                </c:pt>
                <c:pt idx="191">
                  <c:v>-14.050488758835002</c:v>
                </c:pt>
                <c:pt idx="192">
                  <c:v>-14.045924348875303</c:v>
                </c:pt>
                <c:pt idx="193">
                  <c:v>-13.975877902511684</c:v>
                </c:pt>
                <c:pt idx="194">
                  <c:v>-13.640665069342617</c:v>
                </c:pt>
                <c:pt idx="195">
                  <c:v>-13.51291140248162</c:v>
                </c:pt>
                <c:pt idx="196">
                  <c:v>-13.048096432995976</c:v>
                </c:pt>
                <c:pt idx="197">
                  <c:v>-12.917118786759943</c:v>
                </c:pt>
                <c:pt idx="198">
                  <c:v>-12.872121598333422</c:v>
                </c:pt>
                <c:pt idx="199">
                  <c:v>-12.870148140342167</c:v>
                </c:pt>
                <c:pt idx="200">
                  <c:v>-12.495681192257791</c:v>
                </c:pt>
                <c:pt idx="201">
                  <c:v>-12.010785432821535</c:v>
                </c:pt>
                <c:pt idx="202">
                  <c:v>-11.735977263334803</c:v>
                </c:pt>
                <c:pt idx="203">
                  <c:v>-11.662639096134114</c:v>
                </c:pt>
                <c:pt idx="204">
                  <c:v>-11.527641949921758</c:v>
                </c:pt>
                <c:pt idx="205">
                  <c:v>-11.350596434736701</c:v>
                </c:pt>
                <c:pt idx="206">
                  <c:v>-11.178404372421198</c:v>
                </c:pt>
                <c:pt idx="207">
                  <c:v>-11.12518176007228</c:v>
                </c:pt>
                <c:pt idx="208">
                  <c:v>-10.969039629135125</c:v>
                </c:pt>
                <c:pt idx="209">
                  <c:v>-10.831162704877613</c:v>
                </c:pt>
                <c:pt idx="210">
                  <c:v>-10.658057804103748</c:v>
                </c:pt>
                <c:pt idx="211">
                  <c:v>-10.344656959178167</c:v>
                </c:pt>
                <c:pt idx="212">
                  <c:v>-10.281156713127245</c:v>
                </c:pt>
                <c:pt idx="213">
                  <c:v>-10.228787638382073</c:v>
                </c:pt>
                <c:pt idx="214">
                  <c:v>-10.070250345580007</c:v>
                </c:pt>
                <c:pt idx="215">
                  <c:v>-9.8818977362349187</c:v>
                </c:pt>
                <c:pt idx="216">
                  <c:v>-9.6460783153495981</c:v>
                </c:pt>
                <c:pt idx="217">
                  <c:v>-9.3039892132994169</c:v>
                </c:pt>
                <c:pt idx="218">
                  <c:v>-9.303753169642448</c:v>
                </c:pt>
                <c:pt idx="219">
                  <c:v>-9.0643015084353351</c:v>
                </c:pt>
                <c:pt idx="220">
                  <c:v>-9.0513922112354521</c:v>
                </c:pt>
                <c:pt idx="221">
                  <c:v>-9.0464998044910772</c:v>
                </c:pt>
                <c:pt idx="222">
                  <c:v>-8.9316612720566013</c:v>
                </c:pt>
                <c:pt idx="223">
                  <c:v>-8.8741871955584202</c:v>
                </c:pt>
                <c:pt idx="224">
                  <c:v>-8.7057000664711381</c:v>
                </c:pt>
                <c:pt idx="225">
                  <c:v>-8.6134537781242102</c:v>
                </c:pt>
                <c:pt idx="226">
                  <c:v>-8.423384590826231</c:v>
                </c:pt>
                <c:pt idx="227">
                  <c:v>-8.2286862664068963</c:v>
                </c:pt>
                <c:pt idx="228">
                  <c:v>-8.1488175512079692</c:v>
                </c:pt>
                <c:pt idx="229">
                  <c:v>-7.7172861680766687</c:v>
                </c:pt>
                <c:pt idx="230">
                  <c:v>-7.5037882003926484</c:v>
                </c:pt>
                <c:pt idx="231">
                  <c:v>-7.4735653539989926</c:v>
                </c:pt>
                <c:pt idx="232">
                  <c:v>-7.4677828542866678</c:v>
                </c:pt>
                <c:pt idx="233">
                  <c:v>-7.4126962401437027</c:v>
                </c:pt>
                <c:pt idx="234">
                  <c:v>-7.389849509092187</c:v>
                </c:pt>
                <c:pt idx="235">
                  <c:v>-6.901327156106106</c:v>
                </c:pt>
                <c:pt idx="236">
                  <c:v>-6.8452231882163233</c:v>
                </c:pt>
                <c:pt idx="237">
                  <c:v>-6.6797814531487347</c:v>
                </c:pt>
                <c:pt idx="238">
                  <c:v>-6.5789637465276769</c:v>
                </c:pt>
                <c:pt idx="239">
                  <c:v>-6.5099150912357118</c:v>
                </c:pt>
                <c:pt idx="240">
                  <c:v>-6.3065134112160308</c:v>
                </c:pt>
                <c:pt idx="241">
                  <c:v>-6.1339753147392457</c:v>
                </c:pt>
                <c:pt idx="242">
                  <c:v>-5.9193766442510309</c:v>
                </c:pt>
                <c:pt idx="243">
                  <c:v>-5.9117180022630009</c:v>
                </c:pt>
                <c:pt idx="244">
                  <c:v>-5.589446296425308</c:v>
                </c:pt>
                <c:pt idx="245">
                  <c:v>-5.3838032030558338</c:v>
                </c:pt>
                <c:pt idx="246">
                  <c:v>-5.1973904194758802</c:v>
                </c:pt>
                <c:pt idx="247">
                  <c:v>-5.1921803354147755</c:v>
                </c:pt>
                <c:pt idx="248">
                  <c:v>-4.9309490311462696</c:v>
                </c:pt>
                <c:pt idx="249">
                  <c:v>-4.7586178768564196</c:v>
                </c:pt>
                <c:pt idx="250">
                  <c:v>-4.583259287219505</c:v>
                </c:pt>
                <c:pt idx="251">
                  <c:v>-4.1377183619418929</c:v>
                </c:pt>
                <c:pt idx="252">
                  <c:v>-3.9493505858316666</c:v>
                </c:pt>
                <c:pt idx="253">
                  <c:v>-3.8047654381618941</c:v>
                </c:pt>
                <c:pt idx="254">
                  <c:v>-3.4777467253137502</c:v>
                </c:pt>
                <c:pt idx="255">
                  <c:v>-3.342570221045321</c:v>
                </c:pt>
                <c:pt idx="256">
                  <c:v>-3.3297452740219455</c:v>
                </c:pt>
                <c:pt idx="257">
                  <c:v>-3.2447681438183054</c:v>
                </c:pt>
                <c:pt idx="258">
                  <c:v>-3.1623171724659755</c:v>
                </c:pt>
                <c:pt idx="259">
                  <c:v>-3.0701897457734049</c:v>
                </c:pt>
                <c:pt idx="260">
                  <c:v>-2.8828819078577794</c:v>
                </c:pt>
                <c:pt idx="261">
                  <c:v>-2.7992643208343111</c:v>
                </c:pt>
                <c:pt idx="262">
                  <c:v>-2.7210532343360683</c:v>
                </c:pt>
                <c:pt idx="263">
                  <c:v>-2.6768216634878854</c:v>
                </c:pt>
                <c:pt idx="264">
                  <c:v>-2.6359894242459632</c:v>
                </c:pt>
                <c:pt idx="265">
                  <c:v>-2.5529215176072739</c:v>
                </c:pt>
                <c:pt idx="266">
                  <c:v>-2.2307230579648376</c:v>
                </c:pt>
                <c:pt idx="267">
                  <c:v>-2.2098615629122378</c:v>
                </c:pt>
                <c:pt idx="268">
                  <c:v>-1.4686238160265361</c:v>
                </c:pt>
                <c:pt idx="269">
                  <c:v>-1.2399643999419254</c:v>
                </c:pt>
                <c:pt idx="270">
                  <c:v>-1.1433330996806035</c:v>
                </c:pt>
                <c:pt idx="271">
                  <c:v>-1.1138155053091623</c:v>
                </c:pt>
                <c:pt idx="272">
                  <c:v>-1.048012128631683</c:v>
                </c:pt>
                <c:pt idx="273">
                  <c:v>-1.033579869877201</c:v>
                </c:pt>
                <c:pt idx="274">
                  <c:v>-0.69249322765693933</c:v>
                </c:pt>
                <c:pt idx="275">
                  <c:v>-0.46434030684639538</c:v>
                </c:pt>
                <c:pt idx="276">
                  <c:v>-0.1686234082046667</c:v>
                </c:pt>
                <c:pt idx="277">
                  <c:v>-0.12538541993876606</c:v>
                </c:pt>
                <c:pt idx="278">
                  <c:v>5.7285419812274085E-3</c:v>
                </c:pt>
                <c:pt idx="279">
                  <c:v>1.8749792658354636E-2</c:v>
                </c:pt>
                <c:pt idx="280">
                  <c:v>4.2712097443143193E-2</c:v>
                </c:pt>
                <c:pt idx="281">
                  <c:v>7.513153116462945E-2</c:v>
                </c:pt>
                <c:pt idx="282">
                  <c:v>0.47921656886234132</c:v>
                </c:pt>
                <c:pt idx="283">
                  <c:v>0.55663695301291227</c:v>
                </c:pt>
                <c:pt idx="284">
                  <c:v>0.6667574499799116</c:v>
                </c:pt>
                <c:pt idx="285">
                  <c:v>1.0258492436700521</c:v>
                </c:pt>
                <c:pt idx="286">
                  <c:v>1.256158217510233</c:v>
                </c:pt>
                <c:pt idx="287">
                  <c:v>1.4767931333576598</c:v>
                </c:pt>
                <c:pt idx="288">
                  <c:v>1.5949773160417635</c:v>
                </c:pt>
                <c:pt idx="289">
                  <c:v>1.5980361629548838</c:v>
                </c:pt>
                <c:pt idx="290">
                  <c:v>1.6044678312183578</c:v>
                </c:pt>
                <c:pt idx="291">
                  <c:v>1.654051370733896</c:v>
                </c:pt>
                <c:pt idx="292">
                  <c:v>1.659150474735668</c:v>
                </c:pt>
                <c:pt idx="293">
                  <c:v>1.7095253660733079</c:v>
                </c:pt>
                <c:pt idx="294">
                  <c:v>1.8395171484701791</c:v>
                </c:pt>
                <c:pt idx="295">
                  <c:v>2.2509067017470556</c:v>
                </c:pt>
                <c:pt idx="296">
                  <c:v>2.3060408155430991</c:v>
                </c:pt>
                <c:pt idx="297">
                  <c:v>2.4747055235325206</c:v>
                </c:pt>
                <c:pt idx="298">
                  <c:v>2.6940151189750168</c:v>
                </c:pt>
                <c:pt idx="299">
                  <c:v>2.7894067010607273</c:v>
                </c:pt>
                <c:pt idx="300">
                  <c:v>2.8045420894087556</c:v>
                </c:pt>
                <c:pt idx="301">
                  <c:v>2.8722971017235182</c:v>
                </c:pt>
                <c:pt idx="302">
                  <c:v>2.8990014048109742</c:v>
                </c:pt>
                <c:pt idx="303">
                  <c:v>3.0078038313038746</c:v>
                </c:pt>
                <c:pt idx="304">
                  <c:v>3.2642606548209301</c:v>
                </c:pt>
                <c:pt idx="305">
                  <c:v>3.4702246925820077</c:v>
                </c:pt>
                <c:pt idx="306">
                  <c:v>3.593085480711693</c:v>
                </c:pt>
                <c:pt idx="307">
                  <c:v>3.6214656805910863</c:v>
                </c:pt>
                <c:pt idx="308">
                  <c:v>3.6280180965857198</c:v>
                </c:pt>
                <c:pt idx="309">
                  <c:v>4.8847105101461921</c:v>
                </c:pt>
                <c:pt idx="310">
                  <c:v>4.9760689265771703</c:v>
                </c:pt>
                <c:pt idx="311">
                  <c:v>5.1532196928064309</c:v>
                </c:pt>
                <c:pt idx="312">
                  <c:v>5.3179973157719473</c:v>
                </c:pt>
                <c:pt idx="313">
                  <c:v>5.5475131418936598</c:v>
                </c:pt>
                <c:pt idx="314">
                  <c:v>5.7507447208282656</c:v>
                </c:pt>
                <c:pt idx="315">
                  <c:v>6.0925215776427422</c:v>
                </c:pt>
                <c:pt idx="316">
                  <c:v>6.2484064963041419</c:v>
                </c:pt>
                <c:pt idx="317">
                  <c:v>6.3845543128780946</c:v>
                </c:pt>
                <c:pt idx="318">
                  <c:v>6.4353065794410895</c:v>
                </c:pt>
                <c:pt idx="319">
                  <c:v>6.6039521711239217</c:v>
                </c:pt>
                <c:pt idx="320">
                  <c:v>6.6394504461312636</c:v>
                </c:pt>
                <c:pt idx="321">
                  <c:v>6.6510192818046789</c:v>
                </c:pt>
                <c:pt idx="322">
                  <c:v>6.8162818502018467</c:v>
                </c:pt>
                <c:pt idx="323">
                  <c:v>6.9441966783552971</c:v>
                </c:pt>
                <c:pt idx="324">
                  <c:v>7.4718622911453281</c:v>
                </c:pt>
                <c:pt idx="325">
                  <c:v>7.4827081114781322</c:v>
                </c:pt>
                <c:pt idx="326">
                  <c:v>7.4829556729408182</c:v>
                </c:pt>
                <c:pt idx="327">
                  <c:v>7.5250658891030184</c:v>
                </c:pt>
                <c:pt idx="328">
                  <c:v>7.7254263130728873</c:v>
                </c:pt>
                <c:pt idx="329">
                  <c:v>8.1331454951581463</c:v>
                </c:pt>
                <c:pt idx="330">
                  <c:v>8.3199144535303731</c:v>
                </c:pt>
                <c:pt idx="331">
                  <c:v>8.3570019469973431</c:v>
                </c:pt>
                <c:pt idx="332">
                  <c:v>9.2409021919448833</c:v>
                </c:pt>
                <c:pt idx="333">
                  <c:v>9.538527527042163</c:v>
                </c:pt>
                <c:pt idx="334">
                  <c:v>9.6744763742728423</c:v>
                </c:pt>
                <c:pt idx="335">
                  <c:v>9.7370830177150083</c:v>
                </c:pt>
                <c:pt idx="336">
                  <c:v>9.7604589219922673</c:v>
                </c:pt>
                <c:pt idx="337">
                  <c:v>9.7838874190558727</c:v>
                </c:pt>
                <c:pt idx="338">
                  <c:v>9.8857713857460112</c:v>
                </c:pt>
                <c:pt idx="339">
                  <c:v>10.577724809151732</c:v>
                </c:pt>
                <c:pt idx="340">
                  <c:v>10.714632258335939</c:v>
                </c:pt>
                <c:pt idx="341">
                  <c:v>10.744012773107954</c:v>
                </c:pt>
                <c:pt idx="342">
                  <c:v>11.056726947821176</c:v>
                </c:pt>
                <c:pt idx="343">
                  <c:v>11.136942653694234</c:v>
                </c:pt>
                <c:pt idx="344">
                  <c:v>11.363714476204109</c:v>
                </c:pt>
                <c:pt idx="345">
                  <c:v>11.579984977247648</c:v>
                </c:pt>
                <c:pt idx="346">
                  <c:v>12.099963598891293</c:v>
                </c:pt>
                <c:pt idx="347">
                  <c:v>12.548588597039384</c:v>
                </c:pt>
                <c:pt idx="348">
                  <c:v>12.6469700524014</c:v>
                </c:pt>
                <c:pt idx="349">
                  <c:v>12.759820801806086</c:v>
                </c:pt>
                <c:pt idx="350">
                  <c:v>13.275196354718616</c:v>
                </c:pt>
                <c:pt idx="351">
                  <c:v>13.999677687579208</c:v>
                </c:pt>
                <c:pt idx="352">
                  <c:v>14.127764178099369</c:v>
                </c:pt>
                <c:pt idx="353">
                  <c:v>14.181525068943188</c:v>
                </c:pt>
                <c:pt idx="354">
                  <c:v>14.248668000859141</c:v>
                </c:pt>
                <c:pt idx="355">
                  <c:v>14.573621705312803</c:v>
                </c:pt>
                <c:pt idx="356">
                  <c:v>14.718231897160877</c:v>
                </c:pt>
                <c:pt idx="357">
                  <c:v>14.829255734277467</c:v>
                </c:pt>
                <c:pt idx="358">
                  <c:v>14.99476458732596</c:v>
                </c:pt>
                <c:pt idx="359">
                  <c:v>14.996619866149445</c:v>
                </c:pt>
                <c:pt idx="360">
                  <c:v>15.468811970188767</c:v>
                </c:pt>
                <c:pt idx="361">
                  <c:v>15.519950203708845</c:v>
                </c:pt>
                <c:pt idx="362">
                  <c:v>15.68247709760368</c:v>
                </c:pt>
                <c:pt idx="363">
                  <c:v>15.747031860892946</c:v>
                </c:pt>
                <c:pt idx="364">
                  <c:v>16.016435653384292</c:v>
                </c:pt>
                <c:pt idx="365">
                  <c:v>16.409332589550445</c:v>
                </c:pt>
                <c:pt idx="366">
                  <c:v>16.718128244872787</c:v>
                </c:pt>
                <c:pt idx="367">
                  <c:v>17.067819619233376</c:v>
                </c:pt>
                <c:pt idx="368">
                  <c:v>17.16032703990561</c:v>
                </c:pt>
                <c:pt idx="369">
                  <c:v>17.36343357005461</c:v>
                </c:pt>
                <c:pt idx="370">
                  <c:v>17.404387700759514</c:v>
                </c:pt>
                <c:pt idx="371">
                  <c:v>18.116040230512851</c:v>
                </c:pt>
                <c:pt idx="372">
                  <c:v>18.193947028454545</c:v>
                </c:pt>
                <c:pt idx="373">
                  <c:v>18.214505216390307</c:v>
                </c:pt>
                <c:pt idx="374">
                  <c:v>18.585413797170645</c:v>
                </c:pt>
                <c:pt idx="375">
                  <c:v>19.325825032117848</c:v>
                </c:pt>
                <c:pt idx="376">
                  <c:v>19.821669776452495</c:v>
                </c:pt>
                <c:pt idx="377">
                  <c:v>20.51795240595834</c:v>
                </c:pt>
                <c:pt idx="378">
                  <c:v>22.249877877330732</c:v>
                </c:pt>
                <c:pt idx="379">
                  <c:v>22.261056584363132</c:v>
                </c:pt>
                <c:pt idx="380">
                  <c:v>23.470222306649418</c:v>
                </c:pt>
                <c:pt idx="381">
                  <c:v>24.219864717008306</c:v>
                </c:pt>
                <c:pt idx="382">
                  <c:v>24.448350762076075</c:v>
                </c:pt>
                <c:pt idx="383">
                  <c:v>24.572749098204952</c:v>
                </c:pt>
                <c:pt idx="384">
                  <c:v>24.791503771646489</c:v>
                </c:pt>
                <c:pt idx="385">
                  <c:v>24.875195226729943</c:v>
                </c:pt>
                <c:pt idx="386">
                  <c:v>25.346452390756667</c:v>
                </c:pt>
                <c:pt idx="387">
                  <c:v>25.549422570042452</c:v>
                </c:pt>
                <c:pt idx="388">
                  <c:v>26.120110800962209</c:v>
                </c:pt>
                <c:pt idx="389">
                  <c:v>26.749252405843038</c:v>
                </c:pt>
                <c:pt idx="390">
                  <c:v>27.341961241370939</c:v>
                </c:pt>
                <c:pt idx="391">
                  <c:v>27.676475127649894</c:v>
                </c:pt>
                <c:pt idx="392">
                  <c:v>28.570986142675508</c:v>
                </c:pt>
                <c:pt idx="393">
                  <c:v>28.858610436071501</c:v>
                </c:pt>
                <c:pt idx="394">
                  <c:v>28.902701224112036</c:v>
                </c:pt>
                <c:pt idx="395">
                  <c:v>28.933457046964918</c:v>
                </c:pt>
                <c:pt idx="396">
                  <c:v>29.127281363923998</c:v>
                </c:pt>
                <c:pt idx="397">
                  <c:v>29.415407910140345</c:v>
                </c:pt>
                <c:pt idx="398">
                  <c:v>29.453853540534567</c:v>
                </c:pt>
                <c:pt idx="399">
                  <c:v>29.624643871527155</c:v>
                </c:pt>
                <c:pt idx="400">
                  <c:v>29.858665262848831</c:v>
                </c:pt>
                <c:pt idx="401">
                  <c:v>29.999225439545512</c:v>
                </c:pt>
                <c:pt idx="402">
                  <c:v>30.142420183627962</c:v>
                </c:pt>
                <c:pt idx="403">
                  <c:v>30.763658230016404</c:v>
                </c:pt>
                <c:pt idx="404">
                  <c:v>31.046476334944373</c:v>
                </c:pt>
                <c:pt idx="405">
                  <c:v>31.760713752902859</c:v>
                </c:pt>
                <c:pt idx="406">
                  <c:v>31.801400298011345</c:v>
                </c:pt>
                <c:pt idx="407">
                  <c:v>32.961812267134917</c:v>
                </c:pt>
                <c:pt idx="408">
                  <c:v>33.853545489856288</c:v>
                </c:pt>
                <c:pt idx="409">
                  <c:v>33.90368154656818</c:v>
                </c:pt>
                <c:pt idx="410">
                  <c:v>35.173197757711478</c:v>
                </c:pt>
                <c:pt idx="411">
                  <c:v>36.150628935505893</c:v>
                </c:pt>
                <c:pt idx="412">
                  <c:v>36.175698627011343</c:v>
                </c:pt>
                <c:pt idx="413">
                  <c:v>36.760491407009226</c:v>
                </c:pt>
                <c:pt idx="414">
                  <c:v>38.070863007106709</c:v>
                </c:pt>
                <c:pt idx="415">
                  <c:v>38.090767764062207</c:v>
                </c:pt>
                <c:pt idx="416">
                  <c:v>38.451619743828871</c:v>
                </c:pt>
                <c:pt idx="417">
                  <c:v>39.345351143076471</c:v>
                </c:pt>
                <c:pt idx="418">
                  <c:v>39.67545430083959</c:v>
                </c:pt>
                <c:pt idx="419">
                  <c:v>39.849437119224604</c:v>
                </c:pt>
                <c:pt idx="420">
                  <c:v>39.893719091911635</c:v>
                </c:pt>
                <c:pt idx="421">
                  <c:v>40.466932943176403</c:v>
                </c:pt>
                <c:pt idx="422">
                  <c:v>41.038924630304507</c:v>
                </c:pt>
                <c:pt idx="423">
                  <c:v>41.203154222601029</c:v>
                </c:pt>
                <c:pt idx="424">
                  <c:v>41.445400929911045</c:v>
                </c:pt>
                <c:pt idx="425">
                  <c:v>41.453060730650066</c:v>
                </c:pt>
                <c:pt idx="426">
                  <c:v>41.514631346585361</c:v>
                </c:pt>
                <c:pt idx="427">
                  <c:v>41.808104626162219</c:v>
                </c:pt>
                <c:pt idx="428">
                  <c:v>42.24804747743184</c:v>
                </c:pt>
                <c:pt idx="429">
                  <c:v>42.683463702686481</c:v>
                </c:pt>
                <c:pt idx="430">
                  <c:v>42.975732649346355</c:v>
                </c:pt>
                <c:pt idx="431">
                  <c:v>43.473891765617111</c:v>
                </c:pt>
                <c:pt idx="432">
                  <c:v>43.485660443337963</c:v>
                </c:pt>
                <c:pt idx="433">
                  <c:v>45.310678268190998</c:v>
                </c:pt>
                <c:pt idx="434">
                  <c:v>45.967737799995234</c:v>
                </c:pt>
                <c:pt idx="435">
                  <c:v>46.327794961061045</c:v>
                </c:pt>
                <c:pt idx="436">
                  <c:v>46.621056156933264</c:v>
                </c:pt>
                <c:pt idx="437">
                  <c:v>47.598578389903082</c:v>
                </c:pt>
                <c:pt idx="438">
                  <c:v>48.912731329684277</c:v>
                </c:pt>
                <c:pt idx="439">
                  <c:v>49.592359000887882</c:v>
                </c:pt>
                <c:pt idx="440">
                  <c:v>49.766188148894742</c:v>
                </c:pt>
                <c:pt idx="441">
                  <c:v>50.26474352769327</c:v>
                </c:pt>
                <c:pt idx="442">
                  <c:v>50.291999374868283</c:v>
                </c:pt>
                <c:pt idx="443">
                  <c:v>50.741608458208304</c:v>
                </c:pt>
                <c:pt idx="444">
                  <c:v>52.245919752668954</c:v>
                </c:pt>
                <c:pt idx="445">
                  <c:v>53.525955810446305</c:v>
                </c:pt>
                <c:pt idx="446">
                  <c:v>53.685969962887896</c:v>
                </c:pt>
                <c:pt idx="447">
                  <c:v>53.989230455742018</c:v>
                </c:pt>
                <c:pt idx="448">
                  <c:v>54.527772001505298</c:v>
                </c:pt>
                <c:pt idx="449">
                  <c:v>54.846903105960166</c:v>
                </c:pt>
                <c:pt idx="450">
                  <c:v>54.989957223868089</c:v>
                </c:pt>
                <c:pt idx="451">
                  <c:v>55.188855826115741</c:v>
                </c:pt>
                <c:pt idx="452">
                  <c:v>56.972969078207029</c:v>
                </c:pt>
                <c:pt idx="453">
                  <c:v>57.582915381624105</c:v>
                </c:pt>
                <c:pt idx="454">
                  <c:v>57.636316701874136</c:v>
                </c:pt>
                <c:pt idx="455">
                  <c:v>59.500143345870697</c:v>
                </c:pt>
                <c:pt idx="456">
                  <c:v>60.292684545856559</c:v>
                </c:pt>
                <c:pt idx="457">
                  <c:v>61.512007612854802</c:v>
                </c:pt>
                <c:pt idx="458">
                  <c:v>61.89386712704885</c:v>
                </c:pt>
                <c:pt idx="459">
                  <c:v>62.016384716753578</c:v>
                </c:pt>
                <c:pt idx="460">
                  <c:v>62.531078846763137</c:v>
                </c:pt>
                <c:pt idx="461">
                  <c:v>62.6429494973342</c:v>
                </c:pt>
                <c:pt idx="462">
                  <c:v>62.800047474595374</c:v>
                </c:pt>
                <c:pt idx="463">
                  <c:v>63.422639422403563</c:v>
                </c:pt>
                <c:pt idx="464">
                  <c:v>64.01464249419098</c:v>
                </c:pt>
                <c:pt idx="465">
                  <c:v>65.600096640724644</c:v>
                </c:pt>
                <c:pt idx="466">
                  <c:v>66.88248821430733</c:v>
                </c:pt>
                <c:pt idx="467">
                  <c:v>67.998952464476588</c:v>
                </c:pt>
                <c:pt idx="468">
                  <c:v>68.095877516971598</c:v>
                </c:pt>
                <c:pt idx="469">
                  <c:v>68.938780093077696</c:v>
                </c:pt>
                <c:pt idx="470">
                  <c:v>70.207135977991584</c:v>
                </c:pt>
                <c:pt idx="471">
                  <c:v>71.328178674405422</c:v>
                </c:pt>
                <c:pt idx="472">
                  <c:v>71.5548923482757</c:v>
                </c:pt>
                <c:pt idx="473">
                  <c:v>73.605029578998142</c:v>
                </c:pt>
                <c:pt idx="474">
                  <c:v>73.66849141603501</c:v>
                </c:pt>
                <c:pt idx="475">
                  <c:v>73.901024732715712</c:v>
                </c:pt>
                <c:pt idx="476">
                  <c:v>76.114061551961527</c:v>
                </c:pt>
                <c:pt idx="477">
                  <c:v>77.217590069222069</c:v>
                </c:pt>
                <c:pt idx="478">
                  <c:v>77.252748719321005</c:v>
                </c:pt>
                <c:pt idx="479">
                  <c:v>78.481532763910991</c:v>
                </c:pt>
                <c:pt idx="480">
                  <c:v>78.844198788422091</c:v>
                </c:pt>
                <c:pt idx="481">
                  <c:v>81.19023240666445</c:v>
                </c:pt>
                <c:pt idx="482">
                  <c:v>81.488769606146946</c:v>
                </c:pt>
                <c:pt idx="483">
                  <c:v>82.570199436120447</c:v>
                </c:pt>
                <c:pt idx="484">
                  <c:v>82.936613230685225</c:v>
                </c:pt>
                <c:pt idx="485">
                  <c:v>83.760361967330937</c:v>
                </c:pt>
                <c:pt idx="486">
                  <c:v>83.828433350732269</c:v>
                </c:pt>
                <c:pt idx="487">
                  <c:v>83.868661420390595</c:v>
                </c:pt>
                <c:pt idx="488">
                  <c:v>84.054401724796151</c:v>
                </c:pt>
                <c:pt idx="489">
                  <c:v>85.536548231064842</c:v>
                </c:pt>
                <c:pt idx="490">
                  <c:v>86.469682166195014</c:v>
                </c:pt>
                <c:pt idx="491">
                  <c:v>92.763430053042725</c:v>
                </c:pt>
                <c:pt idx="492">
                  <c:v>94.001039783728856</c:v>
                </c:pt>
                <c:pt idx="493">
                  <c:v>101.72235258132025</c:v>
                </c:pt>
                <c:pt idx="494">
                  <c:v>102.4142729527818</c:v>
                </c:pt>
                <c:pt idx="495">
                  <c:v>105.75225824397444</c:v>
                </c:pt>
                <c:pt idx="496">
                  <c:v>107.83479268304529</c:v>
                </c:pt>
                <c:pt idx="497">
                  <c:v>112.18860502763079</c:v>
                </c:pt>
                <c:pt idx="498">
                  <c:v>120.09852188567618</c:v>
                </c:pt>
                <c:pt idx="499">
                  <c:v>126.44431236446036</c:v>
                </c:pt>
              </c:numCache>
            </c:numRef>
          </c:xVal>
          <c:yVal>
            <c:numRef>
              <c:f>SimData!$X$2:$X$501</c:f>
              <c:numCache>
                <c:formatCode>General</c:formatCode>
                <c:ptCount val="500"/>
                <c:pt idx="0">
                  <c:v>0</c:v>
                </c:pt>
                <c:pt idx="1">
                  <c:v>2.004008016032064E-3</c:v>
                </c:pt>
                <c:pt idx="2">
                  <c:v>4.0080160320641279E-3</c:v>
                </c:pt>
                <c:pt idx="3">
                  <c:v>6.0120240480961915E-3</c:v>
                </c:pt>
                <c:pt idx="4">
                  <c:v>8.0160320641282558E-3</c:v>
                </c:pt>
                <c:pt idx="5">
                  <c:v>1.002004008016032E-2</c:v>
                </c:pt>
                <c:pt idx="6">
                  <c:v>1.2024048096192385E-2</c:v>
                </c:pt>
                <c:pt idx="7">
                  <c:v>1.4028056112224449E-2</c:v>
                </c:pt>
                <c:pt idx="8">
                  <c:v>1.6032064128256512E-2</c:v>
                </c:pt>
                <c:pt idx="9">
                  <c:v>1.8036072144288574E-2</c:v>
                </c:pt>
                <c:pt idx="10">
                  <c:v>2.0040080160320637E-2</c:v>
                </c:pt>
                <c:pt idx="11">
                  <c:v>2.20440881763527E-2</c:v>
                </c:pt>
                <c:pt idx="12">
                  <c:v>2.4048096192384762E-2</c:v>
                </c:pt>
                <c:pt idx="13">
                  <c:v>2.6052104208416825E-2</c:v>
                </c:pt>
                <c:pt idx="14">
                  <c:v>2.8056112224448888E-2</c:v>
                </c:pt>
                <c:pt idx="15">
                  <c:v>3.006012024048095E-2</c:v>
                </c:pt>
                <c:pt idx="16">
                  <c:v>3.2064128256513016E-2</c:v>
                </c:pt>
                <c:pt idx="17">
                  <c:v>3.4068136272545083E-2</c:v>
                </c:pt>
                <c:pt idx="18">
                  <c:v>3.6072144288577149E-2</c:v>
                </c:pt>
                <c:pt idx="19">
                  <c:v>3.8076152304609215E-2</c:v>
                </c:pt>
                <c:pt idx="20">
                  <c:v>4.0080160320641281E-2</c:v>
                </c:pt>
                <c:pt idx="21">
                  <c:v>4.2084168336673347E-2</c:v>
                </c:pt>
                <c:pt idx="22">
                  <c:v>4.4088176352705413E-2</c:v>
                </c:pt>
                <c:pt idx="23">
                  <c:v>4.6092184368737479E-2</c:v>
                </c:pt>
                <c:pt idx="24">
                  <c:v>4.8096192384769546E-2</c:v>
                </c:pt>
                <c:pt idx="25">
                  <c:v>5.0100200400801612E-2</c:v>
                </c:pt>
                <c:pt idx="26">
                  <c:v>5.2104208416833678E-2</c:v>
                </c:pt>
                <c:pt idx="27">
                  <c:v>5.4108216432865744E-2</c:v>
                </c:pt>
                <c:pt idx="28">
                  <c:v>5.611222444889781E-2</c:v>
                </c:pt>
                <c:pt idx="29">
                  <c:v>5.8116232464929876E-2</c:v>
                </c:pt>
                <c:pt idx="30">
                  <c:v>6.0120240480961942E-2</c:v>
                </c:pt>
                <c:pt idx="31">
                  <c:v>6.2124248496994008E-2</c:v>
                </c:pt>
                <c:pt idx="32">
                  <c:v>6.4128256513026075E-2</c:v>
                </c:pt>
                <c:pt idx="33">
                  <c:v>6.6132264529058141E-2</c:v>
                </c:pt>
                <c:pt idx="34">
                  <c:v>6.8136272545090207E-2</c:v>
                </c:pt>
                <c:pt idx="35">
                  <c:v>7.0140280561122273E-2</c:v>
                </c:pt>
                <c:pt idx="36">
                  <c:v>7.2144288577154339E-2</c:v>
                </c:pt>
                <c:pt idx="37">
                  <c:v>7.4148296593186405E-2</c:v>
                </c:pt>
                <c:pt idx="38">
                  <c:v>7.6152304609218471E-2</c:v>
                </c:pt>
                <c:pt idx="39">
                  <c:v>7.8156312625250537E-2</c:v>
                </c:pt>
                <c:pt idx="40">
                  <c:v>8.0160320641282604E-2</c:v>
                </c:pt>
                <c:pt idx="41">
                  <c:v>8.216432865731467E-2</c:v>
                </c:pt>
                <c:pt idx="42">
                  <c:v>8.4168336673346736E-2</c:v>
                </c:pt>
                <c:pt idx="43">
                  <c:v>8.6172344689378802E-2</c:v>
                </c:pt>
                <c:pt idx="44">
                  <c:v>8.8176352705410868E-2</c:v>
                </c:pt>
                <c:pt idx="45">
                  <c:v>9.0180360721442934E-2</c:v>
                </c:pt>
                <c:pt idx="46">
                  <c:v>9.2184368737475E-2</c:v>
                </c:pt>
                <c:pt idx="47">
                  <c:v>9.4188376753507067E-2</c:v>
                </c:pt>
                <c:pt idx="48">
                  <c:v>9.6192384769539133E-2</c:v>
                </c:pt>
                <c:pt idx="49">
                  <c:v>9.8196392785571199E-2</c:v>
                </c:pt>
                <c:pt idx="50">
                  <c:v>0.10020040080160326</c:v>
                </c:pt>
                <c:pt idx="51">
                  <c:v>0.10220440881763533</c:v>
                </c:pt>
                <c:pt idx="52">
                  <c:v>0.1042084168336674</c:v>
                </c:pt>
                <c:pt idx="53">
                  <c:v>0.10621242484969946</c:v>
                </c:pt>
                <c:pt idx="54">
                  <c:v>0.10821643286573153</c:v>
                </c:pt>
                <c:pt idx="55">
                  <c:v>0.1102204408817636</c:v>
                </c:pt>
                <c:pt idx="56">
                  <c:v>0.11222444889779566</c:v>
                </c:pt>
                <c:pt idx="57">
                  <c:v>0.11422845691382773</c:v>
                </c:pt>
                <c:pt idx="58">
                  <c:v>0.11623246492985979</c:v>
                </c:pt>
                <c:pt idx="59">
                  <c:v>0.11823647294589186</c:v>
                </c:pt>
                <c:pt idx="60">
                  <c:v>0.12024048096192393</c:v>
                </c:pt>
                <c:pt idx="61">
                  <c:v>0.12224448897795599</c:v>
                </c:pt>
                <c:pt idx="62">
                  <c:v>0.12424849699398806</c:v>
                </c:pt>
                <c:pt idx="63">
                  <c:v>0.12625250501002011</c:v>
                </c:pt>
                <c:pt idx="64">
                  <c:v>0.12825651302605218</c:v>
                </c:pt>
                <c:pt idx="65">
                  <c:v>0.13026052104208424</c:v>
                </c:pt>
                <c:pt idx="66">
                  <c:v>0.13226452905811631</c:v>
                </c:pt>
                <c:pt idx="67">
                  <c:v>0.13426853707414838</c:v>
                </c:pt>
                <c:pt idx="68">
                  <c:v>0.13627254509018044</c:v>
                </c:pt>
                <c:pt idx="69">
                  <c:v>0.13827655310621251</c:v>
                </c:pt>
                <c:pt idx="70">
                  <c:v>0.14028056112224457</c:v>
                </c:pt>
                <c:pt idx="71">
                  <c:v>0.14228456913827664</c:v>
                </c:pt>
                <c:pt idx="72">
                  <c:v>0.14428857715430871</c:v>
                </c:pt>
                <c:pt idx="73">
                  <c:v>0.14629258517034077</c:v>
                </c:pt>
                <c:pt idx="74">
                  <c:v>0.14829659318637284</c:v>
                </c:pt>
                <c:pt idx="75">
                  <c:v>0.1503006012024049</c:v>
                </c:pt>
                <c:pt idx="76">
                  <c:v>0.15230460921843697</c:v>
                </c:pt>
                <c:pt idx="77">
                  <c:v>0.15430861723446904</c:v>
                </c:pt>
                <c:pt idx="78">
                  <c:v>0.1563126252505011</c:v>
                </c:pt>
                <c:pt idx="79">
                  <c:v>0.15831663326653317</c:v>
                </c:pt>
                <c:pt idx="80">
                  <c:v>0.16032064128256523</c:v>
                </c:pt>
                <c:pt idx="81">
                  <c:v>0.1623246492985973</c:v>
                </c:pt>
                <c:pt idx="82">
                  <c:v>0.16432865731462937</c:v>
                </c:pt>
                <c:pt idx="83">
                  <c:v>0.16633266533066143</c:v>
                </c:pt>
                <c:pt idx="84">
                  <c:v>0.1683366733466935</c:v>
                </c:pt>
                <c:pt idx="85">
                  <c:v>0.17034068136272557</c:v>
                </c:pt>
                <c:pt idx="86">
                  <c:v>0.17234468937875763</c:v>
                </c:pt>
                <c:pt idx="87">
                  <c:v>0.1743486973947897</c:v>
                </c:pt>
                <c:pt idx="88">
                  <c:v>0.17635270541082176</c:v>
                </c:pt>
                <c:pt idx="89">
                  <c:v>0.17835671342685383</c:v>
                </c:pt>
                <c:pt idx="90">
                  <c:v>0.1803607214428859</c:v>
                </c:pt>
                <c:pt idx="91">
                  <c:v>0.18236472945891796</c:v>
                </c:pt>
                <c:pt idx="92">
                  <c:v>0.18436873747495003</c:v>
                </c:pt>
                <c:pt idx="93">
                  <c:v>0.18637274549098209</c:v>
                </c:pt>
                <c:pt idx="94">
                  <c:v>0.18837675350701416</c:v>
                </c:pt>
                <c:pt idx="95">
                  <c:v>0.19038076152304623</c:v>
                </c:pt>
                <c:pt idx="96">
                  <c:v>0.19238476953907829</c:v>
                </c:pt>
                <c:pt idx="97">
                  <c:v>0.19438877755511036</c:v>
                </c:pt>
                <c:pt idx="98">
                  <c:v>0.19639278557114243</c:v>
                </c:pt>
                <c:pt idx="99">
                  <c:v>0.19839679358717449</c:v>
                </c:pt>
                <c:pt idx="100">
                  <c:v>0.20040080160320656</c:v>
                </c:pt>
                <c:pt idx="101">
                  <c:v>0.20240480961923862</c:v>
                </c:pt>
                <c:pt idx="102">
                  <c:v>0.20440881763527069</c:v>
                </c:pt>
                <c:pt idx="103">
                  <c:v>0.20641282565130276</c:v>
                </c:pt>
                <c:pt idx="104">
                  <c:v>0.20841683366733482</c:v>
                </c:pt>
                <c:pt idx="105">
                  <c:v>0.21042084168336689</c:v>
                </c:pt>
                <c:pt idx="106">
                  <c:v>0.21242484969939895</c:v>
                </c:pt>
                <c:pt idx="107">
                  <c:v>0.21442885771543102</c:v>
                </c:pt>
                <c:pt idx="108">
                  <c:v>0.21643286573146309</c:v>
                </c:pt>
                <c:pt idx="109">
                  <c:v>0.21843687374749515</c:v>
                </c:pt>
                <c:pt idx="110">
                  <c:v>0.22044088176352722</c:v>
                </c:pt>
                <c:pt idx="111">
                  <c:v>0.22244488977955928</c:v>
                </c:pt>
                <c:pt idx="112">
                  <c:v>0.22444889779559135</c:v>
                </c:pt>
                <c:pt idx="113">
                  <c:v>0.22645290581162342</c:v>
                </c:pt>
                <c:pt idx="114">
                  <c:v>0.22845691382765548</c:v>
                </c:pt>
                <c:pt idx="115">
                  <c:v>0.23046092184368755</c:v>
                </c:pt>
                <c:pt idx="116">
                  <c:v>0.23246492985971962</c:v>
                </c:pt>
                <c:pt idx="117">
                  <c:v>0.23446893787575168</c:v>
                </c:pt>
                <c:pt idx="118">
                  <c:v>0.23647294589178375</c:v>
                </c:pt>
                <c:pt idx="119">
                  <c:v>0.23847695390781581</c:v>
                </c:pt>
                <c:pt idx="120">
                  <c:v>0.24048096192384788</c:v>
                </c:pt>
                <c:pt idx="121">
                  <c:v>0.24248496993987995</c:v>
                </c:pt>
                <c:pt idx="122">
                  <c:v>0.24448897795591201</c:v>
                </c:pt>
                <c:pt idx="123">
                  <c:v>0.24649298597194408</c:v>
                </c:pt>
                <c:pt idx="124">
                  <c:v>0.24849699398797614</c:v>
                </c:pt>
                <c:pt idx="125">
                  <c:v>0.25050100200400821</c:v>
                </c:pt>
                <c:pt idx="126">
                  <c:v>0.25250501002004028</c:v>
                </c:pt>
                <c:pt idx="127">
                  <c:v>0.25450901803607234</c:v>
                </c:pt>
                <c:pt idx="128">
                  <c:v>0.25651302605210441</c:v>
                </c:pt>
                <c:pt idx="129">
                  <c:v>0.25851703406813648</c:v>
                </c:pt>
                <c:pt idx="130">
                  <c:v>0.26052104208416854</c:v>
                </c:pt>
                <c:pt idx="131">
                  <c:v>0.26252505010020061</c:v>
                </c:pt>
                <c:pt idx="132">
                  <c:v>0.26452905811623267</c:v>
                </c:pt>
                <c:pt idx="133">
                  <c:v>0.26653306613226474</c:v>
                </c:pt>
                <c:pt idx="134">
                  <c:v>0.26853707414829681</c:v>
                </c:pt>
                <c:pt idx="135">
                  <c:v>0.27054108216432887</c:v>
                </c:pt>
                <c:pt idx="136">
                  <c:v>0.27254509018036094</c:v>
                </c:pt>
                <c:pt idx="137">
                  <c:v>0.274549098196393</c:v>
                </c:pt>
                <c:pt idx="138">
                  <c:v>0.27655310621242507</c:v>
                </c:pt>
                <c:pt idx="139">
                  <c:v>0.27855711422845714</c:v>
                </c:pt>
                <c:pt idx="140">
                  <c:v>0.2805611222444892</c:v>
                </c:pt>
                <c:pt idx="141">
                  <c:v>0.28256513026052127</c:v>
                </c:pt>
                <c:pt idx="142">
                  <c:v>0.28456913827655334</c:v>
                </c:pt>
                <c:pt idx="143">
                  <c:v>0.2865731462925854</c:v>
                </c:pt>
                <c:pt idx="144">
                  <c:v>0.28857715430861747</c:v>
                </c:pt>
                <c:pt idx="145">
                  <c:v>0.29058116232464953</c:v>
                </c:pt>
                <c:pt idx="146">
                  <c:v>0.2925851703406816</c:v>
                </c:pt>
                <c:pt idx="147">
                  <c:v>0.29458917835671367</c:v>
                </c:pt>
                <c:pt idx="148">
                  <c:v>0.29659318637274573</c:v>
                </c:pt>
                <c:pt idx="149">
                  <c:v>0.2985971943887778</c:v>
                </c:pt>
                <c:pt idx="150">
                  <c:v>0.30060120240480986</c:v>
                </c:pt>
                <c:pt idx="151">
                  <c:v>0.30260521042084193</c:v>
                </c:pt>
                <c:pt idx="152">
                  <c:v>0.304609218436874</c:v>
                </c:pt>
                <c:pt idx="153">
                  <c:v>0.30661322645290606</c:v>
                </c:pt>
                <c:pt idx="154">
                  <c:v>0.30861723446893813</c:v>
                </c:pt>
                <c:pt idx="155">
                  <c:v>0.31062124248497019</c:v>
                </c:pt>
                <c:pt idx="156">
                  <c:v>0.31262525050100226</c:v>
                </c:pt>
                <c:pt idx="157">
                  <c:v>0.31462925851703433</c:v>
                </c:pt>
                <c:pt idx="158">
                  <c:v>0.31663326653306639</c:v>
                </c:pt>
                <c:pt idx="159">
                  <c:v>0.31863727454909846</c:v>
                </c:pt>
                <c:pt idx="160">
                  <c:v>0.32064128256513053</c:v>
                </c:pt>
                <c:pt idx="161">
                  <c:v>0.32264529058116259</c:v>
                </c:pt>
                <c:pt idx="162">
                  <c:v>0.32464929859719466</c:v>
                </c:pt>
                <c:pt idx="163">
                  <c:v>0.32665330661322672</c:v>
                </c:pt>
                <c:pt idx="164">
                  <c:v>0.32865731462925879</c:v>
                </c:pt>
                <c:pt idx="165">
                  <c:v>0.33066132264529086</c:v>
                </c:pt>
                <c:pt idx="166">
                  <c:v>0.33266533066132292</c:v>
                </c:pt>
                <c:pt idx="167">
                  <c:v>0.33466933867735499</c:v>
                </c:pt>
                <c:pt idx="168">
                  <c:v>0.33667334669338705</c:v>
                </c:pt>
                <c:pt idx="169">
                  <c:v>0.33867735470941912</c:v>
                </c:pt>
                <c:pt idx="170">
                  <c:v>0.34068136272545119</c:v>
                </c:pt>
                <c:pt idx="171">
                  <c:v>0.34268537074148325</c:v>
                </c:pt>
                <c:pt idx="172">
                  <c:v>0.34468937875751532</c:v>
                </c:pt>
                <c:pt idx="173">
                  <c:v>0.34669338677354739</c:v>
                </c:pt>
                <c:pt idx="174">
                  <c:v>0.34869739478957945</c:v>
                </c:pt>
                <c:pt idx="175">
                  <c:v>0.35070140280561152</c:v>
                </c:pt>
                <c:pt idx="176">
                  <c:v>0.35270541082164358</c:v>
                </c:pt>
                <c:pt idx="177">
                  <c:v>0.35470941883767565</c:v>
                </c:pt>
                <c:pt idx="178">
                  <c:v>0.35671342685370772</c:v>
                </c:pt>
                <c:pt idx="179">
                  <c:v>0.35871743486973978</c:v>
                </c:pt>
                <c:pt idx="180">
                  <c:v>0.36072144288577185</c:v>
                </c:pt>
                <c:pt idx="181">
                  <c:v>0.36272545090180391</c:v>
                </c:pt>
                <c:pt idx="182">
                  <c:v>0.36472945891783598</c:v>
                </c:pt>
                <c:pt idx="183">
                  <c:v>0.36673346693386805</c:v>
                </c:pt>
                <c:pt idx="184">
                  <c:v>0.36873747494990011</c:v>
                </c:pt>
                <c:pt idx="185">
                  <c:v>0.37074148296593218</c:v>
                </c:pt>
                <c:pt idx="186">
                  <c:v>0.37274549098196424</c:v>
                </c:pt>
                <c:pt idx="187">
                  <c:v>0.37474949899799631</c:v>
                </c:pt>
                <c:pt idx="188">
                  <c:v>0.37675350701402838</c:v>
                </c:pt>
                <c:pt idx="189">
                  <c:v>0.37875751503006044</c:v>
                </c:pt>
                <c:pt idx="190">
                  <c:v>0.38076152304609251</c:v>
                </c:pt>
                <c:pt idx="191">
                  <c:v>0.38276553106212458</c:v>
                </c:pt>
                <c:pt idx="192">
                  <c:v>0.38476953907815664</c:v>
                </c:pt>
                <c:pt idx="193">
                  <c:v>0.38677354709418871</c:v>
                </c:pt>
                <c:pt idx="194">
                  <c:v>0.38877755511022077</c:v>
                </c:pt>
                <c:pt idx="195">
                  <c:v>0.39078156312625284</c:v>
                </c:pt>
                <c:pt idx="196">
                  <c:v>0.39278557114228491</c:v>
                </c:pt>
                <c:pt idx="197">
                  <c:v>0.39478957915831697</c:v>
                </c:pt>
                <c:pt idx="198">
                  <c:v>0.39679358717434904</c:v>
                </c:pt>
                <c:pt idx="199">
                  <c:v>0.3987975951903811</c:v>
                </c:pt>
                <c:pt idx="200">
                  <c:v>0.40080160320641317</c:v>
                </c:pt>
                <c:pt idx="201">
                  <c:v>0.40280561122244524</c:v>
                </c:pt>
                <c:pt idx="202">
                  <c:v>0.4048096192384773</c:v>
                </c:pt>
                <c:pt idx="203">
                  <c:v>0.40681362725450937</c:v>
                </c:pt>
                <c:pt idx="204">
                  <c:v>0.40881763527054144</c:v>
                </c:pt>
                <c:pt idx="205">
                  <c:v>0.4108216432865735</c:v>
                </c:pt>
                <c:pt idx="206">
                  <c:v>0.41282565130260557</c:v>
                </c:pt>
                <c:pt idx="207">
                  <c:v>0.41482965931863763</c:v>
                </c:pt>
                <c:pt idx="208">
                  <c:v>0.4168336673346697</c:v>
                </c:pt>
                <c:pt idx="209">
                  <c:v>0.41883767535070177</c:v>
                </c:pt>
                <c:pt idx="210">
                  <c:v>0.42084168336673383</c:v>
                </c:pt>
                <c:pt idx="211">
                  <c:v>0.4228456913827659</c:v>
                </c:pt>
                <c:pt idx="212">
                  <c:v>0.42484969939879796</c:v>
                </c:pt>
                <c:pt idx="213">
                  <c:v>0.42685370741483003</c:v>
                </c:pt>
                <c:pt idx="214">
                  <c:v>0.4288577154308621</c:v>
                </c:pt>
                <c:pt idx="215">
                  <c:v>0.43086172344689416</c:v>
                </c:pt>
                <c:pt idx="216">
                  <c:v>0.43286573146292623</c:v>
                </c:pt>
                <c:pt idx="217">
                  <c:v>0.43486973947895829</c:v>
                </c:pt>
                <c:pt idx="218">
                  <c:v>0.43687374749499036</c:v>
                </c:pt>
                <c:pt idx="219">
                  <c:v>0.43887775551102243</c:v>
                </c:pt>
                <c:pt idx="220">
                  <c:v>0.44088176352705449</c:v>
                </c:pt>
                <c:pt idx="221">
                  <c:v>0.44288577154308656</c:v>
                </c:pt>
                <c:pt idx="222">
                  <c:v>0.44488977955911863</c:v>
                </c:pt>
                <c:pt idx="223">
                  <c:v>0.44689378757515069</c:v>
                </c:pt>
                <c:pt idx="224">
                  <c:v>0.44889779559118276</c:v>
                </c:pt>
                <c:pt idx="225">
                  <c:v>0.45090180360721482</c:v>
                </c:pt>
                <c:pt idx="226">
                  <c:v>0.45290581162324689</c:v>
                </c:pt>
                <c:pt idx="227">
                  <c:v>0.45490981963927896</c:v>
                </c:pt>
                <c:pt idx="228">
                  <c:v>0.45691382765531102</c:v>
                </c:pt>
                <c:pt idx="229">
                  <c:v>0.45891783567134309</c:v>
                </c:pt>
                <c:pt idx="230">
                  <c:v>0.46092184368737515</c:v>
                </c:pt>
                <c:pt idx="231">
                  <c:v>0.46292585170340722</c:v>
                </c:pt>
                <c:pt idx="232">
                  <c:v>0.46492985971943929</c:v>
                </c:pt>
                <c:pt idx="233">
                  <c:v>0.46693386773547135</c:v>
                </c:pt>
                <c:pt idx="234">
                  <c:v>0.46893787575150342</c:v>
                </c:pt>
                <c:pt idx="235">
                  <c:v>0.47094188376753549</c:v>
                </c:pt>
                <c:pt idx="236">
                  <c:v>0.47294589178356755</c:v>
                </c:pt>
                <c:pt idx="237">
                  <c:v>0.47494989979959962</c:v>
                </c:pt>
                <c:pt idx="238">
                  <c:v>0.47695390781563168</c:v>
                </c:pt>
                <c:pt idx="239">
                  <c:v>0.47895791583166375</c:v>
                </c:pt>
                <c:pt idx="240">
                  <c:v>0.48096192384769582</c:v>
                </c:pt>
                <c:pt idx="241">
                  <c:v>0.48296593186372788</c:v>
                </c:pt>
                <c:pt idx="242">
                  <c:v>0.48496993987975995</c:v>
                </c:pt>
                <c:pt idx="243">
                  <c:v>0.48697394789579201</c:v>
                </c:pt>
                <c:pt idx="244">
                  <c:v>0.48897795591182408</c:v>
                </c:pt>
                <c:pt idx="245">
                  <c:v>0.49098196392785615</c:v>
                </c:pt>
                <c:pt idx="246">
                  <c:v>0.49298597194388821</c:v>
                </c:pt>
                <c:pt idx="247">
                  <c:v>0.49498997995992028</c:v>
                </c:pt>
                <c:pt idx="248">
                  <c:v>0.49699398797595234</c:v>
                </c:pt>
                <c:pt idx="249">
                  <c:v>0.49899799599198441</c:v>
                </c:pt>
                <c:pt idx="250">
                  <c:v>0.50100200400801642</c:v>
                </c:pt>
                <c:pt idx="251">
                  <c:v>0.50300601202404849</c:v>
                </c:pt>
                <c:pt idx="252">
                  <c:v>0.50501002004008055</c:v>
                </c:pt>
                <c:pt idx="253">
                  <c:v>0.50701402805611262</c:v>
                </c:pt>
                <c:pt idx="254">
                  <c:v>0.50901803607214469</c:v>
                </c:pt>
                <c:pt idx="255">
                  <c:v>0.51102204408817675</c:v>
                </c:pt>
                <c:pt idx="256">
                  <c:v>0.51302605210420882</c:v>
                </c:pt>
                <c:pt idx="257">
                  <c:v>0.51503006012024088</c:v>
                </c:pt>
                <c:pt idx="258">
                  <c:v>0.51703406813627295</c:v>
                </c:pt>
                <c:pt idx="259">
                  <c:v>0.51903807615230502</c:v>
                </c:pt>
                <c:pt idx="260">
                  <c:v>0.52104208416833708</c:v>
                </c:pt>
                <c:pt idx="261">
                  <c:v>0.52304609218436915</c:v>
                </c:pt>
                <c:pt idx="262">
                  <c:v>0.52505010020040122</c:v>
                </c:pt>
                <c:pt idx="263">
                  <c:v>0.52705410821643328</c:v>
                </c:pt>
                <c:pt idx="264">
                  <c:v>0.52905811623246535</c:v>
                </c:pt>
                <c:pt idx="265">
                  <c:v>0.53106212424849741</c:v>
                </c:pt>
                <c:pt idx="266">
                  <c:v>0.53306613226452948</c:v>
                </c:pt>
                <c:pt idx="267">
                  <c:v>0.53507014028056155</c:v>
                </c:pt>
                <c:pt idx="268">
                  <c:v>0.53707414829659361</c:v>
                </c:pt>
                <c:pt idx="269">
                  <c:v>0.53907815631262568</c:v>
                </c:pt>
                <c:pt idx="270">
                  <c:v>0.54108216432865774</c:v>
                </c:pt>
                <c:pt idx="271">
                  <c:v>0.54308617234468981</c:v>
                </c:pt>
                <c:pt idx="272">
                  <c:v>0.54509018036072188</c:v>
                </c:pt>
                <c:pt idx="273">
                  <c:v>0.54709418837675394</c:v>
                </c:pt>
                <c:pt idx="274">
                  <c:v>0.54909819639278601</c:v>
                </c:pt>
                <c:pt idx="275">
                  <c:v>0.55110220440881807</c:v>
                </c:pt>
                <c:pt idx="276">
                  <c:v>0.55310621242485014</c:v>
                </c:pt>
                <c:pt idx="277">
                  <c:v>0.55511022044088221</c:v>
                </c:pt>
                <c:pt idx="278">
                  <c:v>0.55711422845691427</c:v>
                </c:pt>
                <c:pt idx="279">
                  <c:v>0.55911823647294634</c:v>
                </c:pt>
                <c:pt idx="280">
                  <c:v>0.56112224448897841</c:v>
                </c:pt>
                <c:pt idx="281">
                  <c:v>0.56312625250501047</c:v>
                </c:pt>
                <c:pt idx="282">
                  <c:v>0.56513026052104254</c:v>
                </c:pt>
                <c:pt idx="283">
                  <c:v>0.5671342685370746</c:v>
                </c:pt>
                <c:pt idx="284">
                  <c:v>0.56913827655310667</c:v>
                </c:pt>
                <c:pt idx="285">
                  <c:v>0.57114228456913874</c:v>
                </c:pt>
                <c:pt idx="286">
                  <c:v>0.5731462925851708</c:v>
                </c:pt>
                <c:pt idx="287">
                  <c:v>0.57515030060120287</c:v>
                </c:pt>
                <c:pt idx="288">
                  <c:v>0.57715430861723493</c:v>
                </c:pt>
                <c:pt idx="289">
                  <c:v>0.579158316633267</c:v>
                </c:pt>
                <c:pt idx="290">
                  <c:v>0.58116232464929907</c:v>
                </c:pt>
                <c:pt idx="291">
                  <c:v>0.58316633266533113</c:v>
                </c:pt>
                <c:pt idx="292">
                  <c:v>0.5851703406813632</c:v>
                </c:pt>
                <c:pt idx="293">
                  <c:v>0.58717434869739527</c:v>
                </c:pt>
                <c:pt idx="294">
                  <c:v>0.58917835671342733</c:v>
                </c:pt>
                <c:pt idx="295">
                  <c:v>0.5911823647294594</c:v>
                </c:pt>
                <c:pt idx="296">
                  <c:v>0.59318637274549146</c:v>
                </c:pt>
                <c:pt idx="297">
                  <c:v>0.59519038076152353</c:v>
                </c:pt>
                <c:pt idx="298">
                  <c:v>0.5971943887775556</c:v>
                </c:pt>
                <c:pt idx="299">
                  <c:v>0.59919839679358766</c:v>
                </c:pt>
                <c:pt idx="300">
                  <c:v>0.60120240480961973</c:v>
                </c:pt>
                <c:pt idx="301">
                  <c:v>0.60320641282565179</c:v>
                </c:pt>
                <c:pt idx="302">
                  <c:v>0.60521042084168386</c:v>
                </c:pt>
                <c:pt idx="303">
                  <c:v>0.60721442885771593</c:v>
                </c:pt>
                <c:pt idx="304">
                  <c:v>0.60921843687374799</c:v>
                </c:pt>
                <c:pt idx="305">
                  <c:v>0.61122244488978006</c:v>
                </c:pt>
                <c:pt idx="306">
                  <c:v>0.61322645290581212</c:v>
                </c:pt>
                <c:pt idx="307">
                  <c:v>0.61523046092184419</c:v>
                </c:pt>
                <c:pt idx="308">
                  <c:v>0.61723446893787626</c:v>
                </c:pt>
                <c:pt idx="309">
                  <c:v>0.61923847695390832</c:v>
                </c:pt>
                <c:pt idx="310">
                  <c:v>0.62124248496994039</c:v>
                </c:pt>
                <c:pt idx="311">
                  <c:v>0.62324649298597246</c:v>
                </c:pt>
                <c:pt idx="312">
                  <c:v>0.62525050100200452</c:v>
                </c:pt>
                <c:pt idx="313">
                  <c:v>0.62725450901803659</c:v>
                </c:pt>
                <c:pt idx="314">
                  <c:v>0.62925851703406865</c:v>
                </c:pt>
                <c:pt idx="315">
                  <c:v>0.63126252505010072</c:v>
                </c:pt>
                <c:pt idx="316">
                  <c:v>0.63326653306613279</c:v>
                </c:pt>
                <c:pt idx="317">
                  <c:v>0.63527054108216485</c:v>
                </c:pt>
                <c:pt idx="318">
                  <c:v>0.63727454909819692</c:v>
                </c:pt>
                <c:pt idx="319">
                  <c:v>0.63927855711422898</c:v>
                </c:pt>
                <c:pt idx="320">
                  <c:v>0.64128256513026105</c:v>
                </c:pt>
                <c:pt idx="321">
                  <c:v>0.64328657314629312</c:v>
                </c:pt>
                <c:pt idx="322">
                  <c:v>0.64529058116232518</c:v>
                </c:pt>
                <c:pt idx="323">
                  <c:v>0.64729458917835725</c:v>
                </c:pt>
                <c:pt idx="324">
                  <c:v>0.64929859719438932</c:v>
                </c:pt>
                <c:pt idx="325">
                  <c:v>0.65130260521042138</c:v>
                </c:pt>
                <c:pt idx="326">
                  <c:v>0.65330661322645345</c:v>
                </c:pt>
                <c:pt idx="327">
                  <c:v>0.65531062124248551</c:v>
                </c:pt>
                <c:pt idx="328">
                  <c:v>0.65731462925851758</c:v>
                </c:pt>
                <c:pt idx="329">
                  <c:v>0.65931863727454965</c:v>
                </c:pt>
                <c:pt idx="330">
                  <c:v>0.66132264529058171</c:v>
                </c:pt>
                <c:pt idx="331">
                  <c:v>0.66332665330661378</c:v>
                </c:pt>
                <c:pt idx="332">
                  <c:v>0.66533066132264584</c:v>
                </c:pt>
                <c:pt idx="333">
                  <c:v>0.66733466933867791</c:v>
                </c:pt>
                <c:pt idx="334">
                  <c:v>0.66933867735470998</c:v>
                </c:pt>
                <c:pt idx="335">
                  <c:v>0.67134268537074204</c:v>
                </c:pt>
                <c:pt idx="336">
                  <c:v>0.67334669338677411</c:v>
                </c:pt>
                <c:pt idx="337">
                  <c:v>0.67535070140280618</c:v>
                </c:pt>
                <c:pt idx="338">
                  <c:v>0.67735470941883824</c:v>
                </c:pt>
                <c:pt idx="339">
                  <c:v>0.67935871743487031</c:v>
                </c:pt>
                <c:pt idx="340">
                  <c:v>0.68136272545090237</c:v>
                </c:pt>
                <c:pt idx="341">
                  <c:v>0.68336673346693444</c:v>
                </c:pt>
                <c:pt idx="342">
                  <c:v>0.68537074148296651</c:v>
                </c:pt>
                <c:pt idx="343">
                  <c:v>0.68737474949899857</c:v>
                </c:pt>
                <c:pt idx="344">
                  <c:v>0.68937875751503064</c:v>
                </c:pt>
                <c:pt idx="345">
                  <c:v>0.6913827655310627</c:v>
                </c:pt>
                <c:pt idx="346">
                  <c:v>0.69338677354709477</c:v>
                </c:pt>
                <c:pt idx="347">
                  <c:v>0.69539078156312684</c:v>
                </c:pt>
                <c:pt idx="348">
                  <c:v>0.6973947895791589</c:v>
                </c:pt>
                <c:pt idx="349">
                  <c:v>0.69939879759519097</c:v>
                </c:pt>
                <c:pt idx="350">
                  <c:v>0.70140280561122303</c:v>
                </c:pt>
                <c:pt idx="351">
                  <c:v>0.7034068136272551</c:v>
                </c:pt>
                <c:pt idx="352">
                  <c:v>0.70541082164328717</c:v>
                </c:pt>
                <c:pt idx="353">
                  <c:v>0.70741482965931923</c:v>
                </c:pt>
                <c:pt idx="354">
                  <c:v>0.7094188376753513</c:v>
                </c:pt>
                <c:pt idx="355">
                  <c:v>0.71142284569138337</c:v>
                </c:pt>
                <c:pt idx="356">
                  <c:v>0.71342685370741543</c:v>
                </c:pt>
                <c:pt idx="357">
                  <c:v>0.7154308617234475</c:v>
                </c:pt>
                <c:pt idx="358">
                  <c:v>0.71743486973947956</c:v>
                </c:pt>
                <c:pt idx="359">
                  <c:v>0.71943887775551163</c:v>
                </c:pt>
                <c:pt idx="360">
                  <c:v>0.7214428857715437</c:v>
                </c:pt>
                <c:pt idx="361">
                  <c:v>0.72344689378757576</c:v>
                </c:pt>
                <c:pt idx="362">
                  <c:v>0.72545090180360783</c:v>
                </c:pt>
                <c:pt idx="363">
                  <c:v>0.72745490981963989</c:v>
                </c:pt>
                <c:pt idx="364">
                  <c:v>0.72945891783567196</c:v>
                </c:pt>
                <c:pt idx="365">
                  <c:v>0.73146292585170403</c:v>
                </c:pt>
                <c:pt idx="366">
                  <c:v>0.73346693386773609</c:v>
                </c:pt>
                <c:pt idx="367">
                  <c:v>0.73547094188376816</c:v>
                </c:pt>
                <c:pt idx="368">
                  <c:v>0.73747494989980023</c:v>
                </c:pt>
                <c:pt idx="369">
                  <c:v>0.73947895791583229</c:v>
                </c:pt>
                <c:pt idx="370">
                  <c:v>0.74148296593186436</c:v>
                </c:pt>
                <c:pt idx="371">
                  <c:v>0.74348697394789642</c:v>
                </c:pt>
                <c:pt idx="372">
                  <c:v>0.74549098196392849</c:v>
                </c:pt>
                <c:pt idx="373">
                  <c:v>0.74749498997996056</c:v>
                </c:pt>
                <c:pt idx="374">
                  <c:v>0.74949899799599262</c:v>
                </c:pt>
                <c:pt idx="375">
                  <c:v>0.75150300601202469</c:v>
                </c:pt>
                <c:pt idx="376">
                  <c:v>0.75350701402805675</c:v>
                </c:pt>
                <c:pt idx="377">
                  <c:v>0.75551102204408882</c:v>
                </c:pt>
                <c:pt idx="378">
                  <c:v>0.75751503006012089</c:v>
                </c:pt>
                <c:pt idx="379">
                  <c:v>0.75951903807615295</c:v>
                </c:pt>
                <c:pt idx="380">
                  <c:v>0.76152304609218502</c:v>
                </c:pt>
                <c:pt idx="381">
                  <c:v>0.76352705410821708</c:v>
                </c:pt>
                <c:pt idx="382">
                  <c:v>0.76553106212424915</c:v>
                </c:pt>
                <c:pt idx="383">
                  <c:v>0.76753507014028122</c:v>
                </c:pt>
                <c:pt idx="384">
                  <c:v>0.76953907815631328</c:v>
                </c:pt>
                <c:pt idx="385">
                  <c:v>0.77154308617234535</c:v>
                </c:pt>
                <c:pt idx="386">
                  <c:v>0.77354709418837742</c:v>
                </c:pt>
                <c:pt idx="387">
                  <c:v>0.77555110220440948</c:v>
                </c:pt>
                <c:pt idx="388">
                  <c:v>0.77755511022044155</c:v>
                </c:pt>
                <c:pt idx="389">
                  <c:v>0.77955911823647361</c:v>
                </c:pt>
                <c:pt idx="390">
                  <c:v>0.78156312625250568</c:v>
                </c:pt>
                <c:pt idx="391">
                  <c:v>0.78356713426853775</c:v>
                </c:pt>
                <c:pt idx="392">
                  <c:v>0.78557114228456981</c:v>
                </c:pt>
                <c:pt idx="393">
                  <c:v>0.78757515030060188</c:v>
                </c:pt>
                <c:pt idx="394">
                  <c:v>0.78957915831663394</c:v>
                </c:pt>
                <c:pt idx="395">
                  <c:v>0.79158316633266601</c:v>
                </c:pt>
                <c:pt idx="396">
                  <c:v>0.79358717434869808</c:v>
                </c:pt>
                <c:pt idx="397">
                  <c:v>0.79559118236473014</c:v>
                </c:pt>
                <c:pt idx="398">
                  <c:v>0.79759519038076221</c:v>
                </c:pt>
                <c:pt idx="399">
                  <c:v>0.79959919839679428</c:v>
                </c:pt>
                <c:pt idx="400">
                  <c:v>0.80160320641282634</c:v>
                </c:pt>
                <c:pt idx="401">
                  <c:v>0.80360721442885841</c:v>
                </c:pt>
                <c:pt idx="402">
                  <c:v>0.80561122244489047</c:v>
                </c:pt>
                <c:pt idx="403">
                  <c:v>0.80761523046092254</c:v>
                </c:pt>
                <c:pt idx="404">
                  <c:v>0.80961923847695461</c:v>
                </c:pt>
                <c:pt idx="405">
                  <c:v>0.81162324649298667</c:v>
                </c:pt>
                <c:pt idx="406">
                  <c:v>0.81362725450901874</c:v>
                </c:pt>
                <c:pt idx="407">
                  <c:v>0.8156312625250508</c:v>
                </c:pt>
                <c:pt idx="408">
                  <c:v>0.81763527054108287</c:v>
                </c:pt>
                <c:pt idx="409">
                  <c:v>0.81963927855711494</c:v>
                </c:pt>
                <c:pt idx="410">
                  <c:v>0.821643286573147</c:v>
                </c:pt>
                <c:pt idx="411">
                  <c:v>0.82364729458917907</c:v>
                </c:pt>
                <c:pt idx="412">
                  <c:v>0.82565130260521113</c:v>
                </c:pt>
                <c:pt idx="413">
                  <c:v>0.8276553106212432</c:v>
                </c:pt>
                <c:pt idx="414">
                  <c:v>0.82965931863727527</c:v>
                </c:pt>
                <c:pt idx="415">
                  <c:v>0.83166332665330733</c:v>
                </c:pt>
                <c:pt idx="416">
                  <c:v>0.8336673346693394</c:v>
                </c:pt>
                <c:pt idx="417">
                  <c:v>0.83567134268537147</c:v>
                </c:pt>
                <c:pt idx="418">
                  <c:v>0.83767535070140353</c:v>
                </c:pt>
                <c:pt idx="419">
                  <c:v>0.8396793587174356</c:v>
                </c:pt>
                <c:pt idx="420">
                  <c:v>0.84168336673346766</c:v>
                </c:pt>
                <c:pt idx="421">
                  <c:v>0.84368737474949973</c:v>
                </c:pt>
                <c:pt idx="422">
                  <c:v>0.8456913827655318</c:v>
                </c:pt>
                <c:pt idx="423">
                  <c:v>0.84769539078156386</c:v>
                </c:pt>
                <c:pt idx="424">
                  <c:v>0.84969939879759593</c:v>
                </c:pt>
                <c:pt idx="425">
                  <c:v>0.85170340681362799</c:v>
                </c:pt>
                <c:pt idx="426">
                  <c:v>0.85370741482966006</c:v>
                </c:pt>
                <c:pt idx="427">
                  <c:v>0.85571142284569213</c:v>
                </c:pt>
                <c:pt idx="428">
                  <c:v>0.85771543086172419</c:v>
                </c:pt>
                <c:pt idx="429">
                  <c:v>0.85971943887775626</c:v>
                </c:pt>
                <c:pt idx="430">
                  <c:v>0.86172344689378833</c:v>
                </c:pt>
                <c:pt idx="431">
                  <c:v>0.86372745490982039</c:v>
                </c:pt>
                <c:pt idx="432">
                  <c:v>0.86573146292585246</c:v>
                </c:pt>
                <c:pt idx="433">
                  <c:v>0.86773547094188452</c:v>
                </c:pt>
                <c:pt idx="434">
                  <c:v>0.86973947895791659</c:v>
                </c:pt>
                <c:pt idx="435">
                  <c:v>0.87174348697394866</c:v>
                </c:pt>
                <c:pt idx="436">
                  <c:v>0.87374749498998072</c:v>
                </c:pt>
                <c:pt idx="437">
                  <c:v>0.87575150300601279</c:v>
                </c:pt>
                <c:pt idx="438">
                  <c:v>0.87775551102204485</c:v>
                </c:pt>
                <c:pt idx="439">
                  <c:v>0.87975951903807692</c:v>
                </c:pt>
                <c:pt idx="440">
                  <c:v>0.88176352705410899</c:v>
                </c:pt>
                <c:pt idx="441">
                  <c:v>0.88376753507014105</c:v>
                </c:pt>
                <c:pt idx="442">
                  <c:v>0.88577154308617312</c:v>
                </c:pt>
                <c:pt idx="443">
                  <c:v>0.88777555110220518</c:v>
                </c:pt>
                <c:pt idx="444">
                  <c:v>0.88977955911823725</c:v>
                </c:pt>
                <c:pt idx="445">
                  <c:v>0.89178356713426932</c:v>
                </c:pt>
                <c:pt idx="446">
                  <c:v>0.89378757515030138</c:v>
                </c:pt>
                <c:pt idx="447">
                  <c:v>0.89579158316633345</c:v>
                </c:pt>
                <c:pt idx="448">
                  <c:v>0.89779559118236552</c:v>
                </c:pt>
                <c:pt idx="449">
                  <c:v>0.89979959919839758</c:v>
                </c:pt>
                <c:pt idx="450">
                  <c:v>0.90180360721442965</c:v>
                </c:pt>
                <c:pt idx="451">
                  <c:v>0.90380761523046171</c:v>
                </c:pt>
                <c:pt idx="452">
                  <c:v>0.90581162324649378</c:v>
                </c:pt>
                <c:pt idx="453">
                  <c:v>0.90781563126252585</c:v>
                </c:pt>
                <c:pt idx="454">
                  <c:v>0.90981963927855791</c:v>
                </c:pt>
                <c:pt idx="455">
                  <c:v>0.91182364729458998</c:v>
                </c:pt>
                <c:pt idx="456">
                  <c:v>0.91382765531062204</c:v>
                </c:pt>
                <c:pt idx="457">
                  <c:v>0.91583166332665411</c:v>
                </c:pt>
                <c:pt idx="458">
                  <c:v>0.91783567134268618</c:v>
                </c:pt>
                <c:pt idx="459">
                  <c:v>0.91983967935871824</c:v>
                </c:pt>
                <c:pt idx="460">
                  <c:v>0.92184368737475031</c:v>
                </c:pt>
                <c:pt idx="461">
                  <c:v>0.92384769539078238</c:v>
                </c:pt>
                <c:pt idx="462">
                  <c:v>0.92585170340681444</c:v>
                </c:pt>
                <c:pt idx="463">
                  <c:v>0.92785571142284651</c:v>
                </c:pt>
                <c:pt idx="464">
                  <c:v>0.92985971943887857</c:v>
                </c:pt>
                <c:pt idx="465">
                  <c:v>0.93186372745491064</c:v>
                </c:pt>
                <c:pt idx="466">
                  <c:v>0.93386773547094271</c:v>
                </c:pt>
                <c:pt idx="467">
                  <c:v>0.93587174348697477</c:v>
                </c:pt>
                <c:pt idx="468">
                  <c:v>0.93787575150300684</c:v>
                </c:pt>
                <c:pt idx="469">
                  <c:v>0.9398797595190389</c:v>
                </c:pt>
                <c:pt idx="470">
                  <c:v>0.94188376753507097</c:v>
                </c:pt>
                <c:pt idx="471">
                  <c:v>0.94388777555110304</c:v>
                </c:pt>
                <c:pt idx="472">
                  <c:v>0.9458917835671351</c:v>
                </c:pt>
                <c:pt idx="473">
                  <c:v>0.94789579158316717</c:v>
                </c:pt>
                <c:pt idx="474">
                  <c:v>0.94989979959919923</c:v>
                </c:pt>
                <c:pt idx="475">
                  <c:v>0.9519038076152313</c:v>
                </c:pt>
                <c:pt idx="476">
                  <c:v>0.95390781563126337</c:v>
                </c:pt>
                <c:pt idx="477">
                  <c:v>0.95591182364729543</c:v>
                </c:pt>
                <c:pt idx="478">
                  <c:v>0.9579158316633275</c:v>
                </c:pt>
                <c:pt idx="479">
                  <c:v>0.95991983967935957</c:v>
                </c:pt>
                <c:pt idx="480">
                  <c:v>0.96192384769539163</c:v>
                </c:pt>
                <c:pt idx="481">
                  <c:v>0.9639278557114237</c:v>
                </c:pt>
                <c:pt idx="482">
                  <c:v>0.96593186372745576</c:v>
                </c:pt>
                <c:pt idx="483">
                  <c:v>0.96793587174348783</c:v>
                </c:pt>
                <c:pt idx="484">
                  <c:v>0.9699398797595199</c:v>
                </c:pt>
                <c:pt idx="485">
                  <c:v>0.97194388777555196</c:v>
                </c:pt>
                <c:pt idx="486">
                  <c:v>0.97394789579158403</c:v>
                </c:pt>
                <c:pt idx="487">
                  <c:v>0.97595190380761609</c:v>
                </c:pt>
                <c:pt idx="488">
                  <c:v>0.97795591182364816</c:v>
                </c:pt>
                <c:pt idx="489">
                  <c:v>0.97995991983968023</c:v>
                </c:pt>
                <c:pt idx="490">
                  <c:v>0.98196392785571229</c:v>
                </c:pt>
                <c:pt idx="491">
                  <c:v>0.98396793587174436</c:v>
                </c:pt>
                <c:pt idx="492">
                  <c:v>0.98597194388777643</c:v>
                </c:pt>
                <c:pt idx="493">
                  <c:v>0.98797595190380849</c:v>
                </c:pt>
                <c:pt idx="494">
                  <c:v>0.98997995991984056</c:v>
                </c:pt>
                <c:pt idx="495">
                  <c:v>0.99198396793587262</c:v>
                </c:pt>
                <c:pt idx="496">
                  <c:v>0.99398797595190469</c:v>
                </c:pt>
                <c:pt idx="497">
                  <c:v>0.99599198396793676</c:v>
                </c:pt>
                <c:pt idx="498">
                  <c:v>0.99799599198396882</c:v>
                </c:pt>
                <c:pt idx="499">
                  <c:v>1.0000000000000009</c:v>
                </c:pt>
              </c:numCache>
            </c:numRef>
          </c:yVal>
          <c:smooth val="1"/>
        </c:ser>
        <c:axId val="51933952"/>
        <c:axId val="51935488"/>
      </c:scatterChart>
      <c:valAx>
        <c:axId val="5193395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935488"/>
        <c:crosses val="autoZero"/>
        <c:crossBetween val="midCat"/>
      </c:valAx>
      <c:valAx>
        <c:axId val="51935488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Prob</a:t>
                </a:r>
              </a:p>
            </c:rich>
          </c:tx>
          <c:layout>
            <c:manualLayout>
              <c:xMode val="edge"/>
              <c:yMode val="edge"/>
              <c:x val="4.4469173666996889E-2"/>
              <c:y val="0.4285714285714285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933952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8065601802217487"/>
          <c:y val="0.89895470383275267"/>
          <c:w val="0.70316880860938835"/>
          <c:h val="7.6655052264808357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strRef>
          <c:f>SimData!$AB$1</c:f>
          <c:strCache>
            <c:ptCount val="1"/>
            <c:pt idx="0">
              <c:v>Fan Graph for 4 Categories</c:v>
            </c:pt>
          </c:strCache>
        </c:strRef>
      </c:tx>
      <c:layout>
        <c:manualLayout>
          <c:xMode val="edge"/>
          <c:yMode val="edge"/>
          <c:x val="0.31141936161251432"/>
          <c:y val="3.8327526132404179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1616436504593788"/>
          <c:y val="0.20209059233449478"/>
          <c:w val="0.85022428884686452"/>
          <c:h val="0.50871080139372826"/>
        </c:manualLayout>
      </c:layout>
      <c:lineChart>
        <c:grouping val="standard"/>
        <c:ser>
          <c:idx val="0"/>
          <c:order val="0"/>
          <c:tx>
            <c:strRef>
              <c:f>SimData!$AC$2</c:f>
              <c:strCache>
                <c:ptCount val="1"/>
                <c:pt idx="0">
                  <c:v>Average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SimData!$AD$1:$AG$1</c:f>
              <c:strCache>
                <c:ptCount val="4"/>
                <c:pt idx="0">
                  <c:v>NCI: 1</c:v>
                </c:pt>
                <c:pt idx="1">
                  <c:v>NCI: 2</c:v>
                </c:pt>
                <c:pt idx="2">
                  <c:v>NCI: 3</c:v>
                </c:pt>
                <c:pt idx="3">
                  <c:v>NCI: 4</c:v>
                </c:pt>
              </c:strCache>
            </c:strRef>
          </c:cat>
          <c:val>
            <c:numRef>
              <c:f>SimData!$AD$2:$AG$2</c:f>
              <c:numCache>
                <c:formatCode>General</c:formatCode>
                <c:ptCount val="4"/>
                <c:pt idx="0">
                  <c:v>210.92550496666391</c:v>
                </c:pt>
                <c:pt idx="1">
                  <c:v>142.92550496666388</c:v>
                </c:pt>
                <c:pt idx="2">
                  <c:v>57.925504966663659</c:v>
                </c:pt>
                <c:pt idx="3">
                  <c:v>-4.0744950333363121</c:v>
                </c:pt>
              </c:numCache>
            </c:numRef>
          </c:val>
        </c:ser>
        <c:ser>
          <c:idx val="1"/>
          <c:order val="1"/>
          <c:tx>
            <c:strRef>
              <c:f>SimData!$AC$3</c:f>
              <c:strCache>
                <c:ptCount val="1"/>
                <c:pt idx="0">
                  <c:v>5th Percentile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ysDash"/>
            </a:ln>
          </c:spPr>
          <c:marker>
            <c:symbol val="none"/>
          </c:marker>
          <c:cat>
            <c:strRef>
              <c:f>SimData!$AD$1:$AG$1</c:f>
              <c:strCache>
                <c:ptCount val="4"/>
                <c:pt idx="0">
                  <c:v>NCI: 1</c:v>
                </c:pt>
                <c:pt idx="1">
                  <c:v>NCI: 2</c:v>
                </c:pt>
                <c:pt idx="2">
                  <c:v>NCI: 3</c:v>
                </c:pt>
                <c:pt idx="3">
                  <c:v>NCI: 4</c:v>
                </c:pt>
              </c:strCache>
            </c:strRef>
          </c:cat>
          <c:val>
            <c:numRef>
              <c:f>SimData!$AD$3:$AG$3</c:f>
              <c:numCache>
                <c:formatCode>General</c:formatCode>
                <c:ptCount val="4"/>
                <c:pt idx="0">
                  <c:v>140.92688547473836</c:v>
                </c:pt>
                <c:pt idx="1">
                  <c:v>72.926885474738356</c:v>
                </c:pt>
                <c:pt idx="2">
                  <c:v>-12.073114525261644</c:v>
                </c:pt>
                <c:pt idx="3">
                  <c:v>-74.073114525261644</c:v>
                </c:pt>
              </c:numCache>
            </c:numRef>
          </c:val>
        </c:ser>
        <c:ser>
          <c:idx val="2"/>
          <c:order val="2"/>
          <c:tx>
            <c:strRef>
              <c:f>SimData!$AC$4</c:f>
              <c:strCache>
                <c:ptCount val="1"/>
                <c:pt idx="0">
                  <c:v>25th Percentile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SimData!$AD$1:$AG$1</c:f>
              <c:strCache>
                <c:ptCount val="4"/>
                <c:pt idx="0">
                  <c:v>NCI: 1</c:v>
                </c:pt>
                <c:pt idx="1">
                  <c:v>NCI: 2</c:v>
                </c:pt>
                <c:pt idx="2">
                  <c:v>NCI: 3</c:v>
                </c:pt>
                <c:pt idx="3">
                  <c:v>NCI: 4</c:v>
                </c:pt>
              </c:strCache>
            </c:strRef>
          </c:cat>
          <c:val>
            <c:numRef>
              <c:f>SimData!$AD$4:$AG$4</c:f>
              <c:numCache>
                <c:formatCode>General</c:formatCode>
                <c:ptCount val="4"/>
                <c:pt idx="0">
                  <c:v>183.19849439861161</c:v>
                </c:pt>
                <c:pt idx="1">
                  <c:v>115.19849439861161</c:v>
                </c:pt>
                <c:pt idx="2">
                  <c:v>30.198494398611615</c:v>
                </c:pt>
                <c:pt idx="3">
                  <c:v>-31.801505601388385</c:v>
                </c:pt>
              </c:numCache>
            </c:numRef>
          </c:val>
        </c:ser>
        <c:ser>
          <c:idx val="3"/>
          <c:order val="3"/>
          <c:tx>
            <c:strRef>
              <c:f>SimData!$AC$5</c:f>
              <c:strCache>
                <c:ptCount val="1"/>
                <c:pt idx="0">
                  <c:v>75th Percentile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ysDash"/>
            </a:ln>
          </c:spPr>
          <c:marker>
            <c:symbol val="none"/>
          </c:marker>
          <c:cat>
            <c:strRef>
              <c:f>SimData!$AD$1:$AG$1</c:f>
              <c:strCache>
                <c:ptCount val="4"/>
                <c:pt idx="0">
                  <c:v>NCI: 1</c:v>
                </c:pt>
                <c:pt idx="1">
                  <c:v>NCI: 2</c:v>
                </c:pt>
                <c:pt idx="2">
                  <c:v>NCI: 3</c:v>
                </c:pt>
                <c:pt idx="3">
                  <c:v>NCI: 4</c:v>
                </c:pt>
              </c:strCache>
            </c:strRef>
          </c:cat>
          <c:val>
            <c:numRef>
              <c:f>SimData!$AD$5:$AG$5</c:f>
              <c:numCache>
                <c:formatCode>General</c:formatCode>
                <c:ptCount val="4"/>
                <c:pt idx="0">
                  <c:v>233.95561941464425</c:v>
                </c:pt>
                <c:pt idx="1">
                  <c:v>165.95561941464425</c:v>
                </c:pt>
                <c:pt idx="2">
                  <c:v>80.955619414644246</c:v>
                </c:pt>
                <c:pt idx="3">
                  <c:v>18.955619414644246</c:v>
                </c:pt>
              </c:numCache>
            </c:numRef>
          </c:val>
        </c:ser>
        <c:ser>
          <c:idx val="4"/>
          <c:order val="4"/>
          <c:tx>
            <c:strRef>
              <c:f>SimData!$AC$6</c:f>
              <c:strCache>
                <c:ptCount val="1"/>
                <c:pt idx="0">
                  <c:v>95th Percentile</c:v>
                </c:pt>
              </c:strCache>
            </c:strRef>
          </c:tx>
          <c:spPr>
            <a:ln w="38100">
              <a:solidFill>
                <a:srgbClr val="800000"/>
              </a:solidFill>
              <a:prstDash val="sysDash"/>
            </a:ln>
          </c:spPr>
          <c:marker>
            <c:symbol val="none"/>
          </c:marker>
          <c:cat>
            <c:strRef>
              <c:f>SimData!$AD$1:$AG$1</c:f>
              <c:strCache>
                <c:ptCount val="4"/>
                <c:pt idx="0">
                  <c:v>NCI: 1</c:v>
                </c:pt>
                <c:pt idx="1">
                  <c:v>NCI: 2</c:v>
                </c:pt>
                <c:pt idx="2">
                  <c:v>NCI: 3</c:v>
                </c:pt>
                <c:pt idx="3">
                  <c:v>NCI: 4</c:v>
                </c:pt>
              </c:strCache>
            </c:strRef>
          </c:cat>
          <c:val>
            <c:numRef>
              <c:f>SimData!$AD$6:$AG$6</c:f>
              <c:numCache>
                <c:formatCode>General</c:formatCode>
                <c:ptCount val="4"/>
                <c:pt idx="0">
                  <c:v>288.78475807437536</c:v>
                </c:pt>
                <c:pt idx="1">
                  <c:v>220.78475807437536</c:v>
                </c:pt>
                <c:pt idx="2">
                  <c:v>135.78475807437536</c:v>
                </c:pt>
                <c:pt idx="3">
                  <c:v>73.784758074375361</c:v>
                </c:pt>
              </c:numCache>
            </c:numRef>
          </c:val>
        </c:ser>
        <c:drop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dropLines>
        <c:marker val="1"/>
        <c:axId val="51972352"/>
        <c:axId val="51998720"/>
      </c:lineChart>
      <c:catAx>
        <c:axId val="51972352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998720"/>
        <c:crosses val="autoZero"/>
        <c:auto val="1"/>
        <c:lblAlgn val="ctr"/>
        <c:lblOffset val="100"/>
        <c:tickLblSkip val="1"/>
        <c:tickMarkSkip val="1"/>
      </c:catAx>
      <c:valAx>
        <c:axId val="51998720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97235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2.9658986820239458E-2"/>
          <c:y val="0.84320557491289194"/>
          <c:w val="0.94167283154260284"/>
          <c:h val="0.13588850174216027"/>
        </c:manualLayout>
      </c:layout>
      <c:spPr>
        <a:noFill/>
        <a:ln w="25400">
          <a:noFill/>
        </a:ln>
      </c:spPr>
      <c:txPr>
        <a:bodyPr/>
        <a:lstStyle/>
        <a:p>
          <a:pPr>
            <a:defRPr sz="73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strRef>
          <c:f>SimData!$H$30</c:f>
          <c:strCache>
            <c:ptCount val="1"/>
            <c:pt idx="0">
              <c:v>Fan Graph for 4 Categories</c:v>
            </c:pt>
          </c:strCache>
        </c:strRef>
      </c:tx>
      <c:layout>
        <c:manualLayout>
          <c:xMode val="edge"/>
          <c:yMode val="edge"/>
          <c:x val="0.29763784718372532"/>
          <c:y val="2.9995425877814605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47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9.6655589549354104E-2"/>
          <c:y val="0.18689457662330639"/>
          <c:w val="0.88217403160124774"/>
          <c:h val="0.63221128388624637"/>
        </c:manualLayout>
      </c:layout>
      <c:lineChart>
        <c:grouping val="standard"/>
        <c:ser>
          <c:idx val="0"/>
          <c:order val="0"/>
          <c:tx>
            <c:strRef>
              <c:f>SimData!$I$31</c:f>
              <c:strCache>
                <c:ptCount val="1"/>
                <c:pt idx="0">
                  <c:v>Average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errBars>
            <c:errDir val="y"/>
            <c:errBarType val="both"/>
            <c:errValType val="cust"/>
            <c:noEndCap val="1"/>
            <c:plus>
              <c:numRef>
                <c:f>SimData!$J$35:$M$35</c:f>
                <c:numCache>
                  <c:formatCode>General</c:formatCode>
                  <c:ptCount val="4"/>
                  <c:pt idx="0">
                    <c:v>288.78475807437536</c:v>
                  </c:pt>
                  <c:pt idx="1">
                    <c:v>220.78475807437536</c:v>
                  </c:pt>
                  <c:pt idx="2">
                    <c:v>135.78475807437536</c:v>
                  </c:pt>
                  <c:pt idx="3">
                    <c:v>73.784758074375361</c:v>
                  </c:pt>
                </c:numCache>
              </c:numRef>
            </c:plus>
            <c:minus>
              <c:numRef>
                <c:f>SimData!$J$32:$M$32</c:f>
                <c:numCache>
                  <c:formatCode>General</c:formatCode>
                  <c:ptCount val="4"/>
                  <c:pt idx="0">
                    <c:v>140.92688547473836</c:v>
                  </c:pt>
                  <c:pt idx="1">
                    <c:v>72.926885474738356</c:v>
                  </c:pt>
                  <c:pt idx="2">
                    <c:v>-12.073114525261644</c:v>
                  </c:pt>
                  <c:pt idx="3">
                    <c:v>-74.073114525261644</c:v>
                  </c:pt>
                </c:numCache>
              </c:numRef>
            </c:minus>
            <c:spPr>
              <a:ln w="38100">
                <a:solidFill>
                  <a:srgbClr val="000000"/>
                </a:solidFill>
                <a:prstDash val="solid"/>
              </a:ln>
            </c:spPr>
          </c:errBars>
          <c:cat>
            <c:strRef>
              <c:f>SimData!$J$30:$M$30</c:f>
              <c:strCache>
                <c:ptCount val="4"/>
                <c:pt idx="0">
                  <c:v>NCI: 1</c:v>
                </c:pt>
                <c:pt idx="1">
                  <c:v>NCI: 2</c:v>
                </c:pt>
                <c:pt idx="2">
                  <c:v>NCI: 3</c:v>
                </c:pt>
                <c:pt idx="3">
                  <c:v>NCI: 4</c:v>
                </c:pt>
              </c:strCache>
            </c:strRef>
          </c:cat>
          <c:val>
            <c:numRef>
              <c:f>SimData!$J$31:$M$31</c:f>
              <c:numCache>
                <c:formatCode>General</c:formatCode>
                <c:ptCount val="4"/>
                <c:pt idx="0">
                  <c:v>210.92550496666391</c:v>
                </c:pt>
                <c:pt idx="1">
                  <c:v>142.92550496666388</c:v>
                </c:pt>
                <c:pt idx="2">
                  <c:v>57.925504966663659</c:v>
                </c:pt>
                <c:pt idx="3">
                  <c:v>-4.0744950333363121</c:v>
                </c:pt>
              </c:numCache>
            </c:numRef>
          </c:val>
        </c:ser>
        <c:drop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dropLines>
        <c:marker val="1"/>
        <c:axId val="52027776"/>
        <c:axId val="52029312"/>
      </c:lineChart>
      <c:catAx>
        <c:axId val="52027776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029312"/>
        <c:crosses val="autoZero"/>
        <c:auto val="1"/>
        <c:lblAlgn val="ctr"/>
        <c:lblOffset val="100"/>
        <c:tickLblSkip val="1"/>
        <c:tickMarkSkip val="1"/>
      </c:catAx>
      <c:valAx>
        <c:axId val="52029312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02777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6179892784691406"/>
          <c:y val="0.92755086176011325"/>
          <c:w val="0.15188735500612788"/>
          <c:h val="5.7683511303489629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285750</xdr:colOff>
      <xdr:row>7</xdr:row>
      <xdr:rowOff>142875</xdr:rowOff>
    </xdr:from>
    <xdr:to>
      <xdr:col>10</xdr:col>
      <xdr:colOff>57150</xdr:colOff>
      <xdr:row>24</xdr:row>
      <xdr:rowOff>28575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57150</xdr:colOff>
      <xdr:row>8</xdr:row>
      <xdr:rowOff>0</xdr:rowOff>
    </xdr:from>
    <xdr:to>
      <xdr:col>16</xdr:col>
      <xdr:colOff>257175</xdr:colOff>
      <xdr:row>24</xdr:row>
      <xdr:rowOff>47625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95250</xdr:colOff>
      <xdr:row>35</xdr:row>
      <xdr:rowOff>19050</xdr:rowOff>
    </xdr:from>
    <xdr:to>
      <xdr:col>15</xdr:col>
      <xdr:colOff>209550</xdr:colOff>
      <xdr:row>59</xdr:row>
      <xdr:rowOff>114300</xdr:rowOff>
    </xdr:to>
    <xdr:graphicFrame macro="">
      <xdr:nvGraphicFramePr>
        <xdr:cNvPr id="102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19"/>
  <sheetViews>
    <sheetView topLeftCell="A29" workbookViewId="0">
      <selection activeCell="N32" sqref="N32"/>
    </sheetView>
  </sheetViews>
  <sheetFormatPr defaultRowHeight="12.75"/>
  <sheetData>
    <row r="1" spans="1:33">
      <c r="A1" t="s">
        <v>47</v>
      </c>
      <c r="Q1" t="str">
        <f>SimData!$B$8</f>
        <v>NCI: 1</v>
      </c>
      <c r="R1" t="s">
        <v>44</v>
      </c>
      <c r="S1" t="str">
        <f>SimData!$C$8</f>
        <v>NCI: 2</v>
      </c>
      <c r="T1" t="s">
        <v>44</v>
      </c>
      <c r="U1" t="str">
        <f>SimData!$D$8</f>
        <v>NCI: 3</v>
      </c>
      <c r="V1" t="s">
        <v>44</v>
      </c>
      <c r="W1" t="str">
        <f>SimData!$E$8</f>
        <v>NCI: 4</v>
      </c>
      <c r="X1" t="s">
        <v>44</v>
      </c>
      <c r="AB1" t="s">
        <v>46</v>
      </c>
      <c r="AD1" t="str">
        <f>SimData!$B$8</f>
        <v>NCI: 1</v>
      </c>
      <c r="AE1" t="str">
        <f>SimData!$C$8</f>
        <v>NCI: 2</v>
      </c>
      <c r="AF1" t="str">
        <f>SimData!$D$8</f>
        <v>NCI: 3</v>
      </c>
      <c r="AG1" t="str">
        <f>SimData!$E$8</f>
        <v>NCI: 4</v>
      </c>
    </row>
    <row r="2" spans="1:33">
      <c r="A2" t="s">
        <v>28</v>
      </c>
      <c r="B2" t="str">
        <f ca="1">ADDRESS(ROW(Budget!$B$22),COLUMN(Budget!$B$22),4,,_xll.WSNAME(Budget!$B$22))</f>
        <v>Budget!B22</v>
      </c>
      <c r="C2" t="str">
        <f ca="1">ADDRESS(ROW(Budget!$B$22),COLUMN(Budget!$B$22),4,,_xll.WSNAME(Budget!$B$22))</f>
        <v>Budget!B22</v>
      </c>
      <c r="D2" t="str">
        <f ca="1">ADDRESS(ROW(Budget!$B$22),COLUMN(Budget!$B$22),4,,_xll.WSNAME(Budget!$B$22))</f>
        <v>Budget!B22</v>
      </c>
      <c r="E2" t="str">
        <f ca="1">ADDRESS(ROW(Budget!$B$22),COLUMN(Budget!$B$22),4,,_xll.WSNAME(Budget!$B$22))</f>
        <v>Budget!B22</v>
      </c>
      <c r="Q2">
        <f>SMALL(SimData!$B$9:$B$508,1)</f>
        <v>88.712825277060972</v>
      </c>
      <c r="R2">
        <v>0</v>
      </c>
      <c r="S2">
        <f>SMALL(SimData!$C$9:$C$508,1)</f>
        <v>20.712825277060972</v>
      </c>
      <c r="T2">
        <v>0</v>
      </c>
      <c r="U2">
        <f>SMALL(SimData!$D$9:$D$508,1)</f>
        <v>-64.287174722939028</v>
      </c>
      <c r="V2">
        <v>0</v>
      </c>
      <c r="W2">
        <f>SMALL(SimData!$E$9:$E$508,1)</f>
        <v>-126.28717472293903</v>
      </c>
      <c r="X2">
        <v>0</v>
      </c>
      <c r="AC2" t="s">
        <v>45</v>
      </c>
      <c r="AD2">
        <f>AVERAGE(SimData!$B$9:$B$508)</f>
        <v>210.92550496666391</v>
      </c>
      <c r="AE2">
        <f>AVERAGE(SimData!$C$9:$C$508)</f>
        <v>142.92550496666388</v>
      </c>
      <c r="AF2">
        <f>AVERAGE(SimData!$D$9:$D$508)</f>
        <v>57.925504966663659</v>
      </c>
      <c r="AG2">
        <f>AVERAGE(SimData!$E$9:$E$508)</f>
        <v>-4.0744950333363121</v>
      </c>
    </row>
    <row r="3" spans="1:33">
      <c r="A3" t="s">
        <v>29</v>
      </c>
      <c r="B3">
        <f>AVERAGE(B9:B508)</f>
        <v>210.92550496666391</v>
      </c>
      <c r="C3">
        <f>AVERAGE(C9:C508)</f>
        <v>142.92550496666388</v>
      </c>
      <c r="D3">
        <f>AVERAGE(D9:D508)</f>
        <v>57.925504966663659</v>
      </c>
      <c r="E3">
        <f>AVERAGE(E9:E508)</f>
        <v>-4.0744950333363121</v>
      </c>
      <c r="Q3">
        <f>SMALL(SimData!$B$9:$B$508,2)</f>
        <v>89.368687453795673</v>
      </c>
      <c r="R3">
        <f>1/(COUNT(SimData!$B$9:$B$508)-1)+$R$2</f>
        <v>2.004008016032064E-3</v>
      </c>
      <c r="S3">
        <f>SMALL(SimData!$C$9:$C$508,2)</f>
        <v>21.368687453795673</v>
      </c>
      <c r="T3">
        <f>1/(COUNT(SimData!$C$9:$C$508)-1)+$T$2</f>
        <v>2.004008016032064E-3</v>
      </c>
      <c r="U3">
        <f>SMALL(SimData!$D$9:$D$508,2)</f>
        <v>-63.631312546204327</v>
      </c>
      <c r="V3">
        <f>1/(COUNT(SimData!$D$9:$D$508)-1)+$V$2</f>
        <v>2.004008016032064E-3</v>
      </c>
      <c r="W3">
        <f>SMALL(SimData!$E$9:$E$508,2)</f>
        <v>-125.63131254620433</v>
      </c>
      <c r="X3">
        <f>1/(COUNT(SimData!$E$9:$E$508)-1)+$X$2</f>
        <v>2.004008016032064E-3</v>
      </c>
      <c r="AB3">
        <v>0.05</v>
      </c>
      <c r="AC3" t="str">
        <f>ROUND(100*$AB$3,1)&amp;IF(AND(VALUE(RIGHT(ROUND(100*$AB$3,1),2))&gt;10,VALUE(RIGHT(ROUND(100*$AN$14,1),2))&lt;20)=TRUE,"th",IF(RIGHT(ROUND(100*$AB$3,1))="1","st",IF(RIGHT(ROUND(100*$AB$3,0))="2","nd",IF(RIGHT(ROUND(100*$AB$3,1))="3","rd","th"))))&amp;" Percentile"</f>
        <v>5th Percentile</v>
      </c>
      <c r="AD3">
        <f>_xll.QUANTILE(SimData!$B$9:$B$508,SimData!$AB$3)</f>
        <v>140.92688547473836</v>
      </c>
      <c r="AE3">
        <f>_xll.QUANTILE(SimData!$C$9:$C$508,SimData!$AB$3)</f>
        <v>72.926885474738356</v>
      </c>
      <c r="AF3">
        <f>_xll.QUANTILE(SimData!$D$9:$D$508,SimData!$AB$3)</f>
        <v>-12.073114525261644</v>
      </c>
      <c r="AG3">
        <f>_xll.QUANTILE(SimData!$E$9:$E$508,SimData!$AB$3)</f>
        <v>-74.073114525261644</v>
      </c>
    </row>
    <row r="4" spans="1:33">
      <c r="A4" t="s">
        <v>30</v>
      </c>
      <c r="B4">
        <f>STDEV(B9:B508)</f>
        <v>43.461058856733828</v>
      </c>
      <c r="C4">
        <f>STDEV(C9:C508)</f>
        <v>43.461058856734084</v>
      </c>
      <c r="D4">
        <f>STDEV(D9:D508)</f>
        <v>43.461058856734667</v>
      </c>
      <c r="E4">
        <f>STDEV(E9:E508)</f>
        <v>43.461058856734645</v>
      </c>
      <c r="Q4">
        <f>SMALL(SimData!$B$9:$B$508,3)</f>
        <v>90.151142979497081</v>
      </c>
      <c r="R4">
        <f>1/(COUNT(SimData!$B$9:$B$508)-1)+$R$3</f>
        <v>4.0080160320641279E-3</v>
      </c>
      <c r="S4">
        <f>SMALL(SimData!$C$9:$C$508,3)</f>
        <v>22.151142979497081</v>
      </c>
      <c r="T4">
        <f>1/(COUNT(SimData!$C$9:$C$508)-1)+$T$3</f>
        <v>4.0080160320641279E-3</v>
      </c>
      <c r="U4">
        <f>SMALL(SimData!$D$9:$D$508,3)</f>
        <v>-62.848857020502919</v>
      </c>
      <c r="V4">
        <f>1/(COUNT(SimData!$D$9:$D$508)-1)+$V$3</f>
        <v>4.0080160320641279E-3</v>
      </c>
      <c r="W4">
        <f>SMALL(SimData!$E$9:$E$508,3)</f>
        <v>-124.84885702050292</v>
      </c>
      <c r="X4">
        <f>1/(COUNT(SimData!$E$9:$E$508)-1)+$X$3</f>
        <v>4.0080160320641279E-3</v>
      </c>
      <c r="AB4">
        <v>0.25</v>
      </c>
      <c r="AC4" t="str">
        <f>ROUND(100*$AB$4,1)&amp;IF(AND(VALUE(RIGHT(ROUND(100*$AB$4,1),2))&gt;10,VALUE(RIGHT(ROUND(100*$AN$14,1),2))&lt;20)=TRUE,"th",IF(RIGHT(ROUND(100*$AB$4,1))="1","st",IF(RIGHT(ROUND(100*$AB$4,0))="2","nd",IF(RIGHT(ROUND(100*$AB$4,1))="3","rd","th"))))&amp;" Percentile"</f>
        <v>25th Percentile</v>
      </c>
      <c r="AD4">
        <f>_xll.QUANTILE(SimData!$B$9:$B$508,SimData!$AB$4)</f>
        <v>183.19849439861161</v>
      </c>
      <c r="AE4">
        <f>_xll.QUANTILE(SimData!$C$9:$C$508,SimData!$AB$4)</f>
        <v>115.19849439861161</v>
      </c>
      <c r="AF4">
        <f>_xll.QUANTILE(SimData!$D$9:$D$508,SimData!$AB$4)</f>
        <v>30.198494398611615</v>
      </c>
      <c r="AG4">
        <f>_xll.QUANTILE(SimData!$E$9:$E$508,SimData!$AB$4)</f>
        <v>-31.801505601388385</v>
      </c>
    </row>
    <row r="5" spans="1:33">
      <c r="A5" t="s">
        <v>31</v>
      </c>
      <c r="B5">
        <f>100*B4/B3</f>
        <v>20.60493294236878</v>
      </c>
      <c r="C5">
        <f>100*C4/C3</f>
        <v>30.408189823692414</v>
      </c>
      <c r="D5">
        <f>100*D4/D3</f>
        <v>75.029227421921775</v>
      </c>
      <c r="E5">
        <f>100*E4/E3</f>
        <v>-1066.6612304383518</v>
      </c>
      <c r="Q5">
        <f>SMALL(SimData!$B$9:$B$508,4)</f>
        <v>104.14623920100232</v>
      </c>
      <c r="R5">
        <f>1/(COUNT(SimData!$B$9:$B$508)-1)+$R$4</f>
        <v>6.0120240480961915E-3</v>
      </c>
      <c r="S5">
        <f>SMALL(SimData!$C$9:$C$508,4)</f>
        <v>36.146239201002317</v>
      </c>
      <c r="T5">
        <f>1/(COUNT(SimData!$C$9:$C$508)-1)+$T$4</f>
        <v>6.0120240480961915E-3</v>
      </c>
      <c r="U5">
        <f>SMALL(SimData!$D$9:$D$508,4)</f>
        <v>-48.853760798997683</v>
      </c>
      <c r="V5">
        <f>1/(COUNT(SimData!$D$9:$D$508)-1)+$V$4</f>
        <v>6.0120240480961915E-3</v>
      </c>
      <c r="W5">
        <f>SMALL(SimData!$E$9:$E$508,4)</f>
        <v>-110.85376079899768</v>
      </c>
      <c r="X5">
        <f>1/(COUNT(SimData!$E$9:$E$508)-1)+$X$4</f>
        <v>6.0120240480961915E-3</v>
      </c>
      <c r="AB5">
        <v>0.75</v>
      </c>
      <c r="AC5" t="str">
        <f>ROUND(100*$AB$5,1)&amp;IF(AND(VALUE(RIGHT(ROUND(100*$AB$5,1),2))&gt;10,VALUE(RIGHT(ROUND(100*$AN$14,1),2))&lt;20)=TRUE,"th",IF(RIGHT(ROUND(100*$AB$5,1))="1","st",IF(RIGHT(ROUND(100*$AB$5,0))="2","nd",IF(RIGHT(ROUND(100*$AB$5,1))="3","rd","th"))))&amp;" Percentile"</f>
        <v>75th Percentile</v>
      </c>
      <c r="AD5">
        <f>_xll.QUANTILE(SimData!$B$9:$B$508,SimData!$AB$5)</f>
        <v>233.95561941464425</v>
      </c>
      <c r="AE5">
        <f>_xll.QUANTILE(SimData!$C$9:$C$508,SimData!$AB$5)</f>
        <v>165.95561941464425</v>
      </c>
      <c r="AF5">
        <f>_xll.QUANTILE(SimData!$D$9:$D$508,SimData!$AB$5)</f>
        <v>80.955619414644246</v>
      </c>
      <c r="AG5">
        <f>_xll.QUANTILE(SimData!$E$9:$E$508,SimData!$AB$5)</f>
        <v>18.955619414644246</v>
      </c>
    </row>
    <row r="6" spans="1:33">
      <c r="A6" t="s">
        <v>16</v>
      </c>
      <c r="B6">
        <f>MIN(B9:B508)</f>
        <v>88.712825277060972</v>
      </c>
      <c r="C6">
        <f>MIN(C9:C508)</f>
        <v>20.712825277060972</v>
      </c>
      <c r="D6">
        <f>MIN(D9:D508)</f>
        <v>-64.287174722939028</v>
      </c>
      <c r="E6">
        <f>MIN(E9:E508)</f>
        <v>-126.28717472293903</v>
      </c>
      <c r="Q6">
        <f>SMALL(SimData!$B$9:$B$508,5)</f>
        <v>107.23328451043588</v>
      </c>
      <c r="R6">
        <f>1/(COUNT(SimData!$B$9:$B$508)-1)+$R$5</f>
        <v>8.0160320641282558E-3</v>
      </c>
      <c r="S6">
        <f>SMALL(SimData!$C$9:$C$508,5)</f>
        <v>39.23328451043588</v>
      </c>
      <c r="T6">
        <f>1/(COUNT(SimData!$C$9:$C$508)-1)+$T$5</f>
        <v>8.0160320641282558E-3</v>
      </c>
      <c r="U6">
        <f>SMALL(SimData!$D$9:$D$508,5)</f>
        <v>-45.76671548956412</v>
      </c>
      <c r="V6">
        <f>1/(COUNT(SimData!$D$9:$D$508)-1)+$V$5</f>
        <v>8.0160320641282558E-3</v>
      </c>
      <c r="W6">
        <f>SMALL(SimData!$E$9:$E$508,5)</f>
        <v>-107.76671548956412</v>
      </c>
      <c r="X6">
        <f>1/(COUNT(SimData!$E$9:$E$508)-1)+$X$5</f>
        <v>8.0160320641282558E-3</v>
      </c>
      <c r="AB6">
        <v>0.95</v>
      </c>
      <c r="AC6" t="str">
        <f>ROUND(100*$AB$6,1)&amp;IF(AND(VALUE(RIGHT(ROUND(100*$AB$6,1),2))&gt;10,VALUE(RIGHT(ROUND(100*$AN$14,1),2))&lt;20)=TRUE,"th",IF(RIGHT(ROUND(100*$AB$6,1))="1","st",IF(RIGHT(ROUND(100*$AB$6,0))="2","nd",IF(RIGHT(ROUND(100*$AB$6,1))="3","rd","th"))))&amp;" Percentile"</f>
        <v>95th Percentile</v>
      </c>
      <c r="AD6">
        <f>_xll.QUANTILE(SimData!$B$9:$B$508,SimData!$AB$6)</f>
        <v>288.78475807437536</v>
      </c>
      <c r="AE6">
        <f>_xll.QUANTILE(SimData!$C$9:$C$508,SimData!$AB$6)</f>
        <v>220.78475807437536</v>
      </c>
      <c r="AF6">
        <f>_xll.QUANTILE(SimData!$D$9:$D$508,SimData!$AB$6)</f>
        <v>135.78475807437536</v>
      </c>
      <c r="AG6">
        <f>_xll.QUANTILE(SimData!$E$9:$E$508,SimData!$AB$6)</f>
        <v>73.784758074375361</v>
      </c>
    </row>
    <row r="7" spans="1:33">
      <c r="A7" t="s">
        <v>18</v>
      </c>
      <c r="B7">
        <f>MAX(B9:B508)</f>
        <v>341.44431236446036</v>
      </c>
      <c r="C7">
        <f>MAX(C9:C508)</f>
        <v>273.44431236446036</v>
      </c>
      <c r="D7">
        <f>MAX(D9:D508)</f>
        <v>188.44431236446036</v>
      </c>
      <c r="E7">
        <f>MAX(E9:E508)</f>
        <v>126.44431236446036</v>
      </c>
      <c r="Q7">
        <f>SMALL(SimData!$B$9:$B$508,6)</f>
        <v>109.15632008502669</v>
      </c>
      <c r="R7">
        <f>1/(COUNT(SimData!$B$9:$B$508)-1)+$R$6</f>
        <v>1.002004008016032E-2</v>
      </c>
      <c r="S7">
        <f>SMALL(SimData!$C$9:$C$508,6)</f>
        <v>41.156320085026692</v>
      </c>
      <c r="T7">
        <f>1/(COUNT(SimData!$C$9:$C$508)-1)+$T$6</f>
        <v>1.002004008016032E-2</v>
      </c>
      <c r="U7">
        <f>SMALL(SimData!$D$9:$D$508,6)</f>
        <v>-43.843679914973308</v>
      </c>
      <c r="V7">
        <f>1/(COUNT(SimData!$D$9:$D$508)-1)+$V$6</f>
        <v>1.002004008016032E-2</v>
      </c>
      <c r="W7">
        <f>SMALL(SimData!$E$9:$E$508,6)</f>
        <v>-105.84367991497331</v>
      </c>
      <c r="X7">
        <f>1/(COUNT(SimData!$E$9:$E$508)-1)+$X$6</f>
        <v>1.002004008016032E-2</v>
      </c>
    </row>
    <row r="8" spans="1:33">
      <c r="A8" t="s">
        <v>32</v>
      </c>
      <c r="B8" t="str">
        <f>Budget!$A$22&amp;": "&amp;1</f>
        <v>NCI: 1</v>
      </c>
      <c r="C8" t="str">
        <f>Budget!$A$22&amp;": "&amp;2</f>
        <v>NCI: 2</v>
      </c>
      <c r="D8" t="str">
        <f>Budget!$A$22&amp;": "&amp;3</f>
        <v>NCI: 3</v>
      </c>
      <c r="E8" t="str">
        <f>Budget!$A$22&amp;": "&amp;4</f>
        <v>NCI: 4</v>
      </c>
      <c r="Q8">
        <f>SMALL(SimData!$B$9:$B$508,7)</f>
        <v>120.41063857537293</v>
      </c>
      <c r="R8">
        <f>1/(COUNT(SimData!$B$9:$B$508)-1)+$R$7</f>
        <v>1.2024048096192385E-2</v>
      </c>
      <c r="S8">
        <f>SMALL(SimData!$C$9:$C$508,7)</f>
        <v>52.410638575372928</v>
      </c>
      <c r="T8">
        <f>1/(COUNT(SimData!$C$9:$C$508)-1)+$T$7</f>
        <v>1.2024048096192385E-2</v>
      </c>
      <c r="U8">
        <f>SMALL(SimData!$D$9:$D$508,7)</f>
        <v>-32.589361424627072</v>
      </c>
      <c r="V8">
        <f>1/(COUNT(SimData!$D$9:$D$508)-1)+$V$7</f>
        <v>1.2024048096192385E-2</v>
      </c>
      <c r="W8">
        <f>SMALL(SimData!$E$9:$E$508,7)</f>
        <v>-94.589361424627072</v>
      </c>
      <c r="X8">
        <f>1/(COUNT(SimData!$E$9:$E$508)-1)+$X$7</f>
        <v>1.2024048096192385E-2</v>
      </c>
    </row>
    <row r="9" spans="1:33">
      <c r="A9">
        <v>1</v>
      </c>
      <c r="B9">
        <v>188.65430855071128</v>
      </c>
      <c r="C9">
        <v>120.65430855071128</v>
      </c>
      <c r="D9">
        <v>35.654308550711278</v>
      </c>
      <c r="E9">
        <v>-26.345691449288722</v>
      </c>
      <c r="Q9">
        <f>SMALL(SimData!$B$9:$B$508,8)</f>
        <v>124.38753613918513</v>
      </c>
      <c r="R9">
        <f>1/(COUNT(SimData!$B$9:$B$508)-1)+$R$8</f>
        <v>1.4028056112224449E-2</v>
      </c>
      <c r="S9">
        <f>SMALL(SimData!$C$9:$C$508,8)</f>
        <v>56.38753613918513</v>
      </c>
      <c r="T9">
        <f>1/(COUNT(SimData!$C$9:$C$508)-1)+$T$8</f>
        <v>1.4028056112224449E-2</v>
      </c>
      <c r="U9">
        <f>SMALL(SimData!$D$9:$D$508,8)</f>
        <v>-28.61246386081487</v>
      </c>
      <c r="V9">
        <f>1/(COUNT(SimData!$D$9:$D$508)-1)+$V$8</f>
        <v>1.4028056112224449E-2</v>
      </c>
      <c r="W9">
        <f>SMALL(SimData!$E$9:$E$508,8)</f>
        <v>-90.61246386081487</v>
      </c>
      <c r="X9">
        <f>1/(COUNT(SimData!$E$9:$E$508)-1)+$X$8</f>
        <v>1.4028056112224449E-2</v>
      </c>
    </row>
    <row r="10" spans="1:33">
      <c r="A10">
        <v>2</v>
      </c>
      <c r="B10">
        <v>174.84167737230001</v>
      </c>
      <c r="C10">
        <v>106.84167737230001</v>
      </c>
      <c r="D10">
        <v>21.841677372300012</v>
      </c>
      <c r="E10">
        <v>-40.158322627699988</v>
      </c>
      <c r="Q10">
        <f>SMALL(SimData!$B$9:$B$508,9)</f>
        <v>125.86595198907614</v>
      </c>
      <c r="R10">
        <f>1/(COUNT(SimData!$B$9:$B$508)-1)+$R$9</f>
        <v>1.6032064128256512E-2</v>
      </c>
      <c r="S10">
        <f>SMALL(SimData!$C$9:$C$508,9)</f>
        <v>57.865951989076137</v>
      </c>
      <c r="T10">
        <f>1/(COUNT(SimData!$C$9:$C$508)-1)+$T$9</f>
        <v>1.6032064128256512E-2</v>
      </c>
      <c r="U10">
        <f>SMALL(SimData!$D$9:$D$508,9)</f>
        <v>-27.134048010923863</v>
      </c>
      <c r="V10">
        <f>1/(COUNT(SimData!$D$9:$D$508)-1)+$V$9</f>
        <v>1.6032064128256512E-2</v>
      </c>
      <c r="W10">
        <f>SMALL(SimData!$E$9:$E$508,9)</f>
        <v>-89.134048010923863</v>
      </c>
      <c r="X10">
        <f>1/(COUNT(SimData!$E$9:$E$508)-1)+$X$9</f>
        <v>1.6032064128256512E-2</v>
      </c>
    </row>
    <row r="11" spans="1:33">
      <c r="A11">
        <v>3</v>
      </c>
      <c r="B11">
        <v>207.28271383192333</v>
      </c>
      <c r="C11">
        <v>139.28271383192333</v>
      </c>
      <c r="D11">
        <v>54.282713831923331</v>
      </c>
      <c r="E11">
        <v>-7.7172861680766687</v>
      </c>
      <c r="Q11">
        <f>SMALL(SimData!$B$9:$B$508,10)</f>
        <v>130.53976804263664</v>
      </c>
      <c r="R11">
        <f>1/(COUNT(SimData!$B$9:$B$508)-1)+$R$10</f>
        <v>1.8036072144288574E-2</v>
      </c>
      <c r="S11">
        <f>SMALL(SimData!$C$9:$C$508,10)</f>
        <v>62.539768042636638</v>
      </c>
      <c r="T11">
        <f>1/(COUNT(SimData!$C$9:$C$508)-1)+$T$10</f>
        <v>1.8036072144288574E-2</v>
      </c>
      <c r="U11">
        <f>SMALL(SimData!$D$9:$D$508,10)</f>
        <v>-22.460231957363362</v>
      </c>
      <c r="V11">
        <f>1/(COUNT(SimData!$D$9:$D$508)-1)+$V$10</f>
        <v>1.8036072144288574E-2</v>
      </c>
      <c r="W11">
        <f>SMALL(SimData!$E$9:$E$508,10)</f>
        <v>-84.460231957363362</v>
      </c>
      <c r="X11">
        <f>1/(COUNT(SimData!$E$9:$E$508)-1)+$X$10</f>
        <v>1.8036072144288574E-2</v>
      </c>
    </row>
    <row r="12" spans="1:33">
      <c r="A12">
        <v>4</v>
      </c>
      <c r="B12">
        <v>221.63945044613126</v>
      </c>
      <c r="C12">
        <v>153.63945044613126</v>
      </c>
      <c r="D12">
        <v>68.639450446131264</v>
      </c>
      <c r="E12">
        <v>6.6394504461312636</v>
      </c>
      <c r="Q12">
        <f>SMALL(SimData!$B$9:$B$508,11)</f>
        <v>130.8161816465115</v>
      </c>
      <c r="R12">
        <f>1/(COUNT(SimData!$B$9:$B$508)-1)+$R$11</f>
        <v>2.0040080160320637E-2</v>
      </c>
      <c r="S12">
        <f>SMALL(SimData!$C$9:$C$508,11)</f>
        <v>62.816181646511495</v>
      </c>
      <c r="T12">
        <f>1/(COUNT(SimData!$C$9:$C$508)-1)+$T$11</f>
        <v>2.0040080160320637E-2</v>
      </c>
      <c r="U12">
        <f>SMALL(SimData!$D$9:$D$508,11)</f>
        <v>-22.183818353488505</v>
      </c>
      <c r="V12">
        <f>1/(COUNT(SimData!$D$9:$D$508)-1)+$V$11</f>
        <v>2.0040080160320637E-2</v>
      </c>
      <c r="W12">
        <f>SMALL(SimData!$E$9:$E$508,11)</f>
        <v>-84.183818353488505</v>
      </c>
      <c r="X12">
        <f>1/(COUNT(SimData!$E$9:$E$508)-1)+$X$11</f>
        <v>2.0040080160320637E-2</v>
      </c>
    </row>
    <row r="13" spans="1:33">
      <c r="A13">
        <v>5</v>
      </c>
      <c r="B13">
        <v>244.62464387152716</v>
      </c>
      <c r="C13">
        <v>176.62464387152716</v>
      </c>
      <c r="D13">
        <v>91.624643871527155</v>
      </c>
      <c r="E13">
        <v>29.624643871527155</v>
      </c>
      <c r="Q13">
        <f>SMALL(SimData!$B$9:$B$508,12)</f>
        <v>131.33802847785921</v>
      </c>
      <c r="R13">
        <f>1/(COUNT(SimData!$B$9:$B$508)-1)+$R$12</f>
        <v>2.20440881763527E-2</v>
      </c>
      <c r="S13">
        <f>SMALL(SimData!$C$9:$C$508,12)</f>
        <v>63.338028477859211</v>
      </c>
      <c r="T13">
        <f>1/(COUNT(SimData!$C$9:$C$508)-1)+$T$12</f>
        <v>2.20440881763527E-2</v>
      </c>
      <c r="U13">
        <f>SMALL(SimData!$D$9:$D$508,12)</f>
        <v>-21.661971522140789</v>
      </c>
      <c r="V13">
        <f>1/(COUNT(SimData!$D$9:$D$508)-1)+$V$12</f>
        <v>2.20440881763527E-2</v>
      </c>
      <c r="W13">
        <f>SMALL(SimData!$E$9:$E$508,12)</f>
        <v>-83.661971522140789</v>
      </c>
      <c r="X13">
        <f>1/(COUNT(SimData!$E$9:$E$508)-1)+$X$12</f>
        <v>2.20440881763527E-2</v>
      </c>
    </row>
    <row r="14" spans="1:33">
      <c r="A14">
        <v>6</v>
      </c>
      <c r="B14">
        <v>208.42103625347232</v>
      </c>
      <c r="C14">
        <v>140.42103625347232</v>
      </c>
      <c r="D14">
        <v>55.421036253472323</v>
      </c>
      <c r="E14">
        <v>-6.5789637465276769</v>
      </c>
      <c r="Q14">
        <f>SMALL(SimData!$B$9:$B$508,13)</f>
        <v>133.90565962148128</v>
      </c>
      <c r="R14">
        <f>1/(COUNT(SimData!$B$9:$B$508)-1)+$R$13</f>
        <v>2.4048096192384762E-2</v>
      </c>
      <c r="S14">
        <f>SMALL(SimData!$C$9:$C$508,13)</f>
        <v>65.905659621481277</v>
      </c>
      <c r="T14">
        <f>1/(COUNT(SimData!$C$9:$C$508)-1)+$T$13</f>
        <v>2.4048096192384762E-2</v>
      </c>
      <c r="U14">
        <f>SMALL(SimData!$D$9:$D$508,13)</f>
        <v>-19.094340378518723</v>
      </c>
      <c r="V14">
        <f>1/(COUNT(SimData!$D$9:$D$508)-1)+$V$13</f>
        <v>2.4048096192384762E-2</v>
      </c>
      <c r="W14">
        <f>SMALL(SimData!$E$9:$E$508,13)</f>
        <v>-81.094340378518723</v>
      </c>
      <c r="X14">
        <f>1/(COUNT(SimData!$E$9:$E$508)-1)+$X$13</f>
        <v>2.4048096192384762E-2</v>
      </c>
    </row>
    <row r="15" spans="1:33">
      <c r="A15">
        <v>7</v>
      </c>
      <c r="B15">
        <v>145.45505533057718</v>
      </c>
      <c r="C15">
        <v>77.455055330577181</v>
      </c>
      <c r="D15">
        <v>-7.5449446694228186</v>
      </c>
      <c r="E15">
        <v>-69.544944669422819</v>
      </c>
      <c r="Q15">
        <f>SMALL(SimData!$B$9:$B$508,14)</f>
        <v>134.35250121298867</v>
      </c>
      <c r="R15">
        <f>1/(COUNT(SimData!$B$9:$B$508)-1)+$R$14</f>
        <v>2.6052104208416825E-2</v>
      </c>
      <c r="S15">
        <f>SMALL(SimData!$C$9:$C$508,14)</f>
        <v>66.35250121298867</v>
      </c>
      <c r="T15">
        <f>1/(COUNT(SimData!$C$9:$C$508)-1)+$T$14</f>
        <v>2.6052104208416825E-2</v>
      </c>
      <c r="U15">
        <f>SMALL(SimData!$D$9:$D$508,14)</f>
        <v>-18.64749878701133</v>
      </c>
      <c r="V15">
        <f>1/(COUNT(SimData!$D$9:$D$508)-1)+$V$14</f>
        <v>2.6052104208416825E-2</v>
      </c>
      <c r="W15">
        <f>SMALL(SimData!$E$9:$E$508,14)</f>
        <v>-80.64749878701133</v>
      </c>
      <c r="X15">
        <f>1/(COUNT(SimData!$E$9:$E$508)-1)+$X$14</f>
        <v>2.6052104208416825E-2</v>
      </c>
    </row>
    <row r="16" spans="1:33">
      <c r="A16">
        <v>8</v>
      </c>
      <c r="B16">
        <v>227.09996359889129</v>
      </c>
      <c r="C16">
        <v>159.09996359889129</v>
      </c>
      <c r="D16">
        <v>74.099963598891293</v>
      </c>
      <c r="E16">
        <v>12.099963598891293</v>
      </c>
      <c r="Q16">
        <f>SMALL(SimData!$B$9:$B$508,15)</f>
        <v>134.72531131744688</v>
      </c>
      <c r="R16">
        <f>1/(COUNT(SimData!$B$9:$B$508)-1)+$R$15</f>
        <v>2.8056112224448888E-2</v>
      </c>
      <c r="S16">
        <f>SMALL(SimData!$C$9:$C$508,15)</f>
        <v>66.725311317446881</v>
      </c>
      <c r="T16">
        <f>1/(COUNT(SimData!$C$9:$C$508)-1)+$T$15</f>
        <v>2.8056112224448888E-2</v>
      </c>
      <c r="U16">
        <f>SMALL(SimData!$D$9:$D$508,15)</f>
        <v>-18.274688682553119</v>
      </c>
      <c r="V16">
        <f>1/(COUNT(SimData!$D$9:$D$508)-1)+$V$15</f>
        <v>2.8056112224448888E-2</v>
      </c>
      <c r="W16">
        <f>SMALL(SimData!$E$9:$E$508,15)</f>
        <v>-80.274688682553119</v>
      </c>
      <c r="X16">
        <f>1/(COUNT(SimData!$E$9:$E$508)-1)+$X$15</f>
        <v>2.8056112224448888E-2</v>
      </c>
    </row>
    <row r="17" spans="1:24">
      <c r="A17">
        <v>9</v>
      </c>
      <c r="B17">
        <v>256.51463134658536</v>
      </c>
      <c r="C17">
        <v>188.51463134658536</v>
      </c>
      <c r="D17">
        <v>103.51463134658536</v>
      </c>
      <c r="E17">
        <v>41.514631346585361</v>
      </c>
      <c r="Q17">
        <f>SMALL(SimData!$B$9:$B$508,16)</f>
        <v>135.41791755105464</v>
      </c>
      <c r="R17">
        <f>1/(COUNT(SimData!$B$9:$B$508)-1)+$R$16</f>
        <v>3.006012024048095E-2</v>
      </c>
      <c r="S17">
        <f>SMALL(SimData!$C$9:$C$508,16)</f>
        <v>67.417917551054643</v>
      </c>
      <c r="T17">
        <f>1/(COUNT(SimData!$C$9:$C$508)-1)+$T$16</f>
        <v>3.006012024048095E-2</v>
      </c>
      <c r="U17">
        <f>SMALL(SimData!$D$9:$D$508,16)</f>
        <v>-17.582082448945357</v>
      </c>
      <c r="V17">
        <f>1/(COUNT(SimData!$D$9:$D$508)-1)+$V$16</f>
        <v>3.006012024048095E-2</v>
      </c>
      <c r="W17">
        <f>SMALL(SimData!$E$9:$E$508,16)</f>
        <v>-79.582082448945357</v>
      </c>
      <c r="X17">
        <f>1/(COUNT(SimData!$E$9:$E$508)-1)+$X$16</f>
        <v>3.006012024048095E-2</v>
      </c>
    </row>
    <row r="18" spans="1:24">
      <c r="A18">
        <v>10</v>
      </c>
      <c r="B18">
        <v>244.127281363924</v>
      </c>
      <c r="C18">
        <v>176.127281363924</v>
      </c>
      <c r="D18">
        <v>91.127281363923998</v>
      </c>
      <c r="E18">
        <v>29.127281363923998</v>
      </c>
      <c r="Q18">
        <f>SMALL(SimData!$B$9:$B$508,17)</f>
        <v>136.51677696210817</v>
      </c>
      <c r="R18">
        <f>1/(COUNT(SimData!$B$9:$B$508)-1)+$R$17</f>
        <v>3.2064128256513016E-2</v>
      </c>
      <c r="S18">
        <f>SMALL(SimData!$C$9:$C$508,17)</f>
        <v>68.516776962108167</v>
      </c>
      <c r="T18">
        <f>1/(COUNT(SimData!$C$9:$C$508)-1)+$T$17</f>
        <v>3.2064128256513016E-2</v>
      </c>
      <c r="U18">
        <f>SMALL(SimData!$D$9:$D$508,17)</f>
        <v>-16.483223037891833</v>
      </c>
      <c r="V18">
        <f>1/(COUNT(SimData!$D$9:$D$508)-1)+$V$17</f>
        <v>3.2064128256513016E-2</v>
      </c>
      <c r="W18">
        <f>SMALL(SimData!$E$9:$E$508,17)</f>
        <v>-78.483223037891833</v>
      </c>
      <c r="X18">
        <f>1/(COUNT(SimData!$E$9:$E$508)-1)+$X$17</f>
        <v>3.2064128256513016E-2</v>
      </c>
    </row>
    <row r="19" spans="1:24">
      <c r="A19">
        <v>11</v>
      </c>
      <c r="B19">
        <v>212.44707848239273</v>
      </c>
      <c r="C19">
        <v>144.44707848239273</v>
      </c>
      <c r="D19">
        <v>59.447078482392726</v>
      </c>
      <c r="E19">
        <v>-2.5529215176072739</v>
      </c>
      <c r="Q19">
        <f>SMALL(SimData!$B$9:$B$508,18)</f>
        <v>136.74403845328078</v>
      </c>
      <c r="R19">
        <f>1/(COUNT(SimData!$B$9:$B$508)-1)+$R$18</f>
        <v>3.4068136272545083E-2</v>
      </c>
      <c r="S19">
        <f>SMALL(SimData!$C$9:$C$508,18)</f>
        <v>68.74403845328078</v>
      </c>
      <c r="T19">
        <f>1/(COUNT(SimData!$C$9:$C$508)-1)+$T$18</f>
        <v>3.4068136272545083E-2</v>
      </c>
      <c r="U19">
        <f>SMALL(SimData!$D$9:$D$508,18)</f>
        <v>-16.25596154671922</v>
      </c>
      <c r="V19">
        <f>1/(COUNT(SimData!$D$9:$D$508)-1)+$V$18</f>
        <v>3.4068136272545083E-2</v>
      </c>
      <c r="W19">
        <f>SMALL(SimData!$E$9:$E$508,18)</f>
        <v>-78.25596154671922</v>
      </c>
      <c r="X19">
        <f>1/(COUNT(SimData!$E$9:$E$508)-1)+$X$18</f>
        <v>3.4068136272545083E-2</v>
      </c>
    </row>
    <row r="20" spans="1:24">
      <c r="A20">
        <v>12</v>
      </c>
      <c r="B20">
        <v>189.74627376593588</v>
      </c>
      <c r="C20">
        <v>121.74627376593588</v>
      </c>
      <c r="D20">
        <v>36.746273765935882</v>
      </c>
      <c r="E20">
        <v>-25.253726234064118</v>
      </c>
      <c r="Q20">
        <f>SMALL(SimData!$B$9:$B$508,19)</f>
        <v>137.33540950732845</v>
      </c>
      <c r="R20">
        <f>1/(COUNT(SimData!$B$9:$B$508)-1)+$R$19</f>
        <v>3.6072144288577149E-2</v>
      </c>
      <c r="S20">
        <f>SMALL(SimData!$C$9:$C$508,19)</f>
        <v>69.33540950732845</v>
      </c>
      <c r="T20">
        <f>1/(COUNT(SimData!$C$9:$C$508)-1)+$T$19</f>
        <v>3.6072144288577149E-2</v>
      </c>
      <c r="U20">
        <f>SMALL(SimData!$D$9:$D$508,19)</f>
        <v>-15.66459049267155</v>
      </c>
      <c r="V20">
        <f>1/(COUNT(SimData!$D$9:$D$508)-1)+$V$19</f>
        <v>3.6072144288577149E-2</v>
      </c>
      <c r="W20">
        <f>SMALL(SimData!$E$9:$E$508,19)</f>
        <v>-77.66459049267155</v>
      </c>
      <c r="X20">
        <f>1/(COUNT(SimData!$E$9:$E$508)-1)+$X$19</f>
        <v>3.6072144288577149E-2</v>
      </c>
    </row>
    <row r="21" spans="1:24">
      <c r="A21">
        <v>13</v>
      </c>
      <c r="B21">
        <v>283.0958775169716</v>
      </c>
      <c r="C21">
        <v>215.0958775169716</v>
      </c>
      <c r="D21">
        <v>130.0958775169716</v>
      </c>
      <c r="E21">
        <v>68.095877516971598</v>
      </c>
      <c r="Q21">
        <f>SMALL(SimData!$B$9:$B$508,20)</f>
        <v>138.53151548275878</v>
      </c>
      <c r="R21">
        <f>1/(COUNT(SimData!$B$9:$B$508)-1)+$R$20</f>
        <v>3.8076152304609215E-2</v>
      </c>
      <c r="S21">
        <f>SMALL(SimData!$C$9:$C$508,20)</f>
        <v>70.531515482758778</v>
      </c>
      <c r="T21">
        <f>1/(COUNT(SimData!$C$9:$C$508)-1)+$T$20</f>
        <v>3.8076152304609215E-2</v>
      </c>
      <c r="U21">
        <f>SMALL(SimData!$D$9:$D$508,20)</f>
        <v>-14.468484517241222</v>
      </c>
      <c r="V21">
        <f>1/(COUNT(SimData!$D$9:$D$508)-1)+$V$20</f>
        <v>3.8076152304609215E-2</v>
      </c>
      <c r="W21">
        <f>SMALL(SimData!$E$9:$E$508,20)</f>
        <v>-76.468484517241222</v>
      </c>
      <c r="X21">
        <f>1/(COUNT(SimData!$E$9:$E$508)-1)+$X$20</f>
        <v>3.8076152304609215E-2</v>
      </c>
    </row>
    <row r="22" spans="1:24">
      <c r="A22">
        <v>14</v>
      </c>
      <c r="B22">
        <v>131.33802847785921</v>
      </c>
      <c r="C22">
        <v>63.338028477859211</v>
      </c>
      <c r="D22">
        <v>-21.661971522140789</v>
      </c>
      <c r="E22">
        <v>-83.661971522140789</v>
      </c>
      <c r="Q22">
        <f>SMALL(SimData!$B$9:$B$508,21)</f>
        <v>138.71343398033281</v>
      </c>
      <c r="R22">
        <f>1/(COUNT(SimData!$B$9:$B$508)-1)+$R$21</f>
        <v>4.0080160320641281E-2</v>
      </c>
      <c r="S22">
        <f>SMALL(SimData!$C$9:$C$508,21)</f>
        <v>70.713433980332809</v>
      </c>
      <c r="T22">
        <f>1/(COUNT(SimData!$C$9:$C$508)-1)+$T$21</f>
        <v>4.0080160320641281E-2</v>
      </c>
      <c r="U22">
        <f>SMALL(SimData!$D$9:$D$508,21)</f>
        <v>-14.286566019667191</v>
      </c>
      <c r="V22">
        <f>1/(COUNT(SimData!$D$9:$D$508)-1)+$V$21</f>
        <v>4.0080160320641281E-2</v>
      </c>
      <c r="W22">
        <f>SMALL(SimData!$E$9:$E$508,21)</f>
        <v>-76.286566019667191</v>
      </c>
      <c r="X22">
        <f>1/(COUNT(SimData!$E$9:$E$508)-1)+$X$21</f>
        <v>4.0080160320641281E-2</v>
      </c>
    </row>
    <row r="23" spans="1:24">
      <c r="A23">
        <v>15</v>
      </c>
      <c r="B23">
        <v>184.92619214728546</v>
      </c>
      <c r="C23">
        <v>116.92619214728546</v>
      </c>
      <c r="D23">
        <v>31.926192147285462</v>
      </c>
      <c r="E23">
        <v>-30.073807852714538</v>
      </c>
      <c r="Q23">
        <f>SMALL(SimData!$B$9:$B$508,22)</f>
        <v>138.97765582622407</v>
      </c>
      <c r="R23">
        <f>1/(COUNT(SimData!$B$9:$B$508)-1)+$R$22</f>
        <v>4.2084168336673347E-2</v>
      </c>
      <c r="S23">
        <f>SMALL(SimData!$C$9:$C$508,22)</f>
        <v>70.977655826224066</v>
      </c>
      <c r="T23">
        <f>1/(COUNT(SimData!$C$9:$C$508)-1)+$T$22</f>
        <v>4.2084168336673347E-2</v>
      </c>
      <c r="U23">
        <f>SMALL(SimData!$D$9:$D$508,22)</f>
        <v>-14.022344173775934</v>
      </c>
      <c r="V23">
        <f>1/(COUNT(SimData!$D$9:$D$508)-1)+$V$22</f>
        <v>4.2084168336673347E-2</v>
      </c>
      <c r="W23">
        <f>SMALL(SimData!$E$9:$E$508,22)</f>
        <v>-76.022344173775934</v>
      </c>
      <c r="X23">
        <f>1/(COUNT(SimData!$E$9:$E$508)-1)+$X$22</f>
        <v>4.2084168336673347E-2</v>
      </c>
    </row>
    <row r="24" spans="1:24">
      <c r="A24">
        <v>16</v>
      </c>
      <c r="B24">
        <v>190.22068218113986</v>
      </c>
      <c r="C24">
        <v>122.22068218113986</v>
      </c>
      <c r="D24">
        <v>37.220682181139864</v>
      </c>
      <c r="E24">
        <v>-24.779317818860136</v>
      </c>
      <c r="Q24">
        <f>SMALL(SimData!$B$9:$B$508,23)</f>
        <v>139.82595108512953</v>
      </c>
      <c r="R24">
        <f>1/(COUNT(SimData!$B$9:$B$508)-1)+$R$23</f>
        <v>4.4088176352705413E-2</v>
      </c>
      <c r="S24">
        <f>SMALL(SimData!$C$9:$C$508,23)</f>
        <v>71.825951085129532</v>
      </c>
      <c r="T24">
        <f>1/(COUNT(SimData!$C$9:$C$508)-1)+$T$23</f>
        <v>4.4088176352705413E-2</v>
      </c>
      <c r="U24">
        <f>SMALL(SimData!$D$9:$D$508,23)</f>
        <v>-13.174048914870468</v>
      </c>
      <c r="V24">
        <f>1/(COUNT(SimData!$D$9:$D$508)-1)+$V$23</f>
        <v>4.4088176352705413E-2</v>
      </c>
      <c r="W24">
        <f>SMALL(SimData!$E$9:$E$508,23)</f>
        <v>-75.174048914870468</v>
      </c>
      <c r="X24">
        <f>1/(COUNT(SimData!$E$9:$E$508)-1)+$X$23</f>
        <v>4.4088176352705413E-2</v>
      </c>
    </row>
    <row r="25" spans="1:24">
      <c r="A25">
        <v>17</v>
      </c>
      <c r="B25">
        <v>109.15632008502669</v>
      </c>
      <c r="C25">
        <v>41.156320085026692</v>
      </c>
      <c r="D25">
        <v>-43.843679914973308</v>
      </c>
      <c r="E25">
        <v>-105.84367991497331</v>
      </c>
      <c r="Q25">
        <f>SMALL(SimData!$B$9:$B$508,24)</f>
        <v>140.75799679070803</v>
      </c>
      <c r="R25">
        <f>1/(COUNT(SimData!$B$9:$B$508)-1)+$R$24</f>
        <v>4.6092184368737479E-2</v>
      </c>
      <c r="S25">
        <f>SMALL(SimData!$C$9:$C$508,24)</f>
        <v>72.757996790708034</v>
      </c>
      <c r="T25">
        <f>1/(COUNT(SimData!$C$9:$C$508)-1)+$T$24</f>
        <v>4.6092184368737479E-2</v>
      </c>
      <c r="U25">
        <f>SMALL(SimData!$D$9:$D$508,24)</f>
        <v>-12.242003209291966</v>
      </c>
      <c r="V25">
        <f>1/(COUNT(SimData!$D$9:$D$508)-1)+$V$24</f>
        <v>4.6092184368737479E-2</v>
      </c>
      <c r="W25">
        <f>SMALL(SimData!$E$9:$E$508,24)</f>
        <v>-74.242003209291966</v>
      </c>
      <c r="X25">
        <f>1/(COUNT(SimData!$E$9:$E$508)-1)+$X$24</f>
        <v>4.6092184368737479E-2</v>
      </c>
    </row>
    <row r="26" spans="1:24">
      <c r="A26">
        <v>18</v>
      </c>
      <c r="B26">
        <v>229.18152506894319</v>
      </c>
      <c r="C26">
        <v>161.18152506894319</v>
      </c>
      <c r="D26">
        <v>76.181525068943188</v>
      </c>
      <c r="E26">
        <v>14.181525068943188</v>
      </c>
      <c r="Q26">
        <f>SMALL(SimData!$B$9:$B$508,25)</f>
        <v>140.82152883534593</v>
      </c>
      <c r="R26">
        <f>1/(COUNT(SimData!$B$9:$B$508)-1)+$R$25</f>
        <v>4.8096192384769546E-2</v>
      </c>
      <c r="S26">
        <f>SMALL(SimData!$C$9:$C$508,25)</f>
        <v>72.82152883534593</v>
      </c>
      <c r="T26">
        <f>1/(COUNT(SimData!$C$9:$C$508)-1)+$T$25</f>
        <v>4.8096192384769546E-2</v>
      </c>
      <c r="U26">
        <f>SMALL(SimData!$D$9:$D$508,25)</f>
        <v>-12.17847116465407</v>
      </c>
      <c r="V26">
        <f>1/(COUNT(SimData!$D$9:$D$508)-1)+$V$25</f>
        <v>4.8096192384769546E-2</v>
      </c>
      <c r="W26">
        <f>SMALL(SimData!$E$9:$E$508,25)</f>
        <v>-74.17847116465407</v>
      </c>
      <c r="X26">
        <f>1/(COUNT(SimData!$E$9:$E$508)-1)+$X$25</f>
        <v>4.8096192384769546E-2</v>
      </c>
    </row>
    <row r="27" spans="1:24">
      <c r="A27">
        <v>19</v>
      </c>
      <c r="B27">
        <v>216.65915047473567</v>
      </c>
      <c r="C27">
        <v>148.65915047473567</v>
      </c>
      <c r="D27">
        <v>63.659150474735668</v>
      </c>
      <c r="E27">
        <v>1.659150474735668</v>
      </c>
      <c r="Q27">
        <f>SMALL(SimData!$B$9:$B$508,26)</f>
        <v>141.03224211413078</v>
      </c>
      <c r="R27">
        <f>1/(COUNT(SimData!$B$9:$B$508)-1)+$R$26</f>
        <v>5.0100200400801612E-2</v>
      </c>
      <c r="S27">
        <f>SMALL(SimData!$C$9:$C$508,26)</f>
        <v>73.032242114130781</v>
      </c>
      <c r="T27">
        <f>1/(COUNT(SimData!$C$9:$C$508)-1)+$T$26</f>
        <v>5.0100200400801612E-2</v>
      </c>
      <c r="U27">
        <f>SMALL(SimData!$D$9:$D$508,26)</f>
        <v>-11.967757885869219</v>
      </c>
      <c r="V27">
        <f>1/(COUNT(SimData!$D$9:$D$508)-1)+$V$26</f>
        <v>5.0100200400801612E-2</v>
      </c>
      <c r="W27">
        <f>SMALL(SimData!$E$9:$E$508,26)</f>
        <v>-73.967757885869219</v>
      </c>
      <c r="X27">
        <f>1/(COUNT(SimData!$E$9:$E$508)-1)+$X$26</f>
        <v>5.0100200400801612E-2</v>
      </c>
    </row>
    <row r="28" spans="1:24">
      <c r="A28">
        <v>20</v>
      </c>
      <c r="B28">
        <v>219.97606892657717</v>
      </c>
      <c r="C28">
        <v>151.97606892657717</v>
      </c>
      <c r="D28">
        <v>66.97606892657717</v>
      </c>
      <c r="E28">
        <v>4.9760689265771703</v>
      </c>
      <c r="Q28">
        <f>SMALL(SimData!$B$9:$B$508,27)</f>
        <v>142.02898311714472</v>
      </c>
      <c r="R28">
        <f>1/(COUNT(SimData!$B$9:$B$508)-1)+$R$27</f>
        <v>5.2104208416833678E-2</v>
      </c>
      <c r="S28">
        <f>SMALL(SimData!$C$9:$C$508,27)</f>
        <v>74.028983117144719</v>
      </c>
      <c r="T28">
        <f>1/(COUNT(SimData!$C$9:$C$508)-1)+$T$27</f>
        <v>5.2104208416833678E-2</v>
      </c>
      <c r="U28">
        <f>SMALL(SimData!$D$9:$D$508,27)</f>
        <v>-10.971016882855281</v>
      </c>
      <c r="V28">
        <f>1/(COUNT(SimData!$D$9:$D$508)-1)+$V$27</f>
        <v>5.2104208416833678E-2</v>
      </c>
      <c r="W28">
        <f>SMALL(SimData!$E$9:$E$508,27)</f>
        <v>-72.971016882855281</v>
      </c>
      <c r="X28">
        <f>1/(COUNT(SimData!$E$9:$E$508)-1)+$X$27</f>
        <v>5.2104208416833678E-2</v>
      </c>
    </row>
    <row r="29" spans="1:24">
      <c r="A29">
        <v>21</v>
      </c>
      <c r="B29">
        <v>166.12375728529116</v>
      </c>
      <c r="C29">
        <v>98.123757285291163</v>
      </c>
      <c r="D29">
        <v>13.123757285291163</v>
      </c>
      <c r="E29">
        <v>-48.876242714708837</v>
      </c>
      <c r="Q29">
        <f>SMALL(SimData!$B$9:$B$508,28)</f>
        <v>143.08096366112233</v>
      </c>
      <c r="R29">
        <f>1/(COUNT(SimData!$B$9:$B$508)-1)+$R$28</f>
        <v>5.4108216432865744E-2</v>
      </c>
      <c r="S29">
        <f>SMALL(SimData!$C$9:$C$508,28)</f>
        <v>75.080963661122325</v>
      </c>
      <c r="T29">
        <f>1/(COUNT(SimData!$C$9:$C$508)-1)+$T$28</f>
        <v>5.4108216432865744E-2</v>
      </c>
      <c r="U29">
        <f>SMALL(SimData!$D$9:$D$508,28)</f>
        <v>-9.9190363388776746</v>
      </c>
      <c r="V29">
        <f>1/(COUNT(SimData!$D$9:$D$508)-1)+$V$28</f>
        <v>5.4108216432865744E-2</v>
      </c>
      <c r="W29">
        <f>SMALL(SimData!$E$9:$E$508,28)</f>
        <v>-71.919036338877675</v>
      </c>
      <c r="X29">
        <f>1/(COUNT(SimData!$E$9:$E$508)-1)+$X$28</f>
        <v>5.4108216432865744E-2</v>
      </c>
    </row>
    <row r="30" spans="1:24">
      <c r="A30">
        <v>22</v>
      </c>
      <c r="B30">
        <v>222.48295567294082</v>
      </c>
      <c r="C30">
        <v>154.48295567294082</v>
      </c>
      <c r="D30">
        <v>69.482955672940818</v>
      </c>
      <c r="E30">
        <v>7.4829556729408182</v>
      </c>
      <c r="H30" t="s">
        <v>46</v>
      </c>
      <c r="J30" t="str">
        <f>SimData!$B$8</f>
        <v>NCI: 1</v>
      </c>
      <c r="K30" t="str">
        <f>SimData!$C$8</f>
        <v>NCI: 2</v>
      </c>
      <c r="L30" t="str">
        <f>SimData!$D$8</f>
        <v>NCI: 3</v>
      </c>
      <c r="M30" t="str">
        <f>SimData!$E$8</f>
        <v>NCI: 4</v>
      </c>
      <c r="Q30">
        <f>SMALL(SimData!$B$9:$B$508,29)</f>
        <v>143.55890755607834</v>
      </c>
      <c r="R30">
        <f>1/(COUNT(SimData!$B$9:$B$508)-1)+$R$29</f>
        <v>5.611222444889781E-2</v>
      </c>
      <c r="S30">
        <f>SMALL(SimData!$C$9:$C$508,29)</f>
        <v>75.558907556078339</v>
      </c>
      <c r="T30">
        <f>1/(COUNT(SimData!$C$9:$C$508)-1)+$T$29</f>
        <v>5.611222444889781E-2</v>
      </c>
      <c r="U30">
        <f>SMALL(SimData!$D$9:$D$508,29)</f>
        <v>-9.4410924439216615</v>
      </c>
      <c r="V30">
        <f>1/(COUNT(SimData!$D$9:$D$508)-1)+$V$29</f>
        <v>5.611222444889781E-2</v>
      </c>
      <c r="W30">
        <f>SMALL(SimData!$E$9:$E$508,29)</f>
        <v>-71.441092443921661</v>
      </c>
      <c r="X30">
        <f>1/(COUNT(SimData!$E$9:$E$508)-1)+$X$29</f>
        <v>5.611222444889781E-2</v>
      </c>
    </row>
    <row r="31" spans="1:24">
      <c r="A31">
        <v>23</v>
      </c>
      <c r="B31">
        <v>170.96086812778634</v>
      </c>
      <c r="C31">
        <v>102.96086812778634</v>
      </c>
      <c r="D31">
        <v>17.960868127786341</v>
      </c>
      <c r="E31">
        <v>-44.039131872213659</v>
      </c>
      <c r="I31" t="s">
        <v>45</v>
      </c>
      <c r="J31">
        <f>AVERAGE(SimData!$B$9:$B$508)</f>
        <v>210.92550496666391</v>
      </c>
      <c r="K31">
        <f>AVERAGE(SimData!$C$9:$C$508)</f>
        <v>142.92550496666388</v>
      </c>
      <c r="L31">
        <f>AVERAGE(SimData!$D$9:$D$508)</f>
        <v>57.925504966663659</v>
      </c>
      <c r="M31">
        <f>AVERAGE(SimData!$E$9:$E$508)</f>
        <v>-4.0744950333363121</v>
      </c>
      <c r="Q31">
        <f>SMALL(SimData!$B$9:$B$508,30)</f>
        <v>144.01572498456642</v>
      </c>
      <c r="R31">
        <f>1/(COUNT(SimData!$B$9:$B$508)-1)+$R$30</f>
        <v>5.8116232464929876E-2</v>
      </c>
      <c r="S31">
        <f>SMALL(SimData!$C$9:$C$508,30)</f>
        <v>76.015724984566418</v>
      </c>
      <c r="T31">
        <f>1/(COUNT(SimData!$C$9:$C$508)-1)+$T$30</f>
        <v>5.8116232464929876E-2</v>
      </c>
      <c r="U31">
        <f>SMALL(SimData!$D$9:$D$508,30)</f>
        <v>-8.9842750154335818</v>
      </c>
      <c r="V31">
        <f>1/(COUNT(SimData!$D$9:$D$508)-1)+$V$30</f>
        <v>5.8116232464929876E-2</v>
      </c>
      <c r="W31">
        <f>SMALL(SimData!$E$9:$E$508,30)</f>
        <v>-70.984275015433582</v>
      </c>
      <c r="X31">
        <f>1/(COUNT(SimData!$E$9:$E$508)-1)+$X$30</f>
        <v>5.8116232464929876E-2</v>
      </c>
    </row>
    <row r="32" spans="1:24">
      <c r="A32">
        <v>24</v>
      </c>
      <c r="B32">
        <v>142.02898311714472</v>
      </c>
      <c r="C32">
        <v>74.028983117144719</v>
      </c>
      <c r="D32">
        <v>-10.971016882855281</v>
      </c>
      <c r="E32">
        <v>-72.971016882855281</v>
      </c>
      <c r="H32">
        <v>0.05</v>
      </c>
      <c r="I32" t="str">
        <f>ROUND(100*$H$32,1)&amp;IF(AND(VALUE(RIGHT(ROUND(100*$H$32,1),2))&gt;10,VALUE(RIGHT(ROUND(100*$AN$14,1),2))&lt;20)=TRUE,"th",IF(RIGHT(ROUND(100*$H$32,1))="1","st",IF(RIGHT(ROUND(100*$H$32,0))="2","nd",IF(RIGHT(ROUND(100*$H$32,1))="3","rd","th"))))&amp;" Percentile"</f>
        <v>5th Percentile</v>
      </c>
      <c r="J32">
        <f>_xll.QUANTILE(SimData!$B$9:$B$508,SimData!$H$32)</f>
        <v>140.92688547473836</v>
      </c>
      <c r="K32">
        <f>_xll.QUANTILE(SimData!$C$9:$C$508,SimData!$H$32)</f>
        <v>72.926885474738356</v>
      </c>
      <c r="L32">
        <f>_xll.QUANTILE(SimData!$D$9:$D$508,SimData!$H$32)</f>
        <v>-12.073114525261644</v>
      </c>
      <c r="M32">
        <f>_xll.QUANTILE(SimData!$E$9:$E$508,SimData!$H$32)</f>
        <v>-74.073114525261644</v>
      </c>
      <c r="Q32">
        <f>SMALL(SimData!$B$9:$B$508,31)</f>
        <v>144.15764478423256</v>
      </c>
      <c r="R32">
        <f>1/(COUNT(SimData!$B$9:$B$508)-1)+$R$31</f>
        <v>6.0120240480961942E-2</v>
      </c>
      <c r="S32">
        <f>SMALL(SimData!$C$9:$C$508,31)</f>
        <v>76.157644784232559</v>
      </c>
      <c r="T32">
        <f>1/(COUNT(SimData!$C$9:$C$508)-1)+$T$31</f>
        <v>6.0120240480961942E-2</v>
      </c>
      <c r="U32">
        <f>SMALL(SimData!$D$9:$D$508,31)</f>
        <v>-8.8423552157674408</v>
      </c>
      <c r="V32">
        <f>1/(COUNT(SimData!$D$9:$D$508)-1)+$V$31</f>
        <v>6.0120240480961942E-2</v>
      </c>
      <c r="W32">
        <f>SMALL(SimData!$E$9:$E$508,31)</f>
        <v>-70.842355215767441</v>
      </c>
      <c r="X32">
        <f>1/(COUNT(SimData!$E$9:$E$508)-1)+$X$31</f>
        <v>6.0120240480961942E-2</v>
      </c>
    </row>
    <row r="33" spans="1:24">
      <c r="A33">
        <v>25</v>
      </c>
      <c r="B33">
        <v>217.89900140481097</v>
      </c>
      <c r="C33">
        <v>149.89900140481097</v>
      </c>
      <c r="D33">
        <v>64.899001404810974</v>
      </c>
      <c r="E33">
        <v>2.8990014048109742</v>
      </c>
      <c r="H33">
        <v>0.25</v>
      </c>
      <c r="I33" t="str">
        <f>ROUND(100*$H$33,1)&amp;IF(AND(VALUE(RIGHT(ROUND(100*$H$33,1),2))&gt;10,VALUE(RIGHT(ROUND(100*$AN$14,1),2))&lt;20)=TRUE,"th",IF(RIGHT(ROUND(100*$H$33,1))="1","st",IF(RIGHT(ROUND(100*$H$33,0))="2","nd",IF(RIGHT(ROUND(100*$H$33,1))="3","rd","th"))))&amp;" Percentile"</f>
        <v>25th Percentile</v>
      </c>
      <c r="J33">
        <f>_xll.QUANTILE(SimData!$B$9:$B$508,SimData!$H$33)</f>
        <v>183.19849439861161</v>
      </c>
      <c r="K33">
        <f>_xll.QUANTILE(SimData!$C$9:$C$508,SimData!$H$33)</f>
        <v>115.19849439861161</v>
      </c>
      <c r="L33">
        <f>_xll.QUANTILE(SimData!$D$9:$D$508,SimData!$H$33)</f>
        <v>30.198494398611615</v>
      </c>
      <c r="M33">
        <f>_xll.QUANTILE(SimData!$E$9:$E$508,SimData!$H$33)</f>
        <v>-31.801505601388385</v>
      </c>
      <c r="Q33">
        <f>SMALL(SimData!$B$9:$B$508,32)</f>
        <v>144.93593901850824</v>
      </c>
      <c r="R33">
        <f>1/(COUNT(SimData!$B$9:$B$508)-1)+$R$32</f>
        <v>6.2124248496994008E-2</v>
      </c>
      <c r="S33">
        <f>SMALL(SimData!$C$9:$C$508,32)</f>
        <v>76.935939018508236</v>
      </c>
      <c r="T33">
        <f>1/(COUNT(SimData!$C$9:$C$508)-1)+$T$32</f>
        <v>6.2124248496994008E-2</v>
      </c>
      <c r="U33">
        <f>SMALL(SimData!$D$9:$D$508,32)</f>
        <v>-8.0640609814917639</v>
      </c>
      <c r="V33">
        <f>1/(COUNT(SimData!$D$9:$D$508)-1)+$V$32</f>
        <v>6.2124248496994008E-2</v>
      </c>
      <c r="W33">
        <f>SMALL(SimData!$E$9:$E$508,32)</f>
        <v>-70.064060981491764</v>
      </c>
      <c r="X33">
        <f>1/(COUNT(SimData!$E$9:$E$508)-1)+$X$32</f>
        <v>6.2124248496994008E-2</v>
      </c>
    </row>
    <row r="34" spans="1:24">
      <c r="A34">
        <v>26</v>
      </c>
      <c r="B34">
        <v>215.66675744997991</v>
      </c>
      <c r="C34">
        <v>147.66675744997991</v>
      </c>
      <c r="D34">
        <v>62.666757449979912</v>
      </c>
      <c r="E34">
        <v>0.6667574499799116</v>
      </c>
      <c r="H34">
        <v>0.75</v>
      </c>
      <c r="I34" t="str">
        <f>ROUND(100*$H$34,1)&amp;IF(AND(VALUE(RIGHT(ROUND(100*$H$34,1),2))&gt;10,VALUE(RIGHT(ROUND(100*$AN$14,1),2))&lt;20)=TRUE,"th",IF(RIGHT(ROUND(100*$H$34,1))="1","st",IF(RIGHT(ROUND(100*$H$34,0))="2","nd",IF(RIGHT(ROUND(100*$H$34,1))="3","rd","th"))))&amp;" Percentile"</f>
        <v>75th Percentile</v>
      </c>
      <c r="J34">
        <f>_xll.QUANTILE(SimData!$B$9:$B$508,SimData!$H$34)</f>
        <v>233.95561941464425</v>
      </c>
      <c r="K34">
        <f>_xll.QUANTILE(SimData!$C$9:$C$508,SimData!$H$34)</f>
        <v>165.95561941464425</v>
      </c>
      <c r="L34">
        <f>_xll.QUANTILE(SimData!$D$9:$D$508,SimData!$H$34)</f>
        <v>80.955619414644246</v>
      </c>
      <c r="M34">
        <f>_xll.QUANTILE(SimData!$E$9:$E$508,SimData!$H$34)</f>
        <v>18.955619414644246</v>
      </c>
      <c r="Q34">
        <f>SMALL(SimData!$B$9:$B$508,33)</f>
        <v>145.37733109060298</v>
      </c>
      <c r="R34">
        <f>1/(COUNT(SimData!$B$9:$B$508)-1)+$R$33</f>
        <v>6.4128256513026075E-2</v>
      </c>
      <c r="S34">
        <f>SMALL(SimData!$C$9:$C$508,33)</f>
        <v>77.377331090602979</v>
      </c>
      <c r="T34">
        <f>1/(COUNT(SimData!$C$9:$C$508)-1)+$T$33</f>
        <v>6.4128256513026075E-2</v>
      </c>
      <c r="U34">
        <f>SMALL(SimData!$D$9:$D$508,33)</f>
        <v>-7.6226689093970208</v>
      </c>
      <c r="V34">
        <f>1/(COUNT(SimData!$D$9:$D$508)-1)+$V$33</f>
        <v>6.4128256513026075E-2</v>
      </c>
      <c r="W34">
        <f>SMALL(SimData!$E$9:$E$508,33)</f>
        <v>-69.622668909397021</v>
      </c>
      <c r="X34">
        <f>1/(COUNT(SimData!$E$9:$E$508)-1)+$X$33</f>
        <v>6.4128256513026075E-2</v>
      </c>
    </row>
    <row r="35" spans="1:24">
      <c r="A35">
        <v>27</v>
      </c>
      <c r="B35">
        <v>203.6494035652633</v>
      </c>
      <c r="C35">
        <v>135.6494035652633</v>
      </c>
      <c r="D35">
        <v>50.649403565263299</v>
      </c>
      <c r="E35">
        <v>-11.350596434736701</v>
      </c>
      <c r="H35">
        <v>0.95</v>
      </c>
      <c r="I35" t="str">
        <f>ROUND(100*$H$35,1)&amp;IF(AND(VALUE(RIGHT(ROUND(100*$H$35,1),2))&gt;10,VALUE(RIGHT(ROUND(100*$AN$14,1),2))&lt;20)=TRUE,"th",IF(RIGHT(ROUND(100*$H$35,1))="1","st",IF(RIGHT(ROUND(100*$H$35,0))="2","nd",IF(RIGHT(ROUND(100*$H$35,1))="3","rd","th"))))&amp;" Percentile"</f>
        <v>95th Percentile</v>
      </c>
      <c r="J35">
        <f>_xll.QUANTILE(SimData!$B$9:$B$508,SimData!$H$35)</f>
        <v>288.78475807437536</v>
      </c>
      <c r="K35">
        <f>_xll.QUANTILE(SimData!$C$9:$C$508,SimData!$H$35)</f>
        <v>220.78475807437536</v>
      </c>
      <c r="L35">
        <f>_xll.QUANTILE(SimData!$D$9:$D$508,SimData!$H$35)</f>
        <v>135.78475807437536</v>
      </c>
      <c r="M35">
        <f>_xll.QUANTILE(SimData!$E$9:$E$508,SimData!$H$35)</f>
        <v>73.784758074375361</v>
      </c>
      <c r="Q35">
        <f>SMALL(SimData!$B$9:$B$508,34)</f>
        <v>145.45505533057718</v>
      </c>
      <c r="R35">
        <f>1/(COUNT(SimData!$B$9:$B$508)-1)+$R$34</f>
        <v>6.6132264529058141E-2</v>
      </c>
      <c r="S35">
        <f>SMALL(SimData!$C$9:$C$508,34)</f>
        <v>77.455055330577181</v>
      </c>
      <c r="T35">
        <f>1/(COUNT(SimData!$C$9:$C$508)-1)+$T$34</f>
        <v>6.6132264529058141E-2</v>
      </c>
      <c r="U35">
        <f>SMALL(SimData!$D$9:$D$508,34)</f>
        <v>-7.5449446694228186</v>
      </c>
      <c r="V35">
        <f>1/(COUNT(SimData!$D$9:$D$508)-1)+$V$34</f>
        <v>6.6132264529058141E-2</v>
      </c>
      <c r="W35">
        <f>SMALL(SimData!$E$9:$E$508,34)</f>
        <v>-69.544944669422819</v>
      </c>
      <c r="X35">
        <f>1/(COUNT(SimData!$E$9:$E$508)-1)+$X$34</f>
        <v>6.6132264529058141E-2</v>
      </c>
    </row>
    <row r="36" spans="1:24">
      <c r="A36">
        <v>28</v>
      </c>
      <c r="B36">
        <v>179.76451377974371</v>
      </c>
      <c r="C36">
        <v>111.76451377974371</v>
      </c>
      <c r="D36">
        <v>26.764513779743709</v>
      </c>
      <c r="E36">
        <v>-35.235486220256291</v>
      </c>
      <c r="Q36">
        <f>SMALL(SimData!$B$9:$B$508,35)</f>
        <v>145.74117277596849</v>
      </c>
      <c r="R36">
        <f>1/(COUNT(SimData!$B$9:$B$508)-1)+$R$35</f>
        <v>6.8136272545090207E-2</v>
      </c>
      <c r="S36">
        <f>SMALL(SimData!$C$9:$C$508,35)</f>
        <v>77.741172775968494</v>
      </c>
      <c r="T36">
        <f>1/(COUNT(SimData!$C$9:$C$508)-1)+$T$35</f>
        <v>6.8136272545090207E-2</v>
      </c>
      <c r="U36">
        <f>SMALL(SimData!$D$9:$D$508,35)</f>
        <v>-7.2588272240315064</v>
      </c>
      <c r="V36">
        <f>1/(COUNT(SimData!$D$9:$D$508)-1)+$V$35</f>
        <v>6.8136272545090207E-2</v>
      </c>
      <c r="W36">
        <f>SMALL(SimData!$E$9:$E$508,35)</f>
        <v>-69.258827224031506</v>
      </c>
      <c r="X36">
        <f>1/(COUNT(SimData!$E$9:$E$508)-1)+$X$35</f>
        <v>6.8136272545090207E-2</v>
      </c>
    </row>
    <row r="37" spans="1:24">
      <c r="A37">
        <v>29</v>
      </c>
      <c r="B37">
        <v>212.11711809214222</v>
      </c>
      <c r="C37">
        <v>144.11711809214222</v>
      </c>
      <c r="D37">
        <v>59.117118092142221</v>
      </c>
      <c r="E37">
        <v>-2.8828819078577794</v>
      </c>
      <c r="Q37">
        <f>SMALL(SimData!$B$9:$B$508,36)</f>
        <v>146.58438207198208</v>
      </c>
      <c r="R37">
        <f>1/(COUNT(SimData!$B$9:$B$508)-1)+$R$36</f>
        <v>7.0140280561122273E-2</v>
      </c>
      <c r="S37">
        <f>SMALL(SimData!$C$9:$C$508,36)</f>
        <v>78.584382071982077</v>
      </c>
      <c r="T37">
        <f>1/(COUNT(SimData!$C$9:$C$508)-1)+$T$36</f>
        <v>7.0140280561122273E-2</v>
      </c>
      <c r="U37">
        <f>SMALL(SimData!$D$9:$D$508,36)</f>
        <v>-6.4156179280179231</v>
      </c>
      <c r="V37">
        <f>1/(COUNT(SimData!$D$9:$D$508)-1)+$V$36</f>
        <v>7.0140280561122273E-2</v>
      </c>
      <c r="W37">
        <f>SMALL(SimData!$E$9:$E$508,36)</f>
        <v>-68.415617928017923</v>
      </c>
      <c r="X37">
        <f>1/(COUNT(SimData!$E$9:$E$508)-1)+$X$36</f>
        <v>7.0140280561122273E-2</v>
      </c>
    </row>
    <row r="38" spans="1:24">
      <c r="A38">
        <v>30</v>
      </c>
      <c r="B38">
        <v>199.43012245790334</v>
      </c>
      <c r="C38">
        <v>131.43012245790334</v>
      </c>
      <c r="D38">
        <v>46.430122457903337</v>
      </c>
      <c r="E38">
        <v>-15.569877542096663</v>
      </c>
      <c r="Q38">
        <f>SMALL(SimData!$B$9:$B$508,37)</f>
        <v>146.97970605007743</v>
      </c>
      <c r="R38">
        <f>1/(COUNT(SimData!$B$9:$B$508)-1)+$R$37</f>
        <v>7.2144288577154339E-2</v>
      </c>
      <c r="S38">
        <f>SMALL(SimData!$C$9:$C$508,37)</f>
        <v>78.979706050077425</v>
      </c>
      <c r="T38">
        <f>1/(COUNT(SimData!$C$9:$C$508)-1)+$T$37</f>
        <v>7.2144288577154339E-2</v>
      </c>
      <c r="U38">
        <f>SMALL(SimData!$D$9:$D$508,37)</f>
        <v>-6.0202939499225749</v>
      </c>
      <c r="V38">
        <f>1/(COUNT(SimData!$D$9:$D$508)-1)+$V$37</f>
        <v>7.2144288577154339E-2</v>
      </c>
      <c r="W38">
        <f>SMALL(SimData!$E$9:$E$508,37)</f>
        <v>-68.020293949922575</v>
      </c>
      <c r="X38">
        <f>1/(COUNT(SimData!$E$9:$E$508)-1)+$X$37</f>
        <v>7.2144288577154339E-2</v>
      </c>
    </row>
    <row r="39" spans="1:24">
      <c r="A39">
        <v>31</v>
      </c>
      <c r="B39">
        <v>182.81432455649656</v>
      </c>
      <c r="C39">
        <v>114.81432455649656</v>
      </c>
      <c r="D39">
        <v>29.814324556496558</v>
      </c>
      <c r="E39">
        <v>-32.185675443503442</v>
      </c>
      <c r="Q39">
        <f>SMALL(SimData!$B$9:$B$508,38)</f>
        <v>147.24882685955066</v>
      </c>
      <c r="R39">
        <f>1/(COUNT(SimData!$B$9:$B$508)-1)+$R$38</f>
        <v>7.4148296593186405E-2</v>
      </c>
      <c r="S39">
        <f>SMALL(SimData!$C$9:$C$508,38)</f>
        <v>79.248826859550661</v>
      </c>
      <c r="T39">
        <f>1/(COUNT(SimData!$C$9:$C$508)-1)+$T$38</f>
        <v>7.4148296593186405E-2</v>
      </c>
      <c r="U39">
        <f>SMALL(SimData!$D$9:$D$508,38)</f>
        <v>-5.7511731404493389</v>
      </c>
      <c r="V39">
        <f>1/(COUNT(SimData!$D$9:$D$508)-1)+$V$38</f>
        <v>7.4148296593186405E-2</v>
      </c>
      <c r="W39">
        <f>SMALL(SimData!$E$9:$E$508,38)</f>
        <v>-67.751173140449339</v>
      </c>
      <c r="X39">
        <f>1/(COUNT(SimData!$E$9:$E$508)-1)+$X$38</f>
        <v>7.4148296593186405E-2</v>
      </c>
    </row>
    <row r="40" spans="1:24">
      <c r="A40">
        <v>32</v>
      </c>
      <c r="B40">
        <v>171.63884692417366</v>
      </c>
      <c r="C40">
        <v>103.63884692417366</v>
      </c>
      <c r="D40">
        <v>18.638846924173663</v>
      </c>
      <c r="E40">
        <v>-43.361153075826337</v>
      </c>
      <c r="Q40">
        <f>SMALL(SimData!$B$9:$B$508,39)</f>
        <v>147.47397842674553</v>
      </c>
      <c r="R40">
        <f>1/(COUNT(SimData!$B$9:$B$508)-1)+$R$39</f>
        <v>7.6152304609218471E-2</v>
      </c>
      <c r="S40">
        <f>SMALL(SimData!$C$9:$C$508,39)</f>
        <v>79.473978426745532</v>
      </c>
      <c r="T40">
        <f>1/(COUNT(SimData!$C$9:$C$508)-1)+$T$39</f>
        <v>7.6152304609218471E-2</v>
      </c>
      <c r="U40">
        <f>SMALL(SimData!$D$9:$D$508,39)</f>
        <v>-5.526021573254468</v>
      </c>
      <c r="V40">
        <f>1/(COUNT(SimData!$D$9:$D$508)-1)+$V$39</f>
        <v>7.6152304609218471E-2</v>
      </c>
      <c r="W40">
        <f>SMALL(SimData!$E$9:$E$508,39)</f>
        <v>-67.526021573254468</v>
      </c>
      <c r="X40">
        <f>1/(COUNT(SimData!$E$9:$E$508)-1)+$X$39</f>
        <v>7.6152304609218471E-2</v>
      </c>
    </row>
    <row r="41" spans="1:24">
      <c r="A41">
        <v>33</v>
      </c>
      <c r="B41">
        <v>229.71823189716088</v>
      </c>
      <c r="C41">
        <v>161.71823189716088</v>
      </c>
      <c r="D41">
        <v>76.718231897160877</v>
      </c>
      <c r="E41">
        <v>14.718231897160877</v>
      </c>
      <c r="Q41">
        <f>SMALL(SimData!$B$9:$B$508,40)</f>
        <v>148.47796058723623</v>
      </c>
      <c r="R41">
        <f>1/(COUNT(SimData!$B$9:$B$508)-1)+$R$40</f>
        <v>7.8156312625250537E-2</v>
      </c>
      <c r="S41">
        <f>SMALL(SimData!$C$9:$C$508,40)</f>
        <v>80.477960587236225</v>
      </c>
      <c r="T41">
        <f>1/(COUNT(SimData!$C$9:$C$508)-1)+$T$40</f>
        <v>7.8156312625250537E-2</v>
      </c>
      <c r="U41">
        <f>SMALL(SimData!$D$9:$D$508,40)</f>
        <v>-4.5220394127637746</v>
      </c>
      <c r="V41">
        <f>1/(COUNT(SimData!$D$9:$D$508)-1)+$V$40</f>
        <v>7.8156312625250537E-2</v>
      </c>
      <c r="W41">
        <f>SMALL(SimData!$E$9:$E$508,40)</f>
        <v>-66.522039412763775</v>
      </c>
      <c r="X41">
        <f>1/(COUNT(SimData!$E$9:$E$508)-1)+$X$40</f>
        <v>7.8156312625250537E-2</v>
      </c>
    </row>
    <row r="42" spans="1:24">
      <c r="A42">
        <v>34</v>
      </c>
      <c r="B42">
        <v>233.19394702845455</v>
      </c>
      <c r="C42">
        <v>165.19394702845455</v>
      </c>
      <c r="D42">
        <v>80.193947028454545</v>
      </c>
      <c r="E42">
        <v>18.193947028454545</v>
      </c>
      <c r="Q42">
        <f>SMALL(SimData!$B$9:$B$508,41)</f>
        <v>148.49859298449246</v>
      </c>
      <c r="R42">
        <f>1/(COUNT(SimData!$B$9:$B$508)-1)+$R$41</f>
        <v>8.0160320641282604E-2</v>
      </c>
      <c r="S42">
        <f>SMALL(SimData!$C$9:$C$508,41)</f>
        <v>80.498592984492461</v>
      </c>
      <c r="T42">
        <f>1/(COUNT(SimData!$C$9:$C$508)-1)+$T$41</f>
        <v>8.0160320641282604E-2</v>
      </c>
      <c r="U42">
        <f>SMALL(SimData!$D$9:$D$508,41)</f>
        <v>-4.5014070155075387</v>
      </c>
      <c r="V42">
        <f>1/(COUNT(SimData!$D$9:$D$508)-1)+$V$41</f>
        <v>8.0160320641282604E-2</v>
      </c>
      <c r="W42">
        <f>SMALL(SimData!$E$9:$E$508,41)</f>
        <v>-66.501407015507539</v>
      </c>
      <c r="X42">
        <f>1/(COUNT(SimData!$E$9:$E$508)-1)+$X$41</f>
        <v>8.0160320641282604E-2</v>
      </c>
    </row>
    <row r="43" spans="1:24">
      <c r="A43">
        <v>35</v>
      </c>
      <c r="B43">
        <v>130.53976804263664</v>
      </c>
      <c r="C43">
        <v>62.539768042636638</v>
      </c>
      <c r="D43">
        <v>-22.460231957363362</v>
      </c>
      <c r="E43">
        <v>-84.460231957363362</v>
      </c>
      <c r="Q43">
        <f>SMALL(SimData!$B$9:$B$508,42)</f>
        <v>149.41561558726931</v>
      </c>
      <c r="R43">
        <f>1/(COUNT(SimData!$B$9:$B$508)-1)+$R$42</f>
        <v>8.216432865731467E-2</v>
      </c>
      <c r="S43">
        <f>SMALL(SimData!$C$9:$C$508,42)</f>
        <v>81.415615587269315</v>
      </c>
      <c r="T43">
        <f>1/(COUNT(SimData!$C$9:$C$508)-1)+$T$42</f>
        <v>8.216432865731467E-2</v>
      </c>
      <c r="U43">
        <f>SMALL(SimData!$D$9:$D$508,42)</f>
        <v>-3.5843844127306852</v>
      </c>
      <c r="V43">
        <f>1/(COUNT(SimData!$D$9:$D$508)-1)+$V$42</f>
        <v>8.216432865731467E-2</v>
      </c>
      <c r="W43">
        <f>SMALL(SimData!$E$9:$E$508,42)</f>
        <v>-65.584384412730685</v>
      </c>
      <c r="X43">
        <f>1/(COUNT(SimData!$E$9:$E$508)-1)+$X$42</f>
        <v>8.216432865731467E-2</v>
      </c>
    </row>
    <row r="44" spans="1:24">
      <c r="A44">
        <v>36</v>
      </c>
      <c r="B44">
        <v>135.41791755105464</v>
      </c>
      <c r="C44">
        <v>67.417917551054643</v>
      </c>
      <c r="D44">
        <v>-17.582082448945357</v>
      </c>
      <c r="E44">
        <v>-79.582082448945357</v>
      </c>
      <c r="Q44">
        <f>SMALL(SimData!$B$9:$B$508,43)</f>
        <v>149.57830929256812</v>
      </c>
      <c r="R44">
        <f>1/(COUNT(SimData!$B$9:$B$508)-1)+$R$43</f>
        <v>8.4168336673346736E-2</v>
      </c>
      <c r="S44">
        <f>SMALL(SimData!$C$9:$C$508,43)</f>
        <v>81.578309292568122</v>
      </c>
      <c r="T44">
        <f>1/(COUNT(SimData!$C$9:$C$508)-1)+$T$43</f>
        <v>8.4168336673346736E-2</v>
      </c>
      <c r="U44">
        <f>SMALL(SimData!$D$9:$D$508,43)</f>
        <v>-3.4216907074318783</v>
      </c>
      <c r="V44">
        <f>1/(COUNT(SimData!$D$9:$D$508)-1)+$V$43</f>
        <v>8.4168336673346736E-2</v>
      </c>
      <c r="W44">
        <f>SMALL(SimData!$E$9:$E$508,43)</f>
        <v>-65.421690707431878</v>
      </c>
      <c r="X44">
        <f>1/(COUNT(SimData!$E$9:$E$508)-1)+$X$43</f>
        <v>8.4168336673346736E-2</v>
      </c>
    </row>
    <row r="45" spans="1:24">
      <c r="A45">
        <v>37</v>
      </c>
      <c r="B45">
        <v>228.99967768757921</v>
      </c>
      <c r="C45">
        <v>160.99967768757921</v>
      </c>
      <c r="D45">
        <v>75.999677687579208</v>
      </c>
      <c r="E45">
        <v>13.999677687579208</v>
      </c>
      <c r="Q45">
        <f>SMALL(SimData!$B$9:$B$508,44)</f>
        <v>149.58156247490291</v>
      </c>
      <c r="R45">
        <f>1/(COUNT(SimData!$B$9:$B$508)-1)+$R$44</f>
        <v>8.6172344689378802E-2</v>
      </c>
      <c r="S45">
        <f>SMALL(SimData!$C$9:$C$508,44)</f>
        <v>81.58156247490291</v>
      </c>
      <c r="T45">
        <f>1/(COUNT(SimData!$C$9:$C$508)-1)+$T$44</f>
        <v>8.6172344689378802E-2</v>
      </c>
      <c r="U45">
        <f>SMALL(SimData!$D$9:$D$508,44)</f>
        <v>-3.4184375250970902</v>
      </c>
      <c r="V45">
        <f>1/(COUNT(SimData!$D$9:$D$508)-1)+$V$44</f>
        <v>8.6172344689378802E-2</v>
      </c>
      <c r="W45">
        <f>SMALL(SimData!$E$9:$E$508,44)</f>
        <v>-65.41843752509709</v>
      </c>
      <c r="X45">
        <f>1/(COUNT(SimData!$E$9:$E$508)-1)+$X$44</f>
        <v>8.6172344689378802E-2</v>
      </c>
    </row>
    <row r="46" spans="1:24">
      <c r="A46">
        <v>38</v>
      </c>
      <c r="B46">
        <v>221.65101928180468</v>
      </c>
      <c r="C46">
        <v>153.65101928180468</v>
      </c>
      <c r="D46">
        <v>68.651019281804679</v>
      </c>
      <c r="E46">
        <v>6.6510192818046789</v>
      </c>
      <c r="Q46">
        <f>SMALL(SimData!$B$9:$B$508,45)</f>
        <v>149.67888956489531</v>
      </c>
      <c r="R46">
        <f>1/(COUNT(SimData!$B$9:$B$508)-1)+$R$45</f>
        <v>8.8176352705410868E-2</v>
      </c>
      <c r="S46">
        <f>SMALL(SimData!$C$9:$C$508,45)</f>
        <v>81.678889564895314</v>
      </c>
      <c r="T46">
        <f>1/(COUNT(SimData!$C$9:$C$508)-1)+$T$45</f>
        <v>8.8176352705410868E-2</v>
      </c>
      <c r="U46">
        <f>SMALL(SimData!$D$9:$D$508,45)</f>
        <v>-3.3211104351046856</v>
      </c>
      <c r="V46">
        <f>1/(COUNT(SimData!$D$9:$D$508)-1)+$V$45</f>
        <v>8.8176352705410868E-2</v>
      </c>
      <c r="W46">
        <f>SMALL(SimData!$E$9:$E$508,45)</f>
        <v>-65.321110435104686</v>
      </c>
      <c r="X46">
        <f>1/(COUNT(SimData!$E$9:$E$508)-1)+$X$45</f>
        <v>8.8176352705410868E-2</v>
      </c>
    </row>
    <row r="47" spans="1:24">
      <c r="A47">
        <v>39</v>
      </c>
      <c r="B47">
        <v>209.088281997737</v>
      </c>
      <c r="C47">
        <v>141.088281997737</v>
      </c>
      <c r="D47">
        <v>56.088281997736999</v>
      </c>
      <c r="E47">
        <v>-5.9117180022630009</v>
      </c>
      <c r="Q47">
        <f>SMALL(SimData!$B$9:$B$508,46)</f>
        <v>150.17327523210179</v>
      </c>
      <c r="R47">
        <f>1/(COUNT(SimData!$B$9:$B$508)-1)+$R$46</f>
        <v>9.0180360721442934E-2</v>
      </c>
      <c r="S47">
        <f>SMALL(SimData!$C$9:$C$508,46)</f>
        <v>82.173275232101787</v>
      </c>
      <c r="T47">
        <f>1/(COUNT(SimData!$C$9:$C$508)-1)+$T$46</f>
        <v>9.0180360721442934E-2</v>
      </c>
      <c r="U47">
        <f>SMALL(SimData!$D$9:$D$508,46)</f>
        <v>-2.826724767898213</v>
      </c>
      <c r="V47">
        <f>1/(COUNT(SimData!$D$9:$D$508)-1)+$V$46</f>
        <v>9.0180360721442934E-2</v>
      </c>
      <c r="W47">
        <f>SMALL(SimData!$E$9:$E$508,46)</f>
        <v>-64.826724767898213</v>
      </c>
      <c r="X47">
        <f>1/(COUNT(SimData!$E$9:$E$508)-1)+$X$46</f>
        <v>9.0180360721442934E-2</v>
      </c>
    </row>
    <row r="48" spans="1:24">
      <c r="A48">
        <v>40</v>
      </c>
      <c r="B48">
        <v>148.47796058723623</v>
      </c>
      <c r="C48">
        <v>80.477960587236225</v>
      </c>
      <c r="D48">
        <v>-4.5220394127637746</v>
      </c>
      <c r="E48">
        <v>-66.522039412763775</v>
      </c>
      <c r="Q48">
        <f>SMALL(SimData!$B$9:$B$508,47)</f>
        <v>151.30827660543167</v>
      </c>
      <c r="R48">
        <f>1/(COUNT(SimData!$B$9:$B$508)-1)+$R$47</f>
        <v>9.2184368737475E-2</v>
      </c>
      <c r="S48">
        <f>SMALL(SimData!$C$9:$C$508,47)</f>
        <v>83.308276605431672</v>
      </c>
      <c r="T48">
        <f>1/(COUNT(SimData!$C$9:$C$508)-1)+$T$47</f>
        <v>9.2184368737475E-2</v>
      </c>
      <c r="U48">
        <f>SMALL(SimData!$D$9:$D$508,47)</f>
        <v>-1.6917233945683279</v>
      </c>
      <c r="V48">
        <f>1/(COUNT(SimData!$D$9:$D$508)-1)+$V$47</f>
        <v>9.2184368737475E-2</v>
      </c>
      <c r="W48">
        <f>SMALL(SimData!$E$9:$E$508,47)</f>
        <v>-63.691723394568328</v>
      </c>
      <c r="X48">
        <f>1/(COUNT(SimData!$E$9:$E$508)-1)+$X$47</f>
        <v>9.2184368737475E-2</v>
      </c>
    </row>
    <row r="49" spans="1:24">
      <c r="A49">
        <v>41</v>
      </c>
      <c r="B49">
        <v>270.18885582611574</v>
      </c>
      <c r="C49">
        <v>202.18885582611574</v>
      </c>
      <c r="D49">
        <v>117.18885582611574</v>
      </c>
      <c r="E49">
        <v>55.188855826115741</v>
      </c>
      <c r="Q49">
        <f>SMALL(SimData!$B$9:$B$508,48)</f>
        <v>151.84496040912404</v>
      </c>
      <c r="R49">
        <f>1/(COUNT(SimData!$B$9:$B$508)-1)+$R$48</f>
        <v>9.4188376753507067E-2</v>
      </c>
      <c r="S49">
        <f>SMALL(SimData!$C$9:$C$508,48)</f>
        <v>83.844960409124042</v>
      </c>
      <c r="T49">
        <f>1/(COUNT(SimData!$C$9:$C$508)-1)+$T$48</f>
        <v>9.4188376753507067E-2</v>
      </c>
      <c r="U49">
        <f>SMALL(SimData!$D$9:$D$508,48)</f>
        <v>-1.1550395908759583</v>
      </c>
      <c r="V49">
        <f>1/(COUNT(SimData!$D$9:$D$508)-1)+$V$48</f>
        <v>9.4188376753507067E-2</v>
      </c>
      <c r="W49">
        <f>SMALL(SimData!$E$9:$E$508,48)</f>
        <v>-63.155039590875958</v>
      </c>
      <c r="X49">
        <f>1/(COUNT(SimData!$E$9:$E$508)-1)+$X$48</f>
        <v>9.4188376753507067E-2</v>
      </c>
    </row>
    <row r="50" spans="1:24">
      <c r="A50">
        <v>42</v>
      </c>
      <c r="B50">
        <v>89.368687453795673</v>
      </c>
      <c r="C50">
        <v>21.368687453795673</v>
      </c>
      <c r="D50">
        <v>-63.631312546204327</v>
      </c>
      <c r="E50">
        <v>-125.63131254620433</v>
      </c>
      <c r="Q50">
        <f>SMALL(SimData!$B$9:$B$508,49)</f>
        <v>151.98457865901878</v>
      </c>
      <c r="R50">
        <f>1/(COUNT(SimData!$B$9:$B$508)-1)+$R$49</f>
        <v>9.6192384769539133E-2</v>
      </c>
      <c r="S50">
        <f>SMALL(SimData!$C$9:$C$508,49)</f>
        <v>83.98457865901878</v>
      </c>
      <c r="T50">
        <f>1/(COUNT(SimData!$C$9:$C$508)-1)+$T$49</f>
        <v>9.6192384769539133E-2</v>
      </c>
      <c r="U50">
        <f>SMALL(SimData!$D$9:$D$508,49)</f>
        <v>-1.0154213409812201</v>
      </c>
      <c r="V50">
        <f>1/(COUNT(SimData!$D$9:$D$508)-1)+$V$49</f>
        <v>9.6192384769539133E-2</v>
      </c>
      <c r="W50">
        <f>SMALL(SimData!$E$9:$E$508,49)</f>
        <v>-63.01542134098122</v>
      </c>
      <c r="X50">
        <f>1/(COUNT(SimData!$E$9:$E$508)-1)+$X$49</f>
        <v>9.6192384769539133E-2</v>
      </c>
    </row>
    <row r="51" spans="1:24">
      <c r="A51">
        <v>43</v>
      </c>
      <c r="B51">
        <v>207.52643464600101</v>
      </c>
      <c r="C51">
        <v>139.52643464600101</v>
      </c>
      <c r="D51">
        <v>54.526434646001007</v>
      </c>
      <c r="E51">
        <v>-7.4735653539989926</v>
      </c>
      <c r="Q51">
        <f>SMALL(SimData!$B$9:$B$508,50)</f>
        <v>152.03348604827829</v>
      </c>
      <c r="R51">
        <f>1/(COUNT(SimData!$B$9:$B$508)-1)+$R$50</f>
        <v>9.8196392785571199E-2</v>
      </c>
      <c r="S51">
        <f>SMALL(SimData!$C$9:$C$508,50)</f>
        <v>84.033486048278291</v>
      </c>
      <c r="T51">
        <f>1/(COUNT(SimData!$C$9:$C$508)-1)+$T$50</f>
        <v>9.8196392785571199E-2</v>
      </c>
      <c r="U51">
        <f>SMALL(SimData!$D$9:$D$508,50)</f>
        <v>-0.96651395172170851</v>
      </c>
      <c r="V51">
        <f>1/(COUNT(SimData!$D$9:$D$508)-1)+$V$50</f>
        <v>9.8196392785571199E-2</v>
      </c>
      <c r="W51">
        <f>SMALL(SimData!$E$9:$E$508,50)</f>
        <v>-62.966513951721709</v>
      </c>
      <c r="X51">
        <f>1/(COUNT(SimData!$E$9:$E$508)-1)+$X$50</f>
        <v>9.8196392785571199E-2</v>
      </c>
    </row>
    <row r="52" spans="1:24">
      <c r="A52">
        <v>44</v>
      </c>
      <c r="B52">
        <v>137.33540950732845</v>
      </c>
      <c r="C52">
        <v>69.33540950732845</v>
      </c>
      <c r="D52">
        <v>-15.66459049267155</v>
      </c>
      <c r="E52">
        <v>-77.66459049267155</v>
      </c>
      <c r="Q52">
        <f>SMALL(SimData!$B$9:$B$508,51)</f>
        <v>152.66554387652644</v>
      </c>
      <c r="R52">
        <f>1/(COUNT(SimData!$B$9:$B$508)-1)+$R$51</f>
        <v>0.10020040080160326</v>
      </c>
      <c r="S52">
        <f>SMALL(SimData!$C$9:$C$508,51)</f>
        <v>84.665543876526442</v>
      </c>
      <c r="T52">
        <f>1/(COUNT(SimData!$C$9:$C$508)-1)+$T$51</f>
        <v>0.10020040080160326</v>
      </c>
      <c r="U52">
        <f>SMALL(SimData!$D$9:$D$508,51)</f>
        <v>-0.33445612347355791</v>
      </c>
      <c r="V52">
        <f>1/(COUNT(SimData!$D$9:$D$508)-1)+$V$51</f>
        <v>0.10020040080160326</v>
      </c>
      <c r="W52">
        <f>SMALL(SimData!$E$9:$E$508,51)</f>
        <v>-62.334456123473558</v>
      </c>
      <c r="X52">
        <f>1/(COUNT(SimData!$E$9:$E$508)-1)+$X$51</f>
        <v>0.10020040080160326</v>
      </c>
    </row>
    <row r="53" spans="1:24">
      <c r="A53">
        <v>45</v>
      </c>
      <c r="B53">
        <v>216.60446783121836</v>
      </c>
      <c r="C53">
        <v>148.60446783121836</v>
      </c>
      <c r="D53">
        <v>63.604467831218358</v>
      </c>
      <c r="E53">
        <v>1.6044678312183578</v>
      </c>
      <c r="Q53">
        <f>SMALL(SimData!$B$9:$B$508,52)</f>
        <v>152.79861065539848</v>
      </c>
      <c r="R53">
        <f>1/(COUNT(SimData!$B$9:$B$508)-1)+$R$52</f>
        <v>0.10220440881763533</v>
      </c>
      <c r="S53">
        <f>SMALL(SimData!$C$9:$C$508,52)</f>
        <v>84.798610655398477</v>
      </c>
      <c r="T53">
        <f>1/(COUNT(SimData!$C$9:$C$508)-1)+$T$52</f>
        <v>0.10220440881763533</v>
      </c>
      <c r="U53">
        <f>SMALL(SimData!$D$9:$D$508,52)</f>
        <v>-0.20138934460152313</v>
      </c>
      <c r="V53">
        <f>1/(COUNT(SimData!$D$9:$D$508)-1)+$V$52</f>
        <v>0.10220440881763533</v>
      </c>
      <c r="W53">
        <f>SMALL(SimData!$E$9:$E$508,52)</f>
        <v>-62.201389344601523</v>
      </c>
      <c r="X53">
        <f>1/(COUNT(SimData!$E$9:$E$508)-1)+$X$52</f>
        <v>0.10220440881763533</v>
      </c>
    </row>
    <row r="54" spans="1:24">
      <c r="A54">
        <v>46</v>
      </c>
      <c r="B54">
        <v>201.35933493065738</v>
      </c>
      <c r="C54">
        <v>133.35933493065738</v>
      </c>
      <c r="D54">
        <v>48.359334930657383</v>
      </c>
      <c r="E54">
        <v>-13.640665069342617</v>
      </c>
      <c r="Q54">
        <f>SMALL(SimData!$B$9:$B$508,53)</f>
        <v>153.90002684424024</v>
      </c>
      <c r="R54">
        <f>1/(COUNT(SimData!$B$9:$B$508)-1)+$R$53</f>
        <v>0.1042084168336674</v>
      </c>
      <c r="S54">
        <f>SMALL(SimData!$C$9:$C$508,53)</f>
        <v>85.900026844240244</v>
      </c>
      <c r="T54">
        <f>1/(COUNT(SimData!$C$9:$C$508)-1)+$T$53</f>
        <v>0.1042084168336674</v>
      </c>
      <c r="U54">
        <f>SMALL(SimData!$D$9:$D$508,53)</f>
        <v>0.90002684424024437</v>
      </c>
      <c r="V54">
        <f>1/(COUNT(SimData!$D$9:$D$508)-1)+$V$53</f>
        <v>0.1042084168336674</v>
      </c>
      <c r="W54">
        <f>SMALL(SimData!$E$9:$E$508,53)</f>
        <v>-61.099973155759756</v>
      </c>
      <c r="X54">
        <f>1/(COUNT(SimData!$E$9:$E$508)-1)+$X$53</f>
        <v>0.1042084168336674</v>
      </c>
    </row>
    <row r="55" spans="1:24">
      <c r="A55">
        <v>47</v>
      </c>
      <c r="B55">
        <v>213.9664201301228</v>
      </c>
      <c r="C55">
        <v>145.9664201301228</v>
      </c>
      <c r="D55">
        <v>60.966420130122799</v>
      </c>
      <c r="E55">
        <v>-1.033579869877201</v>
      </c>
      <c r="Q55">
        <f>SMALL(SimData!$B$9:$B$508,54)</f>
        <v>154.44525287414416</v>
      </c>
      <c r="R55">
        <f>1/(COUNT(SimData!$B$9:$B$508)-1)+$R$54</f>
        <v>0.10621242484969946</v>
      </c>
      <c r="S55">
        <f>SMALL(SimData!$C$9:$C$508,54)</f>
        <v>86.44525287414416</v>
      </c>
      <c r="T55">
        <f>1/(COUNT(SimData!$C$9:$C$508)-1)+$T$54</f>
        <v>0.10621242484969946</v>
      </c>
      <c r="U55">
        <f>SMALL(SimData!$D$9:$D$508,54)</f>
        <v>1.4452528741441597</v>
      </c>
      <c r="V55">
        <f>1/(COUNT(SimData!$D$9:$D$508)-1)+$V$54</f>
        <v>0.10621242484969946</v>
      </c>
      <c r="W55">
        <f>SMALL(SimData!$E$9:$E$508,54)</f>
        <v>-60.55474712585584</v>
      </c>
      <c r="X55">
        <f>1/(COUNT(SimData!$E$9:$E$508)-1)+$X$54</f>
        <v>0.10621242484969946</v>
      </c>
    </row>
    <row r="56" spans="1:24">
      <c r="A56">
        <v>48</v>
      </c>
      <c r="B56">
        <v>211.75523185618169</v>
      </c>
      <c r="C56">
        <v>143.75523185618169</v>
      </c>
      <c r="D56">
        <v>58.755231856181695</v>
      </c>
      <c r="E56">
        <v>-3.2447681438183054</v>
      </c>
      <c r="Q56">
        <f>SMALL(SimData!$B$9:$B$508,55)</f>
        <v>155.27072032136516</v>
      </c>
      <c r="R56">
        <f>1/(COUNT(SimData!$B$9:$B$508)-1)+$R$55</f>
        <v>0.10821643286573153</v>
      </c>
      <c r="S56">
        <f>SMALL(SimData!$C$9:$C$508,55)</f>
        <v>87.270720321365161</v>
      </c>
      <c r="T56">
        <f>1/(COUNT(SimData!$C$9:$C$508)-1)+$T$55</f>
        <v>0.10821643286573153</v>
      </c>
      <c r="U56">
        <f>SMALL(SimData!$D$9:$D$508,55)</f>
        <v>2.270720321365161</v>
      </c>
      <c r="V56">
        <f>1/(COUNT(SimData!$D$9:$D$508)-1)+$V$55</f>
        <v>0.10821643286573153</v>
      </c>
      <c r="W56">
        <f>SMALL(SimData!$E$9:$E$508,55)</f>
        <v>-59.729279678634839</v>
      </c>
      <c r="X56">
        <f>1/(COUNT(SimData!$E$9:$E$508)-1)+$X$55</f>
        <v>0.10821643286573153</v>
      </c>
    </row>
    <row r="57" spans="1:24">
      <c r="A57">
        <v>49</v>
      </c>
      <c r="B57">
        <v>240.34645239075667</v>
      </c>
      <c r="C57">
        <v>172.34645239075667</v>
      </c>
      <c r="D57">
        <v>87.346452390756667</v>
      </c>
      <c r="E57">
        <v>25.346452390756667</v>
      </c>
      <c r="Q57">
        <f>SMALL(SimData!$B$9:$B$508,56)</f>
        <v>155.32363983553961</v>
      </c>
      <c r="R57">
        <f>1/(COUNT(SimData!$B$9:$B$508)-1)+$R$56</f>
        <v>0.1102204408817636</v>
      </c>
      <c r="S57">
        <f>SMALL(SimData!$C$9:$C$508,56)</f>
        <v>87.323639835539609</v>
      </c>
      <c r="T57">
        <f>1/(COUNT(SimData!$C$9:$C$508)-1)+$T$56</f>
        <v>0.1102204408817636</v>
      </c>
      <c r="U57">
        <f>SMALL(SimData!$D$9:$D$508,56)</f>
        <v>2.3236398355396091</v>
      </c>
      <c r="V57">
        <f>1/(COUNT(SimData!$D$9:$D$508)-1)+$V$56</f>
        <v>0.1102204408817636</v>
      </c>
      <c r="W57">
        <f>SMALL(SimData!$E$9:$E$508,56)</f>
        <v>-59.676360164460391</v>
      </c>
      <c r="X57">
        <f>1/(COUNT(SimData!$E$9:$E$508)-1)+$X$56</f>
        <v>0.1102204408817636</v>
      </c>
    </row>
    <row r="58" spans="1:24">
      <c r="A58">
        <v>50</v>
      </c>
      <c r="B58">
        <v>141.03224211413078</v>
      </c>
      <c r="C58">
        <v>73.032242114130781</v>
      </c>
      <c r="D58">
        <v>-11.967757885869219</v>
      </c>
      <c r="E58">
        <v>-73.967757885869219</v>
      </c>
      <c r="Q58">
        <f>SMALL(SimData!$B$9:$B$508,57)</f>
        <v>155.73110472039309</v>
      </c>
      <c r="R58">
        <f>1/(COUNT(SimData!$B$9:$B$508)-1)+$R$57</f>
        <v>0.11222444889779566</v>
      </c>
      <c r="S58">
        <f>SMALL(SimData!$C$9:$C$508,57)</f>
        <v>87.731104720393091</v>
      </c>
      <c r="T58">
        <f>1/(COUNT(SimData!$C$9:$C$508)-1)+$T$57</f>
        <v>0.11222444889779566</v>
      </c>
      <c r="U58">
        <f>SMALL(SimData!$D$9:$D$508,57)</f>
        <v>2.7311047203930912</v>
      </c>
      <c r="V58">
        <f>1/(COUNT(SimData!$D$9:$D$508)-1)+$V$57</f>
        <v>0.11222444889779566</v>
      </c>
      <c r="W58">
        <f>SMALL(SimData!$E$9:$E$508,57)</f>
        <v>-59.268895279606909</v>
      </c>
      <c r="X58">
        <f>1/(COUNT(SimData!$E$9:$E$508)-1)+$X$57</f>
        <v>0.11222444889779566</v>
      </c>
    </row>
    <row r="59" spans="1:24">
      <c r="A59">
        <v>51</v>
      </c>
      <c r="B59">
        <v>216.59497731604176</v>
      </c>
      <c r="C59">
        <v>148.59497731604176</v>
      </c>
      <c r="D59">
        <v>63.594977316041764</v>
      </c>
      <c r="E59">
        <v>1.5949773160417635</v>
      </c>
      <c r="Q59">
        <f>SMALL(SimData!$B$9:$B$508,58)</f>
        <v>156.57764956533993</v>
      </c>
      <c r="R59">
        <f>1/(COUNT(SimData!$B$9:$B$508)-1)+$R$58</f>
        <v>0.11422845691382773</v>
      </c>
      <c r="S59">
        <f>SMALL(SimData!$C$9:$C$508,58)</f>
        <v>88.577649565339925</v>
      </c>
      <c r="T59">
        <f>1/(COUNT(SimData!$C$9:$C$508)-1)+$T$58</f>
        <v>0.11422845691382773</v>
      </c>
      <c r="U59">
        <f>SMALL(SimData!$D$9:$D$508,58)</f>
        <v>3.5776495653399252</v>
      </c>
      <c r="V59">
        <f>1/(COUNT(SimData!$D$9:$D$508)-1)+$V$58</f>
        <v>0.11422845691382773</v>
      </c>
      <c r="W59">
        <f>SMALL(SimData!$E$9:$E$508,58)</f>
        <v>-58.422350434660075</v>
      </c>
      <c r="X59">
        <f>1/(COUNT(SimData!$E$9:$E$508)-1)+$X$58</f>
        <v>0.11422845691382773</v>
      </c>
    </row>
    <row r="60" spans="1:24">
      <c r="A60">
        <v>52</v>
      </c>
      <c r="B60">
        <v>253.07086300710671</v>
      </c>
      <c r="C60">
        <v>185.07086300710671</v>
      </c>
      <c r="D60">
        <v>100.07086300710671</v>
      </c>
      <c r="E60">
        <v>38.070863007106709</v>
      </c>
      <c r="Q60">
        <f>SMALL(SimData!$B$9:$B$508,59)</f>
        <v>157.49616086685023</v>
      </c>
      <c r="R60">
        <f>1/(COUNT(SimData!$B$9:$B$508)-1)+$R$59</f>
        <v>0.11623246492985979</v>
      </c>
      <c r="S60">
        <f>SMALL(SimData!$C$9:$C$508,59)</f>
        <v>89.496160866850232</v>
      </c>
      <c r="T60">
        <f>1/(COUNT(SimData!$C$9:$C$508)-1)+$T$59</f>
        <v>0.11623246492985979</v>
      </c>
      <c r="U60">
        <f>SMALL(SimData!$D$9:$D$508,59)</f>
        <v>4.4961608668502322</v>
      </c>
      <c r="V60">
        <f>1/(COUNT(SimData!$D$9:$D$508)-1)+$V$59</f>
        <v>0.11623246492985979</v>
      </c>
      <c r="W60">
        <f>SMALL(SimData!$E$9:$E$508,59)</f>
        <v>-57.503839133149768</v>
      </c>
      <c r="X60">
        <f>1/(COUNT(SimData!$E$9:$E$508)-1)+$X$59</f>
        <v>0.11623246492985979</v>
      </c>
    </row>
    <row r="61" spans="1:24">
      <c r="A61">
        <v>53</v>
      </c>
      <c r="B61">
        <v>187.0952364731333</v>
      </c>
      <c r="C61">
        <v>119.0952364731333</v>
      </c>
      <c r="D61">
        <v>34.095236473133298</v>
      </c>
      <c r="E61">
        <v>-27.904763526866702</v>
      </c>
      <c r="Q61">
        <f>SMALL(SimData!$B$9:$B$508,60)</f>
        <v>157.66240251813497</v>
      </c>
      <c r="R61">
        <f>1/(COUNT(SimData!$B$9:$B$508)-1)+$R$60</f>
        <v>0.11823647294589186</v>
      </c>
      <c r="S61">
        <f>SMALL(SimData!$C$9:$C$508,60)</f>
        <v>89.662402518134968</v>
      </c>
      <c r="T61">
        <f>1/(COUNT(SimData!$C$9:$C$508)-1)+$T$60</f>
        <v>0.11823647294589186</v>
      </c>
      <c r="U61">
        <f>SMALL(SimData!$D$9:$D$508,60)</f>
        <v>4.662402518134968</v>
      </c>
      <c r="V61">
        <f>1/(COUNT(SimData!$D$9:$D$508)-1)+$V$60</f>
        <v>0.11823647294589186</v>
      </c>
      <c r="W61">
        <f>SMALL(SimData!$E$9:$E$508,60)</f>
        <v>-57.337597481865032</v>
      </c>
      <c r="X61">
        <f>1/(COUNT(SimData!$E$9:$E$508)-1)+$X$60</f>
        <v>0.11823647294589186</v>
      </c>
    </row>
    <row r="62" spans="1:24">
      <c r="A62">
        <v>54</v>
      </c>
      <c r="B62">
        <v>223.13314549515815</v>
      </c>
      <c r="C62">
        <v>155.13314549515815</v>
      </c>
      <c r="D62">
        <v>70.133145495158146</v>
      </c>
      <c r="E62">
        <v>8.1331454951581463</v>
      </c>
      <c r="Q62">
        <f>SMALL(SimData!$B$9:$B$508,61)</f>
        <v>158.81988360912584</v>
      </c>
      <c r="R62">
        <f>1/(COUNT(SimData!$B$9:$B$508)-1)+$R$61</f>
        <v>0.12024048096192393</v>
      </c>
      <c r="S62">
        <f>SMALL(SimData!$C$9:$C$508,61)</f>
        <v>90.819883609125839</v>
      </c>
      <c r="T62">
        <f>1/(COUNT(SimData!$C$9:$C$508)-1)+$T$61</f>
        <v>0.12024048096192393</v>
      </c>
      <c r="U62">
        <f>SMALL(SimData!$D$9:$D$508,61)</f>
        <v>5.8198836091258386</v>
      </c>
      <c r="V62">
        <f>1/(COUNT(SimData!$D$9:$D$508)-1)+$V$61</f>
        <v>0.12024048096192393</v>
      </c>
      <c r="W62">
        <f>SMALL(SimData!$E$9:$E$508,61)</f>
        <v>-56.180116390874161</v>
      </c>
      <c r="X62">
        <f>1/(COUNT(SimData!$E$9:$E$508)-1)+$X$61</f>
        <v>0.12024048096192393</v>
      </c>
    </row>
    <row r="63" spans="1:24">
      <c r="A63">
        <v>55</v>
      </c>
      <c r="B63">
        <v>155.73110472039309</v>
      </c>
      <c r="C63">
        <v>87.731104720393091</v>
      </c>
      <c r="D63">
        <v>2.7311047203930912</v>
      </c>
      <c r="E63">
        <v>-59.268895279606909</v>
      </c>
      <c r="Q63">
        <f>SMALL(SimData!$B$9:$B$508,62)</f>
        <v>159.82572745624782</v>
      </c>
      <c r="R63">
        <f>1/(COUNT(SimData!$B$9:$B$508)-1)+$R$62</f>
        <v>0.12224448897795599</v>
      </c>
      <c r="S63">
        <f>SMALL(SimData!$C$9:$C$508,62)</f>
        <v>91.825727456247819</v>
      </c>
      <c r="T63">
        <f>1/(COUNT(SimData!$C$9:$C$508)-1)+$T$62</f>
        <v>0.12224448897795599</v>
      </c>
      <c r="U63">
        <f>SMALL(SimData!$D$9:$D$508,62)</f>
        <v>6.8257274562478187</v>
      </c>
      <c r="V63">
        <f>1/(COUNT(SimData!$D$9:$D$508)-1)+$V$62</f>
        <v>0.12224448897795599</v>
      </c>
      <c r="W63">
        <f>SMALL(SimData!$E$9:$E$508,62)</f>
        <v>-55.174272543752181</v>
      </c>
      <c r="X63">
        <f>1/(COUNT(SimData!$E$9:$E$508)-1)+$X$62</f>
        <v>0.12224448897795599</v>
      </c>
    </row>
    <row r="64" spans="1:24">
      <c r="A64">
        <v>56</v>
      </c>
      <c r="B64">
        <v>277.01638471675358</v>
      </c>
      <c r="C64">
        <v>209.01638471675358</v>
      </c>
      <c r="D64">
        <v>124.01638471675358</v>
      </c>
      <c r="E64">
        <v>62.016384716753578</v>
      </c>
      <c r="Q64">
        <f>SMALL(SimData!$B$9:$B$508,63)</f>
        <v>159.83727837122564</v>
      </c>
      <c r="R64">
        <f>1/(COUNT(SimData!$B$9:$B$508)-1)+$R$63</f>
        <v>0.12424849699398806</v>
      </c>
      <c r="S64">
        <f>SMALL(SimData!$C$9:$C$508,63)</f>
        <v>91.837278371225636</v>
      </c>
      <c r="T64">
        <f>1/(COUNT(SimData!$C$9:$C$508)-1)+$T$63</f>
        <v>0.12424849699398806</v>
      </c>
      <c r="U64">
        <f>SMALL(SimData!$D$9:$D$508,63)</f>
        <v>6.8372783712256364</v>
      </c>
      <c r="V64">
        <f>1/(COUNT(SimData!$D$9:$D$508)-1)+$V$63</f>
        <v>0.12424849699398806</v>
      </c>
      <c r="W64">
        <f>SMALL(SimData!$E$9:$E$508,63)</f>
        <v>-55.162721628774364</v>
      </c>
      <c r="X64">
        <f>1/(COUNT(SimData!$E$9:$E$508)-1)+$X$63</f>
        <v>0.12424849699398806</v>
      </c>
    </row>
    <row r="65" spans="1:24">
      <c r="A65">
        <v>57</v>
      </c>
      <c r="B65">
        <v>244.85866526284883</v>
      </c>
      <c r="C65">
        <v>176.85866526284883</v>
      </c>
      <c r="D65">
        <v>91.858665262848831</v>
      </c>
      <c r="E65">
        <v>29.858665262848831</v>
      </c>
      <c r="Q65">
        <f>SMALL(SimData!$B$9:$B$508,64)</f>
        <v>160.42547481706168</v>
      </c>
      <c r="R65">
        <f>1/(COUNT(SimData!$B$9:$B$508)-1)+$R$64</f>
        <v>0.12625250501002011</v>
      </c>
      <c r="S65">
        <f>SMALL(SimData!$C$9:$C$508,64)</f>
        <v>92.425474817061684</v>
      </c>
      <c r="T65">
        <f>1/(COUNT(SimData!$C$9:$C$508)-1)+$T$64</f>
        <v>0.12625250501002011</v>
      </c>
      <c r="U65">
        <f>SMALL(SimData!$D$9:$D$508,64)</f>
        <v>7.4254748170616836</v>
      </c>
      <c r="V65">
        <f>1/(COUNT(SimData!$D$9:$D$508)-1)+$V$64</f>
        <v>0.12625250501002011</v>
      </c>
      <c r="W65">
        <f>SMALL(SimData!$E$9:$E$508,64)</f>
        <v>-54.574525182938316</v>
      </c>
      <c r="X65">
        <f>1/(COUNT(SimData!$E$9:$E$508)-1)+$X$64</f>
        <v>0.12625250501002011</v>
      </c>
    </row>
    <row r="66" spans="1:24">
      <c r="A66">
        <v>58</v>
      </c>
      <c r="B66">
        <v>265.29199937486828</v>
      </c>
      <c r="C66">
        <v>197.29199937486828</v>
      </c>
      <c r="D66">
        <v>112.29199937486828</v>
      </c>
      <c r="E66">
        <v>50.291999374868283</v>
      </c>
      <c r="Q66">
        <f>SMALL(SimData!$B$9:$B$508,65)</f>
        <v>160.43069497620081</v>
      </c>
      <c r="R66">
        <f>1/(COUNT(SimData!$B$9:$B$508)-1)+$R$65</f>
        <v>0.12825651302605218</v>
      </c>
      <c r="S66">
        <f>SMALL(SimData!$C$9:$C$508,65)</f>
        <v>92.430694976200812</v>
      </c>
      <c r="T66">
        <f>1/(COUNT(SimData!$C$9:$C$508)-1)+$T$65</f>
        <v>0.12825651302605218</v>
      </c>
      <c r="U66">
        <f>SMALL(SimData!$D$9:$D$508,65)</f>
        <v>7.4306949762008117</v>
      </c>
      <c r="V66">
        <f>1/(COUNT(SimData!$D$9:$D$508)-1)+$V$65</f>
        <v>0.12825651302605218</v>
      </c>
      <c r="W66">
        <f>SMALL(SimData!$E$9:$E$508,65)</f>
        <v>-54.569305023799188</v>
      </c>
      <c r="X66">
        <f>1/(COUNT(SimData!$E$9:$E$508)-1)+$X$65</f>
        <v>0.12825651302605218</v>
      </c>
    </row>
    <row r="67" spans="1:24">
      <c r="A67">
        <v>59</v>
      </c>
      <c r="B67">
        <v>212.36401057575404</v>
      </c>
      <c r="C67">
        <v>144.36401057575404</v>
      </c>
      <c r="D67">
        <v>59.364010575754037</v>
      </c>
      <c r="E67">
        <v>-2.6359894242459632</v>
      </c>
      <c r="Q67">
        <f>SMALL(SimData!$B$9:$B$508,66)</f>
        <v>160.81217891968839</v>
      </c>
      <c r="R67">
        <f>1/(COUNT(SimData!$B$9:$B$508)-1)+$R$66</f>
        <v>0.13026052104208424</v>
      </c>
      <c r="S67">
        <f>SMALL(SimData!$C$9:$C$508,66)</f>
        <v>92.812178919688392</v>
      </c>
      <c r="T67">
        <f>1/(COUNT(SimData!$C$9:$C$508)-1)+$T$66</f>
        <v>0.13026052104208424</v>
      </c>
      <c r="U67">
        <f>SMALL(SimData!$D$9:$D$508,66)</f>
        <v>7.8121789196883924</v>
      </c>
      <c r="V67">
        <f>1/(COUNT(SimData!$D$9:$D$508)-1)+$V$66</f>
        <v>0.13026052104208424</v>
      </c>
      <c r="W67">
        <f>SMALL(SimData!$E$9:$E$508,66)</f>
        <v>-54.187821080311608</v>
      </c>
      <c r="X67">
        <f>1/(COUNT(SimData!$E$9:$E$508)-1)+$X$66</f>
        <v>0.13026052104208424</v>
      </c>
    </row>
    <row r="68" spans="1:24">
      <c r="A68">
        <v>60</v>
      </c>
      <c r="B68">
        <v>213.95198787136832</v>
      </c>
      <c r="C68">
        <v>145.95198787136832</v>
      </c>
      <c r="D68">
        <v>60.951987871368317</v>
      </c>
      <c r="E68">
        <v>-1.048012128631683</v>
      </c>
      <c r="Q68">
        <f>SMALL(SimData!$B$9:$B$508,67)</f>
        <v>162.36735225163869</v>
      </c>
      <c r="R68">
        <f>1/(COUNT(SimData!$B$9:$B$508)-1)+$R$67</f>
        <v>0.13226452905811631</v>
      </c>
      <c r="S68">
        <f>SMALL(SimData!$C$9:$C$508,67)</f>
        <v>94.367352251638692</v>
      </c>
      <c r="T68">
        <f>1/(COUNT(SimData!$C$9:$C$508)-1)+$T$67</f>
        <v>0.13226452905811631</v>
      </c>
      <c r="U68">
        <f>SMALL(SimData!$D$9:$D$508,67)</f>
        <v>9.3673522516386925</v>
      </c>
      <c r="V68">
        <f>1/(COUNT(SimData!$D$9:$D$508)-1)+$V$67</f>
        <v>0.13226452905811631</v>
      </c>
      <c r="W68">
        <f>SMALL(SimData!$E$9:$E$508,67)</f>
        <v>-52.632647748361308</v>
      </c>
      <c r="X68">
        <f>1/(COUNT(SimData!$E$9:$E$508)-1)+$X$67</f>
        <v>0.13226452905811631</v>
      </c>
    </row>
    <row r="69" spans="1:24">
      <c r="A69">
        <v>61</v>
      </c>
      <c r="B69">
        <v>205.69601078670058</v>
      </c>
      <c r="C69">
        <v>137.69601078670058</v>
      </c>
      <c r="D69">
        <v>52.696010786700583</v>
      </c>
      <c r="E69">
        <v>-9.3039892132994169</v>
      </c>
      <c r="Q69">
        <f>SMALL(SimData!$B$9:$B$508,68)</f>
        <v>163.73461223983367</v>
      </c>
      <c r="R69">
        <f>1/(COUNT(SimData!$B$9:$B$508)-1)+$R$68</f>
        <v>0.13426853707414838</v>
      </c>
      <c r="S69">
        <f>SMALL(SimData!$C$9:$C$508,68)</f>
        <v>95.734612239833666</v>
      </c>
      <c r="T69">
        <f>1/(COUNT(SimData!$C$9:$C$508)-1)+$T$68</f>
        <v>0.13426853707414838</v>
      </c>
      <c r="U69">
        <f>SMALL(SimData!$D$9:$D$508,68)</f>
        <v>10.734612239833666</v>
      </c>
      <c r="V69">
        <f>1/(COUNT(SimData!$D$9:$D$508)-1)+$V$68</f>
        <v>0.13426853707414838</v>
      </c>
      <c r="W69">
        <f>SMALL(SimData!$E$9:$E$508,68)</f>
        <v>-51.265387760166334</v>
      </c>
      <c r="X69">
        <f>1/(COUNT(SimData!$E$9:$E$508)-1)+$X$68</f>
        <v>0.13426853707414838</v>
      </c>
    </row>
    <row r="70" spans="1:24">
      <c r="A70">
        <v>62</v>
      </c>
      <c r="B70">
        <v>197.86765096208973</v>
      </c>
      <c r="C70">
        <v>129.86765096208973</v>
      </c>
      <c r="D70">
        <v>44.867650962089726</v>
      </c>
      <c r="E70">
        <v>-17.132349037910274</v>
      </c>
      <c r="Q70">
        <f>SMALL(SimData!$B$9:$B$508,69)</f>
        <v>165.14587418371065</v>
      </c>
      <c r="R70">
        <f>1/(COUNT(SimData!$B$9:$B$508)-1)+$R$69</f>
        <v>0.13627254509018044</v>
      </c>
      <c r="S70">
        <f>SMALL(SimData!$C$9:$C$508,69)</f>
        <v>97.145874183710646</v>
      </c>
      <c r="T70">
        <f>1/(COUNT(SimData!$C$9:$C$508)-1)+$T$69</f>
        <v>0.13627254509018044</v>
      </c>
      <c r="U70">
        <f>SMALL(SimData!$D$9:$D$508,69)</f>
        <v>12.145874183710646</v>
      </c>
      <c r="V70">
        <f>1/(COUNT(SimData!$D$9:$D$508)-1)+$V$69</f>
        <v>0.13627254509018044</v>
      </c>
      <c r="W70">
        <f>SMALL(SimData!$E$9:$E$508,69)</f>
        <v>-49.854125816289354</v>
      </c>
      <c r="X70">
        <f>1/(COUNT(SimData!$E$9:$E$508)-1)+$X$69</f>
        <v>0.13627254509018044</v>
      </c>
    </row>
    <row r="71" spans="1:24">
      <c r="A71">
        <v>63</v>
      </c>
      <c r="B71">
        <v>254.67545430083959</v>
      </c>
      <c r="C71">
        <v>186.67545430083959</v>
      </c>
      <c r="D71">
        <v>101.67545430083959</v>
      </c>
      <c r="E71">
        <v>39.67545430083959</v>
      </c>
      <c r="Q71">
        <f>SMALL(SimData!$B$9:$B$508,70)</f>
        <v>165.67194167741565</v>
      </c>
      <c r="R71">
        <f>1/(COUNT(SimData!$B$9:$B$508)-1)+$R$70</f>
        <v>0.13827655310621251</v>
      </c>
      <c r="S71">
        <f>SMALL(SimData!$C$9:$C$508,70)</f>
        <v>97.671941677415646</v>
      </c>
      <c r="T71">
        <f>1/(COUNT(SimData!$C$9:$C$508)-1)+$T$70</f>
        <v>0.13827655310621251</v>
      </c>
      <c r="U71">
        <f>SMALL(SimData!$D$9:$D$508,70)</f>
        <v>12.671941677415646</v>
      </c>
      <c r="V71">
        <f>1/(COUNT(SimData!$D$9:$D$508)-1)+$V$70</f>
        <v>0.13827655310621251</v>
      </c>
      <c r="W71">
        <f>SMALL(SimData!$E$9:$E$508,70)</f>
        <v>-49.328058322584354</v>
      </c>
      <c r="X71">
        <f>1/(COUNT(SimData!$E$9:$E$508)-1)+$X$70</f>
        <v>0.13827655310621251</v>
      </c>
    </row>
    <row r="72" spans="1:24">
      <c r="A72">
        <v>64</v>
      </c>
      <c r="B72">
        <v>232.36343357005461</v>
      </c>
      <c r="C72">
        <v>164.36343357005461</v>
      </c>
      <c r="D72">
        <v>79.36343357005461</v>
      </c>
      <c r="E72">
        <v>17.36343357005461</v>
      </c>
      <c r="Q72">
        <f>SMALL(SimData!$B$9:$B$508,71)</f>
        <v>165.99584859552135</v>
      </c>
      <c r="R72">
        <f>1/(COUNT(SimData!$B$9:$B$508)-1)+$R$71</f>
        <v>0.14028056112224457</v>
      </c>
      <c r="S72">
        <f>SMALL(SimData!$C$9:$C$508,71)</f>
        <v>97.995848595521352</v>
      </c>
      <c r="T72">
        <f>1/(COUNT(SimData!$C$9:$C$508)-1)+$T$71</f>
        <v>0.14028056112224457</v>
      </c>
      <c r="U72">
        <f>SMALL(SimData!$D$9:$D$508,71)</f>
        <v>12.995848595521352</v>
      </c>
      <c r="V72">
        <f>1/(COUNT(SimData!$D$9:$D$508)-1)+$V$71</f>
        <v>0.14028056112224457</v>
      </c>
      <c r="W72">
        <f>SMALL(SimData!$E$9:$E$508,71)</f>
        <v>-49.004151404478648</v>
      </c>
      <c r="X72">
        <f>1/(COUNT(SimData!$E$9:$E$508)-1)+$X$71</f>
        <v>0.14028056112224457</v>
      </c>
    </row>
    <row r="73" spans="1:24">
      <c r="A73">
        <v>65</v>
      </c>
      <c r="B73">
        <v>251.15062893550589</v>
      </c>
      <c r="C73">
        <v>183.15062893550589</v>
      </c>
      <c r="D73">
        <v>98.150628935505893</v>
      </c>
      <c r="E73">
        <v>36.150628935505893</v>
      </c>
      <c r="Q73">
        <f>SMALL(SimData!$B$9:$B$508,72)</f>
        <v>166.12375728529116</v>
      </c>
      <c r="R73">
        <f>1/(COUNT(SimData!$B$9:$B$508)-1)+$R$72</f>
        <v>0.14228456913827664</v>
      </c>
      <c r="S73">
        <f>SMALL(SimData!$C$9:$C$508,72)</f>
        <v>98.123757285291163</v>
      </c>
      <c r="T73">
        <f>1/(COUNT(SimData!$C$9:$C$508)-1)+$T$72</f>
        <v>0.14228456913827664</v>
      </c>
      <c r="U73">
        <f>SMALL(SimData!$D$9:$D$508,72)</f>
        <v>13.123757285291163</v>
      </c>
      <c r="V73">
        <f>1/(COUNT(SimData!$D$9:$D$508)-1)+$V$72</f>
        <v>0.14228456913827664</v>
      </c>
      <c r="W73">
        <f>SMALL(SimData!$E$9:$E$508,72)</f>
        <v>-48.876242714708837</v>
      </c>
      <c r="X73">
        <f>1/(COUNT(SimData!$E$9:$E$508)-1)+$X$72</f>
        <v>0.14228456913827664</v>
      </c>
    </row>
    <row r="74" spans="1:24">
      <c r="A74">
        <v>66</v>
      </c>
      <c r="B74">
        <v>218.26426065482093</v>
      </c>
      <c r="C74">
        <v>150.26426065482093</v>
      </c>
      <c r="D74">
        <v>65.26426065482093</v>
      </c>
      <c r="E74">
        <v>3.2642606548209301</v>
      </c>
      <c r="Q74">
        <f>SMALL(SimData!$B$9:$B$508,73)</f>
        <v>166.98119578858029</v>
      </c>
      <c r="R74">
        <f>1/(COUNT(SimData!$B$9:$B$508)-1)+$R$73</f>
        <v>0.14428857715430871</v>
      </c>
      <c r="S74">
        <f>SMALL(SimData!$C$9:$C$508,73)</f>
        <v>98.981195788580294</v>
      </c>
      <c r="T74">
        <f>1/(COUNT(SimData!$C$9:$C$508)-1)+$T$73</f>
        <v>0.14428857715430871</v>
      </c>
      <c r="U74">
        <f>SMALL(SimData!$D$9:$D$508,73)</f>
        <v>13.981195788580294</v>
      </c>
      <c r="V74">
        <f>1/(COUNT(SimData!$D$9:$D$508)-1)+$V$73</f>
        <v>0.14428857715430871</v>
      </c>
      <c r="W74">
        <f>SMALL(SimData!$E$9:$E$508,73)</f>
        <v>-48.018804211419706</v>
      </c>
      <c r="X74">
        <f>1/(COUNT(SimData!$E$9:$E$508)-1)+$X$73</f>
        <v>0.14428857715430871</v>
      </c>
    </row>
    <row r="75" spans="1:24">
      <c r="A75">
        <v>67</v>
      </c>
      <c r="B75">
        <v>268.52595581044631</v>
      </c>
      <c r="C75">
        <v>200.52595581044631</v>
      </c>
      <c r="D75">
        <v>115.52595581044631</v>
      </c>
      <c r="E75">
        <v>53.525955810446305</v>
      </c>
      <c r="Q75">
        <f>SMALL(SimData!$B$9:$B$508,74)</f>
        <v>167.49246605007301</v>
      </c>
      <c r="R75">
        <f>1/(COUNT(SimData!$B$9:$B$508)-1)+$R$74</f>
        <v>0.14629258517034077</v>
      </c>
      <c r="S75">
        <f>SMALL(SimData!$C$9:$C$508,74)</f>
        <v>99.492466050073006</v>
      </c>
      <c r="T75">
        <f>1/(COUNT(SimData!$C$9:$C$508)-1)+$T$74</f>
        <v>0.14629258517034077</v>
      </c>
      <c r="U75">
        <f>SMALL(SimData!$D$9:$D$508,74)</f>
        <v>14.492466050073006</v>
      </c>
      <c r="V75">
        <f>1/(COUNT(SimData!$D$9:$D$508)-1)+$V$74</f>
        <v>0.14629258517034077</v>
      </c>
      <c r="W75">
        <f>SMALL(SimData!$E$9:$E$508,74)</f>
        <v>-47.507533949926994</v>
      </c>
      <c r="X75">
        <f>1/(COUNT(SimData!$E$9:$E$508)-1)+$X$74</f>
        <v>0.14629258517034077</v>
      </c>
    </row>
    <row r="76" spans="1:24">
      <c r="A76">
        <v>68</v>
      </c>
      <c r="B76">
        <v>211.9298102542266</v>
      </c>
      <c r="C76">
        <v>143.9298102542266</v>
      </c>
      <c r="D76">
        <v>58.929810254226595</v>
      </c>
      <c r="E76">
        <v>-3.0701897457734049</v>
      </c>
      <c r="Q76">
        <f>SMALL(SimData!$B$9:$B$508,75)</f>
        <v>168.10673100952761</v>
      </c>
      <c r="R76">
        <f>1/(COUNT(SimData!$B$9:$B$508)-1)+$R$75</f>
        <v>0.14829659318637284</v>
      </c>
      <c r="S76">
        <f>SMALL(SimData!$C$9:$C$508,75)</f>
        <v>100.10673100952761</v>
      </c>
      <c r="T76">
        <f>1/(COUNT(SimData!$C$9:$C$508)-1)+$T$75</f>
        <v>0.14829659318637284</v>
      </c>
      <c r="U76">
        <f>SMALL(SimData!$D$9:$D$508,75)</f>
        <v>15.106731009527607</v>
      </c>
      <c r="V76">
        <f>1/(COUNT(SimData!$D$9:$D$508)-1)+$V$75</f>
        <v>0.14829659318637284</v>
      </c>
      <c r="W76">
        <f>SMALL(SimData!$E$9:$E$508,75)</f>
        <v>-46.893268990472393</v>
      </c>
      <c r="X76">
        <f>1/(COUNT(SimData!$E$9:$E$508)-1)+$X$75</f>
        <v>0.14829659318637284</v>
      </c>
    </row>
    <row r="77" spans="1:24">
      <c r="A77">
        <v>69</v>
      </c>
      <c r="B77">
        <v>224.53852752704216</v>
      </c>
      <c r="C77">
        <v>156.53852752704216</v>
      </c>
      <c r="D77">
        <v>71.538527527042163</v>
      </c>
      <c r="E77">
        <v>9.538527527042163</v>
      </c>
      <c r="Q77">
        <f>SMALL(SimData!$B$9:$B$508,76)</f>
        <v>168.35127419908832</v>
      </c>
      <c r="R77">
        <f>1/(COUNT(SimData!$B$9:$B$508)-1)+$R$76</f>
        <v>0.1503006012024049</v>
      </c>
      <c r="S77">
        <f>SMALL(SimData!$C$9:$C$508,76)</f>
        <v>100.35127419908832</v>
      </c>
      <c r="T77">
        <f>1/(COUNT(SimData!$C$9:$C$508)-1)+$T$76</f>
        <v>0.1503006012024049</v>
      </c>
      <c r="U77">
        <f>SMALL(SimData!$D$9:$D$508,76)</f>
        <v>15.351274199088323</v>
      </c>
      <c r="V77">
        <f>1/(COUNT(SimData!$D$9:$D$508)-1)+$V$76</f>
        <v>0.1503006012024049</v>
      </c>
      <c r="W77">
        <f>SMALL(SimData!$E$9:$E$508,76)</f>
        <v>-46.648725800911677</v>
      </c>
      <c r="X77">
        <f>1/(COUNT(SimData!$E$9:$E$508)-1)+$X$76</f>
        <v>0.1503006012024049</v>
      </c>
    </row>
    <row r="78" spans="1:24">
      <c r="A78">
        <v>70</v>
      </c>
      <c r="B78">
        <v>208.09867284389389</v>
      </c>
      <c r="C78">
        <v>140.09867284389389</v>
      </c>
      <c r="D78">
        <v>55.098672843893894</v>
      </c>
      <c r="E78">
        <v>-6.901327156106106</v>
      </c>
      <c r="Q78">
        <f>SMALL(SimData!$B$9:$B$508,77)</f>
        <v>168.50655650901206</v>
      </c>
      <c r="R78">
        <f>1/(COUNT(SimData!$B$9:$B$508)-1)+$R$77</f>
        <v>0.15230460921843697</v>
      </c>
      <c r="S78">
        <f>SMALL(SimData!$C$9:$C$508,77)</f>
        <v>100.50655650901206</v>
      </c>
      <c r="T78">
        <f>1/(COUNT(SimData!$C$9:$C$508)-1)+$T$77</f>
        <v>0.15230460921843697</v>
      </c>
      <c r="U78">
        <f>SMALL(SimData!$D$9:$D$508,77)</f>
        <v>15.506556509012057</v>
      </c>
      <c r="V78">
        <f>1/(COUNT(SimData!$D$9:$D$508)-1)+$V$77</f>
        <v>0.15230460921843697</v>
      </c>
      <c r="W78">
        <f>SMALL(SimData!$E$9:$E$508,77)</f>
        <v>-46.493443490987943</v>
      </c>
      <c r="X78">
        <f>1/(COUNT(SimData!$E$9:$E$508)-1)+$X$77</f>
        <v>0.15230460921843697</v>
      </c>
    </row>
    <row r="79" spans="1:24">
      <c r="A79">
        <v>71</v>
      </c>
      <c r="B79">
        <v>184.1350421542972</v>
      </c>
      <c r="C79">
        <v>116.1350421542972</v>
      </c>
      <c r="D79">
        <v>31.135042154297196</v>
      </c>
      <c r="E79">
        <v>-30.864957845702804</v>
      </c>
      <c r="Q79">
        <f>SMALL(SimData!$B$9:$B$508,78)</f>
        <v>168.61280256204941</v>
      </c>
      <c r="R79">
        <f>1/(COUNT(SimData!$B$9:$B$508)-1)+$R$78</f>
        <v>0.15430861723446904</v>
      </c>
      <c r="S79">
        <f>SMALL(SimData!$C$9:$C$508,78)</f>
        <v>100.61280256204941</v>
      </c>
      <c r="T79">
        <f>1/(COUNT(SimData!$C$9:$C$508)-1)+$T$78</f>
        <v>0.15430861723446904</v>
      </c>
      <c r="U79">
        <f>SMALL(SimData!$D$9:$D$508,78)</f>
        <v>15.61280256204941</v>
      </c>
      <c r="V79">
        <f>1/(COUNT(SimData!$D$9:$D$508)-1)+$V$78</f>
        <v>0.15430861723446904</v>
      </c>
      <c r="W79">
        <f>SMALL(SimData!$E$9:$E$508,78)</f>
        <v>-46.38719743795059</v>
      </c>
      <c r="X79">
        <f>1/(COUNT(SimData!$E$9:$E$508)-1)+$X$78</f>
        <v>0.15430861723446904</v>
      </c>
    </row>
    <row r="80" spans="1:24">
      <c r="A80">
        <v>72</v>
      </c>
      <c r="B80">
        <v>225.74401277310795</v>
      </c>
      <c r="C80">
        <v>157.74401277310795</v>
      </c>
      <c r="D80">
        <v>72.744012773107954</v>
      </c>
      <c r="E80">
        <v>10.744012773107954</v>
      </c>
      <c r="Q80">
        <f>SMALL(SimData!$B$9:$B$508,79)</f>
        <v>169.32566221307223</v>
      </c>
      <c r="R80">
        <f>1/(COUNT(SimData!$B$9:$B$508)-1)+$R$79</f>
        <v>0.1563126252505011</v>
      </c>
      <c r="S80">
        <f>SMALL(SimData!$C$9:$C$508,79)</f>
        <v>101.32566221307223</v>
      </c>
      <c r="T80">
        <f>1/(COUNT(SimData!$C$9:$C$508)-1)+$T$79</f>
        <v>0.1563126252505011</v>
      </c>
      <c r="U80">
        <f>SMALL(SimData!$D$9:$D$508,79)</f>
        <v>16.325662213072235</v>
      </c>
      <c r="V80">
        <f>1/(COUNT(SimData!$D$9:$D$508)-1)+$V$79</f>
        <v>0.1563126252505011</v>
      </c>
      <c r="W80">
        <f>SMALL(SimData!$E$9:$E$508,79)</f>
        <v>-45.674337786927765</v>
      </c>
      <c r="X80">
        <f>1/(COUNT(SimData!$E$9:$E$508)-1)+$X$79</f>
        <v>0.1563126252505011</v>
      </c>
    </row>
    <row r="81" spans="1:24">
      <c r="A81">
        <v>73</v>
      </c>
      <c r="B81">
        <v>184.42866871565656</v>
      </c>
      <c r="C81">
        <v>116.42866871565656</v>
      </c>
      <c r="D81">
        <v>31.428668715656556</v>
      </c>
      <c r="E81">
        <v>-30.571331284343444</v>
      </c>
      <c r="Q81">
        <f>SMALL(SimData!$B$9:$B$508,80)</f>
        <v>169.66876244386913</v>
      </c>
      <c r="R81">
        <f>1/(COUNT(SimData!$B$9:$B$508)-1)+$R$80</f>
        <v>0.15831663326653317</v>
      </c>
      <c r="S81">
        <f>SMALL(SimData!$C$9:$C$508,80)</f>
        <v>101.66876244386913</v>
      </c>
      <c r="T81">
        <f>1/(COUNT(SimData!$C$9:$C$508)-1)+$T$80</f>
        <v>0.15831663326653317</v>
      </c>
      <c r="U81">
        <f>SMALL(SimData!$D$9:$D$508,80)</f>
        <v>16.668762443869127</v>
      </c>
      <c r="V81">
        <f>1/(COUNT(SimData!$D$9:$D$508)-1)+$V$80</f>
        <v>0.15831663326653317</v>
      </c>
      <c r="W81">
        <f>SMALL(SimData!$E$9:$E$508,80)</f>
        <v>-45.331237556130873</v>
      </c>
      <c r="X81">
        <f>1/(COUNT(SimData!$E$9:$E$508)-1)+$X$80</f>
        <v>0.15831663326653317</v>
      </c>
    </row>
    <row r="82" spans="1:24">
      <c r="A82">
        <v>74</v>
      </c>
      <c r="B82">
        <v>204.65534304082183</v>
      </c>
      <c r="C82">
        <v>136.65534304082183</v>
      </c>
      <c r="D82">
        <v>51.655343040821833</v>
      </c>
      <c r="E82">
        <v>-10.344656959178167</v>
      </c>
      <c r="Q82">
        <f>SMALL(SimData!$B$9:$B$508,81)</f>
        <v>169.8795147574117</v>
      </c>
      <c r="R82">
        <f>1/(COUNT(SimData!$B$9:$B$508)-1)+$R$81</f>
        <v>0.16032064128256523</v>
      </c>
      <c r="S82">
        <f>SMALL(SimData!$C$9:$C$508,81)</f>
        <v>101.8795147574117</v>
      </c>
      <c r="T82">
        <f>1/(COUNT(SimData!$C$9:$C$508)-1)+$T$81</f>
        <v>0.16032064128256523</v>
      </c>
      <c r="U82">
        <f>SMALL(SimData!$D$9:$D$508,81)</f>
        <v>16.879514757411698</v>
      </c>
      <c r="V82">
        <f>1/(COUNT(SimData!$D$9:$D$508)-1)+$V$81</f>
        <v>0.16032064128256523</v>
      </c>
      <c r="W82">
        <f>SMALL(SimData!$E$9:$E$508,81)</f>
        <v>-45.120485242588302</v>
      </c>
      <c r="X82">
        <f>1/(COUNT(SimData!$E$9:$E$508)-1)+$X$81</f>
        <v>0.16032064128256523</v>
      </c>
    </row>
    <row r="83" spans="1:24">
      <c r="A83">
        <v>75</v>
      </c>
      <c r="B83">
        <v>215.55663695301291</v>
      </c>
      <c r="C83">
        <v>147.55663695301291</v>
      </c>
      <c r="D83">
        <v>62.556636953012912</v>
      </c>
      <c r="E83">
        <v>0.55663695301291227</v>
      </c>
      <c r="Q83">
        <f>SMALL(SimData!$B$9:$B$508,82)</f>
        <v>170.01261283562241</v>
      </c>
      <c r="R83">
        <f>1/(COUNT(SimData!$B$9:$B$508)-1)+$R$82</f>
        <v>0.1623246492985973</v>
      </c>
      <c r="S83">
        <f>SMALL(SimData!$C$9:$C$508,82)</f>
        <v>102.01261283562241</v>
      </c>
      <c r="T83">
        <f>1/(COUNT(SimData!$C$9:$C$508)-1)+$T$82</f>
        <v>0.1623246492985973</v>
      </c>
      <c r="U83">
        <f>SMALL(SimData!$D$9:$D$508,82)</f>
        <v>17.012612835622406</v>
      </c>
      <c r="V83">
        <f>1/(COUNT(SimData!$D$9:$D$508)-1)+$V$82</f>
        <v>0.1623246492985973</v>
      </c>
      <c r="W83">
        <f>SMALL(SimData!$E$9:$E$508,82)</f>
        <v>-44.987387164377594</v>
      </c>
      <c r="X83">
        <f>1/(COUNT(SimData!$E$9:$E$508)-1)+$X$82</f>
        <v>0.1623246492985973</v>
      </c>
    </row>
    <row r="84" spans="1:24">
      <c r="A84">
        <v>76</v>
      </c>
      <c r="B84">
        <v>143.55890755607834</v>
      </c>
      <c r="C84">
        <v>75.558907556078339</v>
      </c>
      <c r="D84">
        <v>-9.4410924439216615</v>
      </c>
      <c r="E84">
        <v>-71.441092443921661</v>
      </c>
      <c r="Q84">
        <f>SMALL(SimData!$B$9:$B$508,83)</f>
        <v>170.23144935987892</v>
      </c>
      <c r="R84">
        <f>1/(COUNT(SimData!$B$9:$B$508)-1)+$R$83</f>
        <v>0.16432865731462937</v>
      </c>
      <c r="S84">
        <f>SMALL(SimData!$C$9:$C$508,83)</f>
        <v>102.23144935987892</v>
      </c>
      <c r="T84">
        <f>1/(COUNT(SimData!$C$9:$C$508)-1)+$T$83</f>
        <v>0.16432865731462937</v>
      </c>
      <c r="U84">
        <f>SMALL(SimData!$D$9:$D$508,83)</f>
        <v>17.231449359878923</v>
      </c>
      <c r="V84">
        <f>1/(COUNT(SimData!$D$9:$D$508)-1)+$V$83</f>
        <v>0.16432865731462937</v>
      </c>
      <c r="W84">
        <f>SMALL(SimData!$E$9:$E$508,83)</f>
        <v>-44.768550640121077</v>
      </c>
      <c r="X84">
        <f>1/(COUNT(SimData!$E$9:$E$508)-1)+$X$83</f>
        <v>0.16432865731462937</v>
      </c>
    </row>
    <row r="85" spans="1:24">
      <c r="A85">
        <v>77</v>
      </c>
      <c r="B85">
        <v>173.86555059295472</v>
      </c>
      <c r="C85">
        <v>105.86555059295472</v>
      </c>
      <c r="D85">
        <v>20.865550592954719</v>
      </c>
      <c r="E85">
        <v>-41.134449407045281</v>
      </c>
      <c r="Q85">
        <f>SMALL(SimData!$B$9:$B$508,84)</f>
        <v>170.49371016100969</v>
      </c>
      <c r="R85">
        <f>1/(COUNT(SimData!$B$9:$B$508)-1)+$R$84</f>
        <v>0.16633266533066143</v>
      </c>
      <c r="S85">
        <f>SMALL(SimData!$C$9:$C$508,84)</f>
        <v>102.49371016100969</v>
      </c>
      <c r="T85">
        <f>1/(COUNT(SimData!$C$9:$C$508)-1)+$T$84</f>
        <v>0.16633266533066143</v>
      </c>
      <c r="U85">
        <f>SMALL(SimData!$D$9:$D$508,84)</f>
        <v>17.493710161009687</v>
      </c>
      <c r="V85">
        <f>1/(COUNT(SimData!$D$9:$D$508)-1)+$V$84</f>
        <v>0.16633266533066143</v>
      </c>
      <c r="W85">
        <f>SMALL(SimData!$E$9:$E$508,84)</f>
        <v>-44.506289838990313</v>
      </c>
      <c r="X85">
        <f>1/(COUNT(SimData!$E$9:$E$508)-1)+$X$84</f>
        <v>0.16633266533066143</v>
      </c>
    </row>
    <row r="86" spans="1:24">
      <c r="A86">
        <v>78</v>
      </c>
      <c r="B86">
        <v>191.33096519487987</v>
      </c>
      <c r="C86">
        <v>123.33096519487987</v>
      </c>
      <c r="D86">
        <v>38.330965194879866</v>
      </c>
      <c r="E86">
        <v>-23.669034805120134</v>
      </c>
      <c r="Q86">
        <f>SMALL(SimData!$B$9:$B$508,85)</f>
        <v>170.49985402288723</v>
      </c>
      <c r="R86">
        <f>1/(COUNT(SimData!$B$9:$B$508)-1)+$R$85</f>
        <v>0.1683366733466935</v>
      </c>
      <c r="S86">
        <f>SMALL(SimData!$C$9:$C$508,85)</f>
        <v>102.49985402288723</v>
      </c>
      <c r="T86">
        <f>1/(COUNT(SimData!$C$9:$C$508)-1)+$T$85</f>
        <v>0.1683366733466935</v>
      </c>
      <c r="U86">
        <f>SMALL(SimData!$D$9:$D$508,85)</f>
        <v>17.499854022887234</v>
      </c>
      <c r="V86">
        <f>1/(COUNT(SimData!$D$9:$D$508)-1)+$V$85</f>
        <v>0.1683366733466935</v>
      </c>
      <c r="W86">
        <f>SMALL(SimData!$E$9:$E$508,85)</f>
        <v>-44.500145977112766</v>
      </c>
      <c r="X86">
        <f>1/(COUNT(SimData!$E$9:$E$508)-1)+$X$85</f>
        <v>0.1683366733466935</v>
      </c>
    </row>
    <row r="87" spans="1:24">
      <c r="A87">
        <v>79</v>
      </c>
      <c r="B87">
        <v>205.94860778876455</v>
      </c>
      <c r="C87">
        <v>137.94860778876455</v>
      </c>
      <c r="D87">
        <v>52.948607788764548</v>
      </c>
      <c r="E87">
        <v>-9.0513922112354521</v>
      </c>
      <c r="Q87">
        <f>SMALL(SimData!$B$9:$B$508,86)</f>
        <v>170.52013090165372</v>
      </c>
      <c r="R87">
        <f>1/(COUNT(SimData!$B$9:$B$508)-1)+$R$86</f>
        <v>0.17034068136272557</v>
      </c>
      <c r="S87">
        <f>SMALL(SimData!$C$9:$C$508,86)</f>
        <v>102.52013090165372</v>
      </c>
      <c r="T87">
        <f>1/(COUNT(SimData!$C$9:$C$508)-1)+$T$86</f>
        <v>0.17034068136272557</v>
      </c>
      <c r="U87">
        <f>SMALL(SimData!$D$9:$D$508,86)</f>
        <v>17.520130901653715</v>
      </c>
      <c r="V87">
        <f>1/(COUNT(SimData!$D$9:$D$508)-1)+$V$86</f>
        <v>0.17034068136272557</v>
      </c>
      <c r="W87">
        <f>SMALL(SimData!$E$9:$E$508,86)</f>
        <v>-44.479869098346285</v>
      </c>
      <c r="X87">
        <f>1/(COUNT(SimData!$E$9:$E$508)-1)+$X$86</f>
        <v>0.17034068136272557</v>
      </c>
    </row>
    <row r="88" spans="1:24">
      <c r="A88">
        <v>80</v>
      </c>
      <c r="B88">
        <v>171.62037384572534</v>
      </c>
      <c r="C88">
        <v>103.62037384572534</v>
      </c>
      <c r="D88">
        <v>18.620373845725339</v>
      </c>
      <c r="E88">
        <v>-43.379626154274661</v>
      </c>
      <c r="Q88">
        <f>SMALL(SimData!$B$9:$B$508,87)</f>
        <v>170.75358544431737</v>
      </c>
      <c r="R88">
        <f>1/(COUNT(SimData!$B$9:$B$508)-1)+$R$87</f>
        <v>0.17234468937875763</v>
      </c>
      <c r="S88">
        <f>SMALL(SimData!$C$9:$C$508,87)</f>
        <v>102.75358544431737</v>
      </c>
      <c r="T88">
        <f>1/(COUNT(SimData!$C$9:$C$508)-1)+$T$87</f>
        <v>0.17234468937875763</v>
      </c>
      <c r="U88">
        <f>SMALL(SimData!$D$9:$D$508,87)</f>
        <v>17.753585444317366</v>
      </c>
      <c r="V88">
        <f>1/(COUNT(SimData!$D$9:$D$508)-1)+$V$87</f>
        <v>0.17234468937875763</v>
      </c>
      <c r="W88">
        <f>SMALL(SimData!$E$9:$E$508,87)</f>
        <v>-44.246414555682634</v>
      </c>
      <c r="X88">
        <f>1/(COUNT(SimData!$E$9:$E$508)-1)+$X$87</f>
        <v>0.17234468937875763</v>
      </c>
    </row>
    <row r="89" spans="1:24">
      <c r="A89">
        <v>81</v>
      </c>
      <c r="B89">
        <v>215.01874979265835</v>
      </c>
      <c r="C89">
        <v>147.01874979265835</v>
      </c>
      <c r="D89">
        <v>62.018749792658355</v>
      </c>
      <c r="E89">
        <v>1.8749792658354636E-2</v>
      </c>
      <c r="Q89">
        <f>SMALL(SimData!$B$9:$B$508,88)</f>
        <v>170.82854979045067</v>
      </c>
      <c r="R89">
        <f>1/(COUNT(SimData!$B$9:$B$508)-1)+$R$88</f>
        <v>0.1743486973947897</v>
      </c>
      <c r="S89">
        <f>SMALL(SimData!$C$9:$C$508,88)</f>
        <v>102.82854979045067</v>
      </c>
      <c r="T89">
        <f>1/(COUNT(SimData!$C$9:$C$508)-1)+$T$88</f>
        <v>0.1743486973947897</v>
      </c>
      <c r="U89">
        <f>SMALL(SimData!$D$9:$D$508,88)</f>
        <v>17.828549790450666</v>
      </c>
      <c r="V89">
        <f>1/(COUNT(SimData!$D$9:$D$508)-1)+$V$88</f>
        <v>0.1743486973947897</v>
      </c>
      <c r="W89">
        <f>SMALL(SimData!$E$9:$E$508,88)</f>
        <v>-44.171450209549334</v>
      </c>
      <c r="X89">
        <f>1/(COUNT(SimData!$E$9:$E$508)-1)+$X$88</f>
        <v>0.1743486973947897</v>
      </c>
    </row>
    <row r="90" spans="1:24">
      <c r="A90">
        <v>82</v>
      </c>
      <c r="B90">
        <v>276.89386712704885</v>
      </c>
      <c r="C90">
        <v>208.89386712704885</v>
      </c>
      <c r="D90">
        <v>123.89386712704885</v>
      </c>
      <c r="E90">
        <v>61.89386712704885</v>
      </c>
      <c r="Q90">
        <f>SMALL(SimData!$B$9:$B$508,89)</f>
        <v>170.89321800495532</v>
      </c>
      <c r="R90">
        <f>1/(COUNT(SimData!$B$9:$B$508)-1)+$R$89</f>
        <v>0.17635270541082176</v>
      </c>
      <c r="S90">
        <f>SMALL(SimData!$C$9:$C$508,89)</f>
        <v>102.89321800495532</v>
      </c>
      <c r="T90">
        <f>1/(COUNT(SimData!$C$9:$C$508)-1)+$T$89</f>
        <v>0.17635270541082176</v>
      </c>
      <c r="U90">
        <f>SMALL(SimData!$D$9:$D$508,89)</f>
        <v>17.893218004955315</v>
      </c>
      <c r="V90">
        <f>1/(COUNT(SimData!$D$9:$D$508)-1)+$V$89</f>
        <v>0.17635270541082176</v>
      </c>
      <c r="W90">
        <f>SMALL(SimData!$E$9:$E$508,89)</f>
        <v>-44.106781995044685</v>
      </c>
      <c r="X90">
        <f>1/(COUNT(SimData!$E$9:$E$508)-1)+$X$89</f>
        <v>0.17635270541082176</v>
      </c>
    </row>
    <row r="91" spans="1:24">
      <c r="A91">
        <v>83</v>
      </c>
      <c r="B91">
        <v>217.3060408155431</v>
      </c>
      <c r="C91">
        <v>149.3060408155431</v>
      </c>
      <c r="D91">
        <v>64.306040815543099</v>
      </c>
      <c r="E91">
        <v>2.3060408155430991</v>
      </c>
      <c r="Q91">
        <f>SMALL(SimData!$B$9:$B$508,90)</f>
        <v>170.96086812778634</v>
      </c>
      <c r="R91">
        <f>1/(COUNT(SimData!$B$9:$B$508)-1)+$R$90</f>
        <v>0.17835671342685383</v>
      </c>
      <c r="S91">
        <f>SMALL(SimData!$C$9:$C$508,90)</f>
        <v>102.96086812778634</v>
      </c>
      <c r="T91">
        <f>1/(COUNT(SimData!$C$9:$C$508)-1)+$T$90</f>
        <v>0.17835671342685383</v>
      </c>
      <c r="U91">
        <f>SMALL(SimData!$D$9:$D$508,90)</f>
        <v>17.960868127786341</v>
      </c>
      <c r="V91">
        <f>1/(COUNT(SimData!$D$9:$D$508)-1)+$V$90</f>
        <v>0.17835671342685383</v>
      </c>
      <c r="W91">
        <f>SMALL(SimData!$E$9:$E$508,90)</f>
        <v>-44.039131872213659</v>
      </c>
      <c r="X91">
        <f>1/(COUNT(SimData!$E$9:$E$508)-1)+$X$90</f>
        <v>0.17835671342685383</v>
      </c>
    </row>
    <row r="92" spans="1:24">
      <c r="A92">
        <v>84</v>
      </c>
      <c r="B92">
        <v>213.76003560005807</v>
      </c>
      <c r="C92">
        <v>145.76003560005807</v>
      </c>
      <c r="D92">
        <v>60.760035600058075</v>
      </c>
      <c r="E92">
        <v>-1.2399643999419254</v>
      </c>
      <c r="Q92">
        <f>SMALL(SimData!$B$9:$B$508,91)</f>
        <v>171.01896237457584</v>
      </c>
      <c r="R92">
        <f>1/(COUNT(SimData!$B$9:$B$508)-1)+$R$91</f>
        <v>0.1803607214428859</v>
      </c>
      <c r="S92">
        <f>SMALL(SimData!$C$9:$C$508,91)</f>
        <v>103.01896237457584</v>
      </c>
      <c r="T92">
        <f>1/(COUNT(SimData!$C$9:$C$508)-1)+$T$91</f>
        <v>0.1803607214428859</v>
      </c>
      <c r="U92">
        <f>SMALL(SimData!$D$9:$D$508,91)</f>
        <v>18.018962374575835</v>
      </c>
      <c r="V92">
        <f>1/(COUNT(SimData!$D$9:$D$508)-1)+$V$91</f>
        <v>0.1803607214428859</v>
      </c>
      <c r="W92">
        <f>SMALL(SimData!$E$9:$E$508,91)</f>
        <v>-43.981037625424165</v>
      </c>
      <c r="X92">
        <f>1/(COUNT(SimData!$E$9:$E$508)-1)+$X$91</f>
        <v>0.1803607214428859</v>
      </c>
    </row>
    <row r="93" spans="1:24">
      <c r="A93">
        <v>85</v>
      </c>
      <c r="B93">
        <v>237.24987787733073</v>
      </c>
      <c r="C93">
        <v>169.24987787733073</v>
      </c>
      <c r="D93">
        <v>84.249877877330732</v>
      </c>
      <c r="E93">
        <v>22.249877877330732</v>
      </c>
      <c r="Q93">
        <f>SMALL(SimData!$B$9:$B$508,92)</f>
        <v>171.08299835007392</v>
      </c>
      <c r="R93">
        <f>1/(COUNT(SimData!$B$9:$B$508)-1)+$R$92</f>
        <v>0.18236472945891796</v>
      </c>
      <c r="S93">
        <f>SMALL(SimData!$C$9:$C$508,92)</f>
        <v>103.08299835007392</v>
      </c>
      <c r="T93">
        <f>1/(COUNT(SimData!$C$9:$C$508)-1)+$T$92</f>
        <v>0.18236472945891796</v>
      </c>
      <c r="U93">
        <f>SMALL(SimData!$D$9:$D$508,92)</f>
        <v>18.082998350073922</v>
      </c>
      <c r="V93">
        <f>1/(COUNT(SimData!$D$9:$D$508)-1)+$V$92</f>
        <v>0.18236472945891796</v>
      </c>
      <c r="W93">
        <f>SMALL(SimData!$E$9:$E$508,92)</f>
        <v>-43.917001649926078</v>
      </c>
      <c r="X93">
        <f>1/(COUNT(SimData!$E$9:$E$508)-1)+$X$92</f>
        <v>0.18236472945891796</v>
      </c>
    </row>
    <row r="94" spans="1:24">
      <c r="A94">
        <v>86</v>
      </c>
      <c r="B94">
        <v>205.93569849156466</v>
      </c>
      <c r="C94">
        <v>137.93569849156466</v>
      </c>
      <c r="D94">
        <v>52.935698491564665</v>
      </c>
      <c r="E94">
        <v>-9.0643015084353351</v>
      </c>
      <c r="Q94">
        <f>SMALL(SimData!$B$9:$B$508,93)</f>
        <v>171.62037384572534</v>
      </c>
      <c r="R94">
        <f>1/(COUNT(SimData!$B$9:$B$508)-1)+$R$93</f>
        <v>0.18436873747495003</v>
      </c>
      <c r="S94">
        <f>SMALL(SimData!$C$9:$C$508,93)</f>
        <v>103.62037384572534</v>
      </c>
      <c r="T94">
        <f>1/(COUNT(SimData!$C$9:$C$508)-1)+$T$93</f>
        <v>0.18436873747495003</v>
      </c>
      <c r="U94">
        <f>SMALL(SimData!$D$9:$D$508,93)</f>
        <v>18.620373845725339</v>
      </c>
      <c r="V94">
        <f>1/(COUNT(SimData!$D$9:$D$508)-1)+$V$93</f>
        <v>0.18436873747495003</v>
      </c>
      <c r="W94">
        <f>SMALL(SimData!$E$9:$E$508,93)</f>
        <v>-43.379626154274661</v>
      </c>
      <c r="X94">
        <f>1/(COUNT(SimData!$E$9:$E$508)-1)+$X$93</f>
        <v>0.18436873747495003</v>
      </c>
    </row>
    <row r="95" spans="1:24">
      <c r="A95">
        <v>87</v>
      </c>
      <c r="B95">
        <v>181.97331285417596</v>
      </c>
      <c r="C95">
        <v>113.97331285417596</v>
      </c>
      <c r="D95">
        <v>28.973312854175958</v>
      </c>
      <c r="E95">
        <v>-33.026687145824042</v>
      </c>
      <c r="Q95">
        <f>SMALL(SimData!$B$9:$B$508,94)</f>
        <v>171.63884692417366</v>
      </c>
      <c r="R95">
        <f>1/(COUNT(SimData!$B$9:$B$508)-1)+$R$94</f>
        <v>0.18637274549098209</v>
      </c>
      <c r="S95">
        <f>SMALL(SimData!$C$9:$C$508,94)</f>
        <v>103.63884692417366</v>
      </c>
      <c r="T95">
        <f>1/(COUNT(SimData!$C$9:$C$508)-1)+$T$94</f>
        <v>0.18637274549098209</v>
      </c>
      <c r="U95">
        <f>SMALL(SimData!$D$9:$D$508,94)</f>
        <v>18.638846924173663</v>
      </c>
      <c r="V95">
        <f>1/(COUNT(SimData!$D$9:$D$508)-1)+$V$94</f>
        <v>0.18637274549098209</v>
      </c>
      <c r="W95">
        <f>SMALL(SimData!$E$9:$E$508,94)</f>
        <v>-43.361153075826337</v>
      </c>
      <c r="X95">
        <f>1/(COUNT(SimData!$E$9:$E$508)-1)+$X$94</f>
        <v>0.18637274549098209</v>
      </c>
    </row>
    <row r="96" spans="1:24">
      <c r="A96">
        <v>88</v>
      </c>
      <c r="B96">
        <v>237.26105658436313</v>
      </c>
      <c r="C96">
        <v>169.26105658436313</v>
      </c>
      <c r="D96">
        <v>84.261056584363132</v>
      </c>
      <c r="E96">
        <v>22.261056584363132</v>
      </c>
      <c r="Q96">
        <f>SMALL(SimData!$B$9:$B$508,95)</f>
        <v>172.38157018516199</v>
      </c>
      <c r="R96">
        <f>1/(COUNT(SimData!$B$9:$B$508)-1)+$R$95</f>
        <v>0.18837675350701416</v>
      </c>
      <c r="S96">
        <f>SMALL(SimData!$C$9:$C$508,95)</f>
        <v>104.38157018516199</v>
      </c>
      <c r="T96">
        <f>1/(COUNT(SimData!$C$9:$C$508)-1)+$T$95</f>
        <v>0.18837675350701416</v>
      </c>
      <c r="U96">
        <f>SMALL(SimData!$D$9:$D$508,95)</f>
        <v>19.381570185161991</v>
      </c>
      <c r="V96">
        <f>1/(COUNT(SimData!$D$9:$D$508)-1)+$V$95</f>
        <v>0.18837675350701416</v>
      </c>
      <c r="W96">
        <f>SMALL(SimData!$E$9:$E$508,95)</f>
        <v>-42.618429814838009</v>
      </c>
      <c r="X96">
        <f>1/(COUNT(SimData!$E$9:$E$508)-1)+$X$95</f>
        <v>0.18837675350701416</v>
      </c>
    </row>
    <row r="97" spans="1:24">
      <c r="A97">
        <v>89</v>
      </c>
      <c r="B97">
        <v>169.32566221307223</v>
      </c>
      <c r="C97">
        <v>101.32566221307223</v>
      </c>
      <c r="D97">
        <v>16.325662213072235</v>
      </c>
      <c r="E97">
        <v>-45.674337786927765</v>
      </c>
      <c r="Q97">
        <f>SMALL(SimData!$B$9:$B$508,96)</f>
        <v>172.38464396835241</v>
      </c>
      <c r="R97">
        <f>1/(COUNT(SimData!$B$9:$B$508)-1)+$R$96</f>
        <v>0.19038076152304623</v>
      </c>
      <c r="S97">
        <f>SMALL(SimData!$C$9:$C$508,96)</f>
        <v>104.38464396835241</v>
      </c>
      <c r="T97">
        <f>1/(COUNT(SimData!$C$9:$C$508)-1)+$T$96</f>
        <v>0.19038076152304623</v>
      </c>
      <c r="U97">
        <f>SMALL(SimData!$D$9:$D$508,96)</f>
        <v>19.384643968352407</v>
      </c>
      <c r="V97">
        <f>1/(COUNT(SimData!$D$9:$D$508)-1)+$V$96</f>
        <v>0.19038076152304623</v>
      </c>
      <c r="W97">
        <f>SMALL(SimData!$E$9:$E$508,96)</f>
        <v>-42.615356031647593</v>
      </c>
      <c r="X97">
        <f>1/(COUNT(SimData!$E$9:$E$508)-1)+$X$96</f>
        <v>0.19038076152304623</v>
      </c>
    </row>
    <row r="98" spans="1:24">
      <c r="A98">
        <v>90</v>
      </c>
      <c r="B98">
        <v>298.82843335073227</v>
      </c>
      <c r="C98">
        <v>230.82843335073227</v>
      </c>
      <c r="D98">
        <v>145.82843335073227</v>
      </c>
      <c r="E98">
        <v>83.828433350732269</v>
      </c>
      <c r="Q98">
        <f>SMALL(SimData!$B$9:$B$508,97)</f>
        <v>172.74923307425496</v>
      </c>
      <c r="R98">
        <f>1/(COUNT(SimData!$B$9:$B$508)-1)+$R$97</f>
        <v>0.19238476953907829</v>
      </c>
      <c r="S98">
        <f>SMALL(SimData!$C$9:$C$508,97)</f>
        <v>104.74923307425496</v>
      </c>
      <c r="T98">
        <f>1/(COUNT(SimData!$C$9:$C$508)-1)+$T$97</f>
        <v>0.19238476953907829</v>
      </c>
      <c r="U98">
        <f>SMALL(SimData!$D$9:$D$508,97)</f>
        <v>19.74923307425496</v>
      </c>
      <c r="V98">
        <f>1/(COUNT(SimData!$D$9:$D$508)-1)+$V$97</f>
        <v>0.19238476953907829</v>
      </c>
      <c r="W98">
        <f>SMALL(SimData!$E$9:$E$508,97)</f>
        <v>-42.25076692574504</v>
      </c>
      <c r="X98">
        <f>1/(COUNT(SimData!$E$9:$E$508)-1)+$X$97</f>
        <v>0.19238476953907829</v>
      </c>
    </row>
    <row r="99" spans="1:24">
      <c r="A99">
        <v>91</v>
      </c>
      <c r="B99">
        <v>226.05672694782118</v>
      </c>
      <c r="C99">
        <v>158.05672694782118</v>
      </c>
      <c r="D99">
        <v>73.056726947821176</v>
      </c>
      <c r="E99">
        <v>11.056726947821176</v>
      </c>
      <c r="Q99">
        <f>SMALL(SimData!$B$9:$B$508,98)</f>
        <v>172.77964984789298</v>
      </c>
      <c r="R99">
        <f>1/(COUNT(SimData!$B$9:$B$508)-1)+$R$98</f>
        <v>0.19438877755511036</v>
      </c>
      <c r="S99">
        <f>SMALL(SimData!$C$9:$C$508,98)</f>
        <v>104.77964984789298</v>
      </c>
      <c r="T99">
        <f>1/(COUNT(SimData!$C$9:$C$508)-1)+$T$98</f>
        <v>0.19438877755511036</v>
      </c>
      <c r="U99">
        <f>SMALL(SimData!$D$9:$D$508,98)</f>
        <v>19.779649847892983</v>
      </c>
      <c r="V99">
        <f>1/(COUNT(SimData!$D$9:$D$508)-1)+$V$98</f>
        <v>0.19438877755511036</v>
      </c>
      <c r="W99">
        <f>SMALL(SimData!$E$9:$E$508,98)</f>
        <v>-42.220350152107017</v>
      </c>
      <c r="X99">
        <f>1/(COUNT(SimData!$E$9:$E$508)-1)+$X$98</f>
        <v>0.19438877755511036</v>
      </c>
    </row>
    <row r="100" spans="1:24">
      <c r="A100">
        <v>92</v>
      </c>
      <c r="B100">
        <v>202.12787840166658</v>
      </c>
      <c r="C100">
        <v>134.12787840166658</v>
      </c>
      <c r="D100">
        <v>49.127878401666578</v>
      </c>
      <c r="E100">
        <v>-12.872121598333422</v>
      </c>
      <c r="Q100">
        <f>SMALL(SimData!$B$9:$B$508,99)</f>
        <v>173.21513284891404</v>
      </c>
      <c r="R100">
        <f>1/(COUNT(SimData!$B$9:$B$508)-1)+$R$99</f>
        <v>0.19639278557114243</v>
      </c>
      <c r="S100">
        <f>SMALL(SimData!$C$9:$C$508,99)</f>
        <v>105.21513284891404</v>
      </c>
      <c r="T100">
        <f>1/(COUNT(SimData!$C$9:$C$508)-1)+$T$99</f>
        <v>0.19639278557114243</v>
      </c>
      <c r="U100">
        <f>SMALL(SimData!$D$9:$D$508,99)</f>
        <v>20.215132848914038</v>
      </c>
      <c r="V100">
        <f>1/(COUNT(SimData!$D$9:$D$508)-1)+$V$99</f>
        <v>0.19639278557114243</v>
      </c>
      <c r="W100">
        <f>SMALL(SimData!$E$9:$E$508,99)</f>
        <v>-41.784867151085962</v>
      </c>
      <c r="X100">
        <f>1/(COUNT(SimData!$E$9:$E$508)-1)+$X$99</f>
        <v>0.19639278557114243</v>
      </c>
    </row>
    <row r="101" spans="1:24">
      <c r="A101">
        <v>93</v>
      </c>
      <c r="B101">
        <v>275.29268454585656</v>
      </c>
      <c r="C101">
        <v>207.29268454585656</v>
      </c>
      <c r="D101">
        <v>122.29268454585656</v>
      </c>
      <c r="E101">
        <v>60.292684545856559</v>
      </c>
      <c r="Q101">
        <f>SMALL(SimData!$B$9:$B$508,100)</f>
        <v>173.68332322637201</v>
      </c>
      <c r="R101">
        <f>1/(COUNT(SimData!$B$9:$B$508)-1)+$R$100</f>
        <v>0.19839679358717449</v>
      </c>
      <c r="S101">
        <f>SMALL(SimData!$C$9:$C$508,100)</f>
        <v>105.68332322637201</v>
      </c>
      <c r="T101">
        <f>1/(COUNT(SimData!$C$9:$C$508)-1)+$T$100</f>
        <v>0.19839679358717449</v>
      </c>
      <c r="U101">
        <f>SMALL(SimData!$D$9:$D$508,100)</f>
        <v>20.683323226372011</v>
      </c>
      <c r="V101">
        <f>1/(COUNT(SimData!$D$9:$D$508)-1)+$V$100</f>
        <v>0.19839679358717449</v>
      </c>
      <c r="W101">
        <f>SMALL(SimData!$E$9:$E$508,100)</f>
        <v>-41.316676773627989</v>
      </c>
      <c r="X101">
        <f>1/(COUNT(SimData!$E$9:$E$508)-1)+$X$100</f>
        <v>0.19839679358717449</v>
      </c>
    </row>
    <row r="102" spans="1:24">
      <c r="A102">
        <v>94</v>
      </c>
      <c r="B102">
        <v>221.43530657944109</v>
      </c>
      <c r="C102">
        <v>153.43530657944109</v>
      </c>
      <c r="D102">
        <v>68.43530657944109</v>
      </c>
      <c r="E102">
        <v>6.4353065794410895</v>
      </c>
      <c r="Q102">
        <f>SMALL(SimData!$B$9:$B$508,101)</f>
        <v>173.86555059295472</v>
      </c>
      <c r="R102">
        <f>1/(COUNT(SimData!$B$9:$B$508)-1)+$R$101</f>
        <v>0.20040080160320656</v>
      </c>
      <c r="S102">
        <f>SMALL(SimData!$C$9:$C$508,101)</f>
        <v>105.86555059295472</v>
      </c>
      <c r="T102">
        <f>1/(COUNT(SimData!$C$9:$C$508)-1)+$T$101</f>
        <v>0.20040080160320656</v>
      </c>
      <c r="U102">
        <f>SMALL(SimData!$D$9:$D$508,101)</f>
        <v>20.865550592954719</v>
      </c>
      <c r="V102">
        <f>1/(COUNT(SimData!$D$9:$D$508)-1)+$V$101</f>
        <v>0.20040080160320656</v>
      </c>
      <c r="W102">
        <f>SMALL(SimData!$E$9:$E$508,101)</f>
        <v>-41.134449407045281</v>
      </c>
      <c r="X102">
        <f>1/(COUNT(SimData!$E$9:$E$508)-1)+$X$101</f>
        <v>0.20040080160320656</v>
      </c>
    </row>
    <row r="103" spans="1:24">
      <c r="A103">
        <v>95</v>
      </c>
      <c r="B103">
        <v>291.11406155196153</v>
      </c>
      <c r="C103">
        <v>223.11406155196153</v>
      </c>
      <c r="D103">
        <v>138.11406155196153</v>
      </c>
      <c r="E103">
        <v>76.114061551961527</v>
      </c>
      <c r="Q103">
        <f>SMALL(SimData!$B$9:$B$508,102)</f>
        <v>174.58552941307067</v>
      </c>
      <c r="R103">
        <f>1/(COUNT(SimData!$B$9:$B$508)-1)+$R$102</f>
        <v>0.20240480961923862</v>
      </c>
      <c r="S103">
        <f>SMALL(SimData!$C$9:$C$508,102)</f>
        <v>106.58552941307067</v>
      </c>
      <c r="T103">
        <f>1/(COUNT(SimData!$C$9:$C$508)-1)+$T$102</f>
        <v>0.20240480961923862</v>
      </c>
      <c r="U103">
        <f>SMALL(SimData!$D$9:$D$508,102)</f>
        <v>21.585529413070674</v>
      </c>
      <c r="V103">
        <f>1/(COUNT(SimData!$D$9:$D$508)-1)+$V$102</f>
        <v>0.20240480961923862</v>
      </c>
      <c r="W103">
        <f>SMALL(SimData!$E$9:$E$508,102)</f>
        <v>-40.414470586929326</v>
      </c>
      <c r="X103">
        <f>1/(COUNT(SimData!$E$9:$E$508)-1)+$X$102</f>
        <v>0.20240480961923862</v>
      </c>
    </row>
    <row r="104" spans="1:24">
      <c r="A104">
        <v>96</v>
      </c>
      <c r="B104">
        <v>243.90270122411204</v>
      </c>
      <c r="C104">
        <v>175.90270122411204</v>
      </c>
      <c r="D104">
        <v>90.902701224112036</v>
      </c>
      <c r="E104">
        <v>28.902701224112036</v>
      </c>
      <c r="Q104">
        <f>SMALL(SimData!$B$9:$B$508,103)</f>
        <v>174.84167737230001</v>
      </c>
      <c r="R104">
        <f>1/(COUNT(SimData!$B$9:$B$508)-1)+$R$103</f>
        <v>0.20440881763527069</v>
      </c>
      <c r="S104">
        <f>SMALL(SimData!$C$9:$C$508,103)</f>
        <v>106.84167737230001</v>
      </c>
      <c r="T104">
        <f>1/(COUNT(SimData!$C$9:$C$508)-1)+$T$103</f>
        <v>0.20440881763527069</v>
      </c>
      <c r="U104">
        <f>SMALL(SimData!$D$9:$D$508,103)</f>
        <v>21.841677372300012</v>
      </c>
      <c r="V104">
        <f>1/(COUNT(SimData!$D$9:$D$508)-1)+$V$103</f>
        <v>0.20440881763527069</v>
      </c>
      <c r="W104">
        <f>SMALL(SimData!$E$9:$E$508,103)</f>
        <v>-40.158322627699988</v>
      </c>
      <c r="X104">
        <f>1/(COUNT(SimData!$E$9:$E$508)-1)+$X$103</f>
        <v>0.20440881763527069</v>
      </c>
    </row>
    <row r="105" spans="1:24">
      <c r="A105">
        <v>97</v>
      </c>
      <c r="B105">
        <v>212.76927694203516</v>
      </c>
      <c r="C105">
        <v>144.76927694203516</v>
      </c>
      <c r="D105">
        <v>59.769276942035162</v>
      </c>
      <c r="E105">
        <v>-2.2307230579648376</v>
      </c>
      <c r="Q105">
        <f>SMALL(SimData!$B$9:$B$508,104)</f>
        <v>175.94836658793145</v>
      </c>
      <c r="R105">
        <f>1/(COUNT(SimData!$B$9:$B$508)-1)+$R$104</f>
        <v>0.20641282565130276</v>
      </c>
      <c r="S105">
        <f>SMALL(SimData!$C$9:$C$508,104)</f>
        <v>107.94836658793145</v>
      </c>
      <c r="T105">
        <f>1/(COUNT(SimData!$C$9:$C$508)-1)+$T$104</f>
        <v>0.20641282565130276</v>
      </c>
      <c r="U105">
        <f>SMALL(SimData!$D$9:$D$508,104)</f>
        <v>22.948366587931446</v>
      </c>
      <c r="V105">
        <f>1/(COUNT(SimData!$D$9:$D$508)-1)+$V$104</f>
        <v>0.20641282565130276</v>
      </c>
      <c r="W105">
        <f>SMALL(SimData!$E$9:$E$508,104)</f>
        <v>-39.051633412068554</v>
      </c>
      <c r="X105">
        <f>1/(COUNT(SimData!$E$9:$E$508)-1)+$X$104</f>
        <v>0.20641282565130276</v>
      </c>
    </row>
    <row r="106" spans="1:24">
      <c r="A106">
        <v>98</v>
      </c>
      <c r="B106">
        <v>250.17319775771148</v>
      </c>
      <c r="C106">
        <v>182.17319775771148</v>
      </c>
      <c r="D106">
        <v>97.173197757711478</v>
      </c>
      <c r="E106">
        <v>35.173197757711478</v>
      </c>
      <c r="Q106">
        <f>SMALL(SimData!$B$9:$B$508,105)</f>
        <v>176.27388728816771</v>
      </c>
      <c r="R106">
        <f>1/(COUNT(SimData!$B$9:$B$508)-1)+$R$105</f>
        <v>0.20841683366733482</v>
      </c>
      <c r="S106">
        <f>SMALL(SimData!$C$9:$C$508,105)</f>
        <v>108.27388728816771</v>
      </c>
      <c r="T106">
        <f>1/(COUNT(SimData!$C$9:$C$508)-1)+$T$105</f>
        <v>0.20841683366733482</v>
      </c>
      <c r="U106">
        <f>SMALL(SimData!$D$9:$D$508,105)</f>
        <v>23.273887288167714</v>
      </c>
      <c r="V106">
        <f>1/(COUNT(SimData!$D$9:$D$508)-1)+$V$105</f>
        <v>0.20841683366733482</v>
      </c>
      <c r="W106">
        <f>SMALL(SimData!$E$9:$E$508,105)</f>
        <v>-38.726112711832286</v>
      </c>
      <c r="X106">
        <f>1/(COUNT(SimData!$E$9:$E$508)-1)+$X$105</f>
        <v>0.20841683366733482</v>
      </c>
    </row>
    <row r="107" spans="1:24">
      <c r="A107">
        <v>99</v>
      </c>
      <c r="B107">
        <v>229.82925573427747</v>
      </c>
      <c r="C107">
        <v>161.82925573427747</v>
      </c>
      <c r="D107">
        <v>76.829255734277467</v>
      </c>
      <c r="E107">
        <v>14.829255734277467</v>
      </c>
      <c r="Q107">
        <f>SMALL(SimData!$B$9:$B$508,106)</f>
        <v>176.5296330202732</v>
      </c>
      <c r="R107">
        <f>1/(COUNT(SimData!$B$9:$B$508)-1)+$R$106</f>
        <v>0.21042084168336689</v>
      </c>
      <c r="S107">
        <f>SMALL(SimData!$C$9:$C$508,106)</f>
        <v>108.5296330202732</v>
      </c>
      <c r="T107">
        <f>1/(COUNT(SimData!$C$9:$C$508)-1)+$T$106</f>
        <v>0.21042084168336689</v>
      </c>
      <c r="U107">
        <f>SMALL(SimData!$D$9:$D$508,106)</f>
        <v>23.529633020273195</v>
      </c>
      <c r="V107">
        <f>1/(COUNT(SimData!$D$9:$D$508)-1)+$V$106</f>
        <v>0.21042084168336689</v>
      </c>
      <c r="W107">
        <f>SMALL(SimData!$E$9:$E$508,106)</f>
        <v>-38.470366979726805</v>
      </c>
      <c r="X107">
        <f>1/(COUNT(SimData!$E$9:$E$508)-1)+$X$106</f>
        <v>0.21042084168336689</v>
      </c>
    </row>
    <row r="108" spans="1:24">
      <c r="A108">
        <v>100</v>
      </c>
      <c r="B108">
        <v>181.45921247055367</v>
      </c>
      <c r="C108">
        <v>113.45921247055367</v>
      </c>
      <c r="D108">
        <v>28.459212470553666</v>
      </c>
      <c r="E108">
        <v>-33.540787529446334</v>
      </c>
      <c r="Q108">
        <f>SMALL(SimData!$B$9:$B$508,107)</f>
        <v>176.84179593833881</v>
      </c>
      <c r="R108">
        <f>1/(COUNT(SimData!$B$9:$B$508)-1)+$R$107</f>
        <v>0.21242484969939895</v>
      </c>
      <c r="S108">
        <f>SMALL(SimData!$C$9:$C$508,107)</f>
        <v>108.84179593833881</v>
      </c>
      <c r="T108">
        <f>1/(COUNT(SimData!$C$9:$C$508)-1)+$T$107</f>
        <v>0.21242484969939895</v>
      </c>
      <c r="U108">
        <f>SMALL(SimData!$D$9:$D$508,107)</f>
        <v>23.841795938338805</v>
      </c>
      <c r="V108">
        <f>1/(COUNT(SimData!$D$9:$D$508)-1)+$V$107</f>
        <v>0.21242484969939895</v>
      </c>
      <c r="W108">
        <f>SMALL(SimData!$E$9:$E$508,107)</f>
        <v>-38.158204061661195</v>
      </c>
      <c r="X108">
        <f>1/(COUNT(SimData!$E$9:$E$508)-1)+$X$107</f>
        <v>0.21242484969939895</v>
      </c>
    </row>
    <row r="109" spans="1:24">
      <c r="A109">
        <v>101</v>
      </c>
      <c r="B109">
        <v>238.47022230664942</v>
      </c>
      <c r="C109">
        <v>170.47022230664942</v>
      </c>
      <c r="D109">
        <v>85.470222306649418</v>
      </c>
      <c r="E109">
        <v>23.470222306649418</v>
      </c>
      <c r="Q109">
        <f>SMALL(SimData!$B$9:$B$508,108)</f>
        <v>177.11683731844607</v>
      </c>
      <c r="R109">
        <f>1/(COUNT(SimData!$B$9:$B$508)-1)+$R$108</f>
        <v>0.21442885771543102</v>
      </c>
      <c r="S109">
        <f>SMALL(SimData!$C$9:$C$508,108)</f>
        <v>109.11683731844607</v>
      </c>
      <c r="T109">
        <f>1/(COUNT(SimData!$C$9:$C$508)-1)+$T$108</f>
        <v>0.21442885771543102</v>
      </c>
      <c r="U109">
        <f>SMALL(SimData!$D$9:$D$508,108)</f>
        <v>24.116837318446073</v>
      </c>
      <c r="V109">
        <f>1/(COUNT(SimData!$D$9:$D$508)-1)+$V$108</f>
        <v>0.21442885771543102</v>
      </c>
      <c r="W109">
        <f>SMALL(SimData!$E$9:$E$508,108)</f>
        <v>-37.883162681553927</v>
      </c>
      <c r="X109">
        <f>1/(COUNT(SimData!$E$9:$E$508)-1)+$X$108</f>
        <v>0.21442885771543102</v>
      </c>
    </row>
    <row r="110" spans="1:24">
      <c r="A110">
        <v>102</v>
      </c>
      <c r="B110">
        <v>215.47921656886234</v>
      </c>
      <c r="C110">
        <v>147.47921656886234</v>
      </c>
      <c r="D110">
        <v>62.479216568862341</v>
      </c>
      <c r="E110">
        <v>0.47921656886234132</v>
      </c>
      <c r="Q110">
        <f>SMALL(SimData!$B$9:$B$508,109)</f>
        <v>177.4554127319193</v>
      </c>
      <c r="R110">
        <f>1/(COUNT(SimData!$B$9:$B$508)-1)+$R$109</f>
        <v>0.21643286573146309</v>
      </c>
      <c r="S110">
        <f>SMALL(SimData!$C$9:$C$508,109)</f>
        <v>109.4554127319193</v>
      </c>
      <c r="T110">
        <f>1/(COUNT(SimData!$C$9:$C$508)-1)+$T$109</f>
        <v>0.21643286573146309</v>
      </c>
      <c r="U110">
        <f>SMALL(SimData!$D$9:$D$508,109)</f>
        <v>24.455412731919296</v>
      </c>
      <c r="V110">
        <f>1/(COUNT(SimData!$D$9:$D$508)-1)+$V$109</f>
        <v>0.21643286573146309</v>
      </c>
      <c r="W110">
        <f>SMALL(SimData!$E$9:$E$508,109)</f>
        <v>-37.544587268080704</v>
      </c>
      <c r="X110">
        <f>1/(COUNT(SimData!$E$9:$E$508)-1)+$X$109</f>
        <v>0.21643286573146309</v>
      </c>
    </row>
    <row r="111" spans="1:24">
      <c r="A111">
        <v>103</v>
      </c>
      <c r="B111">
        <v>210.06905096885373</v>
      </c>
      <c r="C111">
        <v>142.06905096885373</v>
      </c>
      <c r="D111">
        <v>57.06905096885373</v>
      </c>
      <c r="E111">
        <v>-4.9309490311462696</v>
      </c>
      <c r="Q111">
        <f>SMALL(SimData!$B$9:$B$508,110)</f>
        <v>178.3607428562255</v>
      </c>
      <c r="R111">
        <f>1/(COUNT(SimData!$B$9:$B$508)-1)+$R$110</f>
        <v>0.21843687374749515</v>
      </c>
      <c r="S111">
        <f>SMALL(SimData!$C$9:$C$508,110)</f>
        <v>110.3607428562255</v>
      </c>
      <c r="T111">
        <f>1/(COUNT(SimData!$C$9:$C$508)-1)+$T$110</f>
        <v>0.21843687374749515</v>
      </c>
      <c r="U111">
        <f>SMALL(SimData!$D$9:$D$508,110)</f>
        <v>25.3607428562255</v>
      </c>
      <c r="V111">
        <f>1/(COUNT(SimData!$D$9:$D$508)-1)+$V$110</f>
        <v>0.21843687374749515</v>
      </c>
      <c r="W111">
        <f>SMALL(SimData!$E$9:$E$508,110)</f>
        <v>-36.6392571437745</v>
      </c>
      <c r="X111">
        <f>1/(COUNT(SimData!$E$9:$E$508)-1)+$X$110</f>
        <v>0.21843687374749515</v>
      </c>
    </row>
    <row r="112" spans="1:24">
      <c r="A112">
        <v>104</v>
      </c>
      <c r="B112">
        <v>173.68332322637201</v>
      </c>
      <c r="C112">
        <v>105.68332322637201</v>
      </c>
      <c r="D112">
        <v>20.683323226372011</v>
      </c>
      <c r="E112">
        <v>-41.316676773627989</v>
      </c>
      <c r="Q112">
        <f>SMALL(SimData!$B$9:$B$508,111)</f>
        <v>178.88995994832084</v>
      </c>
      <c r="R112">
        <f>1/(COUNT(SimData!$B$9:$B$508)-1)+$R$111</f>
        <v>0.22044088176352722</v>
      </c>
      <c r="S112">
        <f>SMALL(SimData!$C$9:$C$508,111)</f>
        <v>110.88995994832084</v>
      </c>
      <c r="T112">
        <f>1/(COUNT(SimData!$C$9:$C$508)-1)+$T$111</f>
        <v>0.22044088176352722</v>
      </c>
      <c r="U112">
        <f>SMALL(SimData!$D$9:$D$508,111)</f>
        <v>25.889959948320836</v>
      </c>
      <c r="V112">
        <f>1/(COUNT(SimData!$D$9:$D$508)-1)+$V$111</f>
        <v>0.22044088176352722</v>
      </c>
      <c r="W112">
        <f>SMALL(SimData!$E$9:$E$508,111)</f>
        <v>-36.110040051679164</v>
      </c>
      <c r="X112">
        <f>1/(COUNT(SimData!$E$9:$E$508)-1)+$X$111</f>
        <v>0.22044088176352722</v>
      </c>
    </row>
    <row r="113" spans="1:24">
      <c r="A113">
        <v>105</v>
      </c>
      <c r="B113">
        <v>234.8216697764525</v>
      </c>
      <c r="C113">
        <v>166.8216697764525</v>
      </c>
      <c r="D113">
        <v>81.821669776452495</v>
      </c>
      <c r="E113">
        <v>19.821669776452495</v>
      </c>
      <c r="Q113">
        <f>SMALL(SimData!$B$9:$B$508,112)</f>
        <v>179.76451377974371</v>
      </c>
      <c r="R113">
        <f>1/(COUNT(SimData!$B$9:$B$508)-1)+$R$112</f>
        <v>0.22244488977955928</v>
      </c>
      <c r="S113">
        <f>SMALL(SimData!$C$9:$C$508,112)</f>
        <v>111.76451377974371</v>
      </c>
      <c r="T113">
        <f>1/(COUNT(SimData!$C$9:$C$508)-1)+$T$112</f>
        <v>0.22244488977955928</v>
      </c>
      <c r="U113">
        <f>SMALL(SimData!$D$9:$D$508,112)</f>
        <v>26.764513779743709</v>
      </c>
      <c r="V113">
        <f>1/(COUNT(SimData!$D$9:$D$508)-1)+$V$112</f>
        <v>0.22244488977955928</v>
      </c>
      <c r="W113">
        <f>SMALL(SimData!$E$9:$E$508,112)</f>
        <v>-35.235486220256291</v>
      </c>
      <c r="X113">
        <f>1/(COUNT(SimData!$E$9:$E$508)-1)+$X$112</f>
        <v>0.22244488977955928</v>
      </c>
    </row>
    <row r="114" spans="1:24">
      <c r="A114">
        <v>106</v>
      </c>
      <c r="B114">
        <v>187.00337823480317</v>
      </c>
      <c r="C114">
        <v>119.00337823480317</v>
      </c>
      <c r="D114">
        <v>34.003378234803165</v>
      </c>
      <c r="E114">
        <v>-27.996621765196835</v>
      </c>
      <c r="Q114">
        <f>SMALL(SimData!$B$9:$B$508,113)</f>
        <v>180.15938933275345</v>
      </c>
      <c r="R114">
        <f>1/(COUNT(SimData!$B$9:$B$508)-1)+$R$113</f>
        <v>0.22444889779559135</v>
      </c>
      <c r="S114">
        <f>SMALL(SimData!$C$9:$C$508,113)</f>
        <v>112.15938933275345</v>
      </c>
      <c r="T114">
        <f>1/(COUNT(SimData!$C$9:$C$508)-1)+$T$113</f>
        <v>0.22444889779559135</v>
      </c>
      <c r="U114">
        <f>SMALL(SimData!$D$9:$D$508,113)</f>
        <v>27.159389332753449</v>
      </c>
      <c r="V114">
        <f>1/(COUNT(SimData!$D$9:$D$508)-1)+$V$113</f>
        <v>0.22444889779559135</v>
      </c>
      <c r="W114">
        <f>SMALL(SimData!$E$9:$E$508,113)</f>
        <v>-34.840610667246551</v>
      </c>
      <c r="X114">
        <f>1/(COUNT(SimData!$E$9:$E$508)-1)+$X$113</f>
        <v>0.22444889779559135</v>
      </c>
    </row>
    <row r="115" spans="1:24">
      <c r="A115">
        <v>107</v>
      </c>
      <c r="B115">
        <v>231.71812824487279</v>
      </c>
      <c r="C115">
        <v>163.71812824487279</v>
      </c>
      <c r="D115">
        <v>78.718128244872787</v>
      </c>
      <c r="E115">
        <v>16.718128244872787</v>
      </c>
      <c r="Q115">
        <f>SMALL(SimData!$B$9:$B$508,114)</f>
        <v>180.39271267262376</v>
      </c>
      <c r="R115">
        <f>1/(COUNT(SimData!$B$9:$B$508)-1)+$R$114</f>
        <v>0.22645290581162342</v>
      </c>
      <c r="S115">
        <f>SMALL(SimData!$C$9:$C$508,114)</f>
        <v>112.39271267262376</v>
      </c>
      <c r="T115">
        <f>1/(COUNT(SimData!$C$9:$C$508)-1)+$T$114</f>
        <v>0.22645290581162342</v>
      </c>
      <c r="U115">
        <f>SMALL(SimData!$D$9:$D$508,114)</f>
        <v>27.392712672623759</v>
      </c>
      <c r="V115">
        <f>1/(COUNT(SimData!$D$9:$D$508)-1)+$V$114</f>
        <v>0.22645290581162342</v>
      </c>
      <c r="W115">
        <f>SMALL(SimData!$E$9:$E$508,114)</f>
        <v>-34.607287327376241</v>
      </c>
      <c r="X115">
        <f>1/(COUNT(SimData!$E$9:$E$508)-1)+$X$114</f>
        <v>0.22645290581162342</v>
      </c>
    </row>
    <row r="116" spans="1:24">
      <c r="A116">
        <v>108</v>
      </c>
      <c r="B116">
        <v>145.74117277596849</v>
      </c>
      <c r="C116">
        <v>77.741172775968494</v>
      </c>
      <c r="D116">
        <v>-7.2588272240315064</v>
      </c>
      <c r="E116">
        <v>-69.258827224031506</v>
      </c>
      <c r="Q116">
        <f>SMALL(SimData!$B$9:$B$508,115)</f>
        <v>180.42326678071453</v>
      </c>
      <c r="R116">
        <f>1/(COUNT(SimData!$B$9:$B$508)-1)+$R$115</f>
        <v>0.22845691382765548</v>
      </c>
      <c r="S116">
        <f>SMALL(SimData!$C$9:$C$508,115)</f>
        <v>112.42326678071453</v>
      </c>
      <c r="T116">
        <f>1/(COUNT(SimData!$C$9:$C$508)-1)+$T$115</f>
        <v>0.22845691382765548</v>
      </c>
      <c r="U116">
        <f>SMALL(SimData!$D$9:$D$508,115)</f>
        <v>27.423266780714528</v>
      </c>
      <c r="V116">
        <f>1/(COUNT(SimData!$D$9:$D$508)-1)+$V$115</f>
        <v>0.22845691382765548</v>
      </c>
      <c r="W116">
        <f>SMALL(SimData!$E$9:$E$508,115)</f>
        <v>-34.576733219285472</v>
      </c>
      <c r="X116">
        <f>1/(COUNT(SimData!$E$9:$E$508)-1)+$X$115</f>
        <v>0.22845691382765548</v>
      </c>
    </row>
    <row r="117" spans="1:24">
      <c r="A117">
        <v>109</v>
      </c>
      <c r="B117">
        <v>188.14705122201246</v>
      </c>
      <c r="C117">
        <v>120.14705122201246</v>
      </c>
      <c r="D117">
        <v>35.147051222012465</v>
      </c>
      <c r="E117">
        <v>-26.852948777987535</v>
      </c>
      <c r="Q117">
        <f>SMALL(SimData!$B$9:$B$508,116)</f>
        <v>180.64006415865543</v>
      </c>
      <c r="R117">
        <f>1/(COUNT(SimData!$B$9:$B$508)-1)+$R$116</f>
        <v>0.23046092184368755</v>
      </c>
      <c r="S117">
        <f>SMALL(SimData!$C$9:$C$508,116)</f>
        <v>112.64006415865543</v>
      </c>
      <c r="T117">
        <f>1/(COUNT(SimData!$C$9:$C$508)-1)+$T$116</f>
        <v>0.23046092184368755</v>
      </c>
      <c r="U117">
        <f>SMALL(SimData!$D$9:$D$508,116)</f>
        <v>27.640064158655434</v>
      </c>
      <c r="V117">
        <f>1/(COUNT(SimData!$D$9:$D$508)-1)+$V$116</f>
        <v>0.23046092184368755</v>
      </c>
      <c r="W117">
        <f>SMALL(SimData!$E$9:$E$508,116)</f>
        <v>-34.359935841344566</v>
      </c>
      <c r="X117">
        <f>1/(COUNT(SimData!$E$9:$E$508)-1)+$X$116</f>
        <v>0.23046092184368755</v>
      </c>
    </row>
    <row r="118" spans="1:24">
      <c r="A118">
        <v>110</v>
      </c>
      <c r="B118">
        <v>220.75074472082827</v>
      </c>
      <c r="C118">
        <v>152.75074472082827</v>
      </c>
      <c r="D118">
        <v>67.750744720828266</v>
      </c>
      <c r="E118">
        <v>5.7507447208282656</v>
      </c>
      <c r="Q118">
        <f>SMALL(SimData!$B$9:$B$508,117)</f>
        <v>180.83043073784154</v>
      </c>
      <c r="R118">
        <f>1/(COUNT(SimData!$B$9:$B$508)-1)+$R$117</f>
        <v>0.23246492985971962</v>
      </c>
      <c r="S118">
        <f>SMALL(SimData!$C$9:$C$508,117)</f>
        <v>112.83043073784154</v>
      </c>
      <c r="T118">
        <f>1/(COUNT(SimData!$C$9:$C$508)-1)+$T$117</f>
        <v>0.23246492985971962</v>
      </c>
      <c r="U118">
        <f>SMALL(SimData!$D$9:$D$508,117)</f>
        <v>27.830430737841539</v>
      </c>
      <c r="V118">
        <f>1/(COUNT(SimData!$D$9:$D$508)-1)+$V$117</f>
        <v>0.23246492985971962</v>
      </c>
      <c r="W118">
        <f>SMALL(SimData!$E$9:$E$508,117)</f>
        <v>-34.169569262158461</v>
      </c>
      <c r="X118">
        <f>1/(COUNT(SimData!$E$9:$E$508)-1)+$X$117</f>
        <v>0.23246492985971962</v>
      </c>
    </row>
    <row r="119" spans="1:24">
      <c r="A119">
        <v>111</v>
      </c>
      <c r="B119">
        <v>242.67647512764989</v>
      </c>
      <c r="C119">
        <v>174.67647512764989</v>
      </c>
      <c r="D119">
        <v>89.676475127649894</v>
      </c>
      <c r="E119">
        <v>27.676475127649894</v>
      </c>
      <c r="Q119">
        <f>SMALL(SimData!$B$9:$B$508,118)</f>
        <v>181.45921247055367</v>
      </c>
      <c r="R119">
        <f>1/(COUNT(SimData!$B$9:$B$508)-1)+$R$118</f>
        <v>0.23446893787575168</v>
      </c>
      <c r="S119">
        <f>SMALL(SimData!$C$9:$C$508,118)</f>
        <v>113.45921247055367</v>
      </c>
      <c r="T119">
        <f>1/(COUNT(SimData!$C$9:$C$508)-1)+$T$118</f>
        <v>0.23446893787575168</v>
      </c>
      <c r="U119">
        <f>SMALL(SimData!$D$9:$D$508,118)</f>
        <v>28.459212470553666</v>
      </c>
      <c r="V119">
        <f>1/(COUNT(SimData!$D$9:$D$508)-1)+$V$118</f>
        <v>0.23446893787575168</v>
      </c>
      <c r="W119">
        <f>SMALL(SimData!$E$9:$E$508,118)</f>
        <v>-33.540787529446334</v>
      </c>
      <c r="X119">
        <f>1/(COUNT(SimData!$E$9:$E$508)-1)+$X$118</f>
        <v>0.23446893787575168</v>
      </c>
    </row>
    <row r="120" spans="1:24">
      <c r="A120">
        <v>112</v>
      </c>
      <c r="B120">
        <v>147.24882685955066</v>
      </c>
      <c r="C120">
        <v>79.248826859550661</v>
      </c>
      <c r="D120">
        <v>-5.7511731404493389</v>
      </c>
      <c r="E120">
        <v>-67.751173140449339</v>
      </c>
      <c r="Q120">
        <f>SMALL(SimData!$B$9:$B$508,119)</f>
        <v>181.76638912783591</v>
      </c>
      <c r="R120">
        <f>1/(COUNT(SimData!$B$9:$B$508)-1)+$R$119</f>
        <v>0.23647294589178375</v>
      </c>
      <c r="S120">
        <f>SMALL(SimData!$C$9:$C$508,119)</f>
        <v>113.76638912783591</v>
      </c>
      <c r="T120">
        <f>1/(COUNT(SimData!$C$9:$C$508)-1)+$T$119</f>
        <v>0.23647294589178375</v>
      </c>
      <c r="U120">
        <f>SMALL(SimData!$D$9:$D$508,119)</f>
        <v>28.766389127835907</v>
      </c>
      <c r="V120">
        <f>1/(COUNT(SimData!$D$9:$D$508)-1)+$V$119</f>
        <v>0.23647294589178375</v>
      </c>
      <c r="W120">
        <f>SMALL(SimData!$E$9:$E$508,119)</f>
        <v>-33.233610872164093</v>
      </c>
      <c r="X120">
        <f>1/(COUNT(SimData!$E$9:$E$508)-1)+$X$119</f>
        <v>0.23647294589178375</v>
      </c>
    </row>
    <row r="121" spans="1:24">
      <c r="A121">
        <v>113</v>
      </c>
      <c r="B121">
        <v>199.80286382239439</v>
      </c>
      <c r="C121">
        <v>131.80286382239439</v>
      </c>
      <c r="D121">
        <v>46.802863822394386</v>
      </c>
      <c r="E121">
        <v>-15.197136177605614</v>
      </c>
      <c r="Q121">
        <f>SMALL(SimData!$B$9:$B$508,120)</f>
        <v>181.76709840038552</v>
      </c>
      <c r="R121">
        <f>1/(COUNT(SimData!$B$9:$B$508)-1)+$R$120</f>
        <v>0.23847695390781581</v>
      </c>
      <c r="S121">
        <f>SMALL(SimData!$C$9:$C$508,120)</f>
        <v>113.76709840038552</v>
      </c>
      <c r="T121">
        <f>1/(COUNT(SimData!$C$9:$C$508)-1)+$T$120</f>
        <v>0.23847695390781581</v>
      </c>
      <c r="U121">
        <f>SMALL(SimData!$D$9:$D$508,120)</f>
        <v>28.767098400385521</v>
      </c>
      <c r="V121">
        <f>1/(COUNT(SimData!$D$9:$D$508)-1)+$V$120</f>
        <v>0.23847695390781581</v>
      </c>
      <c r="W121">
        <f>SMALL(SimData!$E$9:$E$508,120)</f>
        <v>-33.232901599614479</v>
      </c>
      <c r="X121">
        <f>1/(COUNT(SimData!$E$9:$E$508)-1)+$X$120</f>
        <v>0.23847695390781581</v>
      </c>
    </row>
    <row r="122" spans="1:24">
      <c r="A122">
        <v>114</v>
      </c>
      <c r="B122">
        <v>243.57098614267551</v>
      </c>
      <c r="C122">
        <v>175.57098614267551</v>
      </c>
      <c r="D122">
        <v>90.570986142675508</v>
      </c>
      <c r="E122">
        <v>28.570986142675508</v>
      </c>
      <c r="Q122">
        <f>SMALL(SimData!$B$9:$B$508,121)</f>
        <v>181.97331285417596</v>
      </c>
      <c r="R122">
        <f>1/(COUNT(SimData!$B$9:$B$508)-1)+$R$121</f>
        <v>0.24048096192384788</v>
      </c>
      <c r="S122">
        <f>SMALL(SimData!$C$9:$C$508,121)</f>
        <v>113.97331285417596</v>
      </c>
      <c r="T122">
        <f>1/(COUNT(SimData!$C$9:$C$508)-1)+$T$121</f>
        <v>0.24048096192384788</v>
      </c>
      <c r="U122">
        <f>SMALL(SimData!$D$9:$D$508,121)</f>
        <v>28.973312854175958</v>
      </c>
      <c r="V122">
        <f>1/(COUNT(SimData!$D$9:$D$508)-1)+$V$121</f>
        <v>0.24048096192384788</v>
      </c>
      <c r="W122">
        <f>SMALL(SimData!$E$9:$E$508,121)</f>
        <v>-33.026687145824042</v>
      </c>
      <c r="X122">
        <f>1/(COUNT(SimData!$E$9:$E$508)-1)+$X$121</f>
        <v>0.24048096192384788</v>
      </c>
    </row>
    <row r="123" spans="1:24">
      <c r="A123">
        <v>115</v>
      </c>
      <c r="B123">
        <v>230.74703186089295</v>
      </c>
      <c r="C123">
        <v>162.74703186089295</v>
      </c>
      <c r="D123">
        <v>77.747031860892946</v>
      </c>
      <c r="E123">
        <v>15.747031860892946</v>
      </c>
      <c r="Q123">
        <f>SMALL(SimData!$B$9:$B$508,122)</f>
        <v>182.25139578694564</v>
      </c>
      <c r="R123">
        <f>1/(COUNT(SimData!$B$9:$B$508)-1)+$R$122</f>
        <v>0.24248496993987995</v>
      </c>
      <c r="S123">
        <f>SMALL(SimData!$C$9:$C$508,122)</f>
        <v>114.25139578694564</v>
      </c>
      <c r="T123">
        <f>1/(COUNT(SimData!$C$9:$C$508)-1)+$T$122</f>
        <v>0.24248496993987995</v>
      </c>
      <c r="U123">
        <f>SMALL(SimData!$D$9:$D$508,122)</f>
        <v>29.251395786945636</v>
      </c>
      <c r="V123">
        <f>1/(COUNT(SimData!$D$9:$D$508)-1)+$V$122</f>
        <v>0.24248496993987995</v>
      </c>
      <c r="W123">
        <f>SMALL(SimData!$E$9:$E$508,122)</f>
        <v>-32.748604213054364</v>
      </c>
      <c r="X123">
        <f>1/(COUNT(SimData!$E$9:$E$508)-1)+$X$122</f>
        <v>0.24248496993987995</v>
      </c>
    </row>
    <row r="124" spans="1:24">
      <c r="A124">
        <v>116</v>
      </c>
      <c r="B124">
        <v>230.46881197018877</v>
      </c>
      <c r="C124">
        <v>162.46881197018877</v>
      </c>
      <c r="D124">
        <v>77.468811970188767</v>
      </c>
      <c r="E124">
        <v>15.468811970188767</v>
      </c>
      <c r="Q124">
        <f>SMALL(SimData!$B$9:$B$508,123)</f>
        <v>182.42674890256166</v>
      </c>
      <c r="R124">
        <f>1/(COUNT(SimData!$B$9:$B$508)-1)+$R$123</f>
        <v>0.24448897795591201</v>
      </c>
      <c r="S124">
        <f>SMALL(SimData!$C$9:$C$508,123)</f>
        <v>114.42674890256166</v>
      </c>
      <c r="T124">
        <f>1/(COUNT(SimData!$C$9:$C$508)-1)+$T$123</f>
        <v>0.24448897795591201</v>
      </c>
      <c r="U124">
        <f>SMALL(SimData!$D$9:$D$508,123)</f>
        <v>29.426748902561656</v>
      </c>
      <c r="V124">
        <f>1/(COUNT(SimData!$D$9:$D$508)-1)+$V$123</f>
        <v>0.24448897795591201</v>
      </c>
      <c r="W124">
        <f>SMALL(SimData!$E$9:$E$508,123)</f>
        <v>-32.573251097438344</v>
      </c>
      <c r="X124">
        <f>1/(COUNT(SimData!$E$9:$E$508)-1)+$X$123</f>
        <v>0.24448897795591201</v>
      </c>
    </row>
    <row r="125" spans="1:24">
      <c r="A125">
        <v>117</v>
      </c>
      <c r="B125">
        <v>222.72542631307289</v>
      </c>
      <c r="C125">
        <v>154.72542631307289</v>
      </c>
      <c r="D125">
        <v>69.725426313072887</v>
      </c>
      <c r="E125">
        <v>7.7254263130728873</v>
      </c>
      <c r="Q125">
        <f>SMALL(SimData!$B$9:$B$508,124)</f>
        <v>182.45666602290544</v>
      </c>
      <c r="R125">
        <f>1/(COUNT(SimData!$B$9:$B$508)-1)+$R$124</f>
        <v>0.24649298597194408</v>
      </c>
      <c r="S125">
        <f>SMALL(SimData!$C$9:$C$508,124)</f>
        <v>114.45666602290544</v>
      </c>
      <c r="T125">
        <f>1/(COUNT(SimData!$C$9:$C$508)-1)+$T$124</f>
        <v>0.24649298597194408</v>
      </c>
      <c r="U125">
        <f>SMALL(SimData!$D$9:$D$508,124)</f>
        <v>29.456666022905438</v>
      </c>
      <c r="V125">
        <f>1/(COUNT(SimData!$D$9:$D$508)-1)+$V$124</f>
        <v>0.24649298597194408</v>
      </c>
      <c r="W125">
        <f>SMALL(SimData!$E$9:$E$508,124)</f>
        <v>-32.543333977094562</v>
      </c>
      <c r="X125">
        <f>1/(COUNT(SimData!$E$9:$E$508)-1)+$X$124</f>
        <v>0.24649298597194408</v>
      </c>
    </row>
    <row r="126" spans="1:24">
      <c r="A126">
        <v>118</v>
      </c>
      <c r="B126">
        <v>254.34535114307647</v>
      </c>
      <c r="C126">
        <v>186.34535114307647</v>
      </c>
      <c r="D126">
        <v>101.34535114307647</v>
      </c>
      <c r="E126">
        <v>39.345351143076471</v>
      </c>
      <c r="Q126">
        <f>SMALL(SimData!$B$9:$B$508,125)</f>
        <v>182.81432455649656</v>
      </c>
      <c r="R126">
        <f>1/(COUNT(SimData!$B$9:$B$508)-1)+$R$125</f>
        <v>0.24849699398797614</v>
      </c>
      <c r="S126">
        <f>SMALL(SimData!$C$9:$C$508,125)</f>
        <v>114.81432455649656</v>
      </c>
      <c r="T126">
        <f>1/(COUNT(SimData!$C$9:$C$508)-1)+$T$125</f>
        <v>0.24849699398797614</v>
      </c>
      <c r="U126">
        <f>SMALL(SimData!$D$9:$D$508,125)</f>
        <v>29.814324556496558</v>
      </c>
      <c r="V126">
        <f>1/(COUNT(SimData!$D$9:$D$508)-1)+$V$125</f>
        <v>0.24849699398797614</v>
      </c>
      <c r="W126">
        <f>SMALL(SimData!$E$9:$E$508,125)</f>
        <v>-32.185675443503442</v>
      </c>
      <c r="X126">
        <f>1/(COUNT(SimData!$E$9:$E$508)-1)+$X$125</f>
        <v>0.24849699398797614</v>
      </c>
    </row>
    <row r="127" spans="1:24">
      <c r="A127">
        <v>119</v>
      </c>
      <c r="B127">
        <v>151.30827660543167</v>
      </c>
      <c r="C127">
        <v>83.308276605431672</v>
      </c>
      <c r="D127">
        <v>-1.6917233945683279</v>
      </c>
      <c r="E127">
        <v>-63.691723394568328</v>
      </c>
      <c r="Q127">
        <f>SMALL(SimData!$B$9:$B$508,126)</f>
        <v>183.58266424072667</v>
      </c>
      <c r="R127">
        <f>1/(COUNT(SimData!$B$9:$B$508)-1)+$R$126</f>
        <v>0.25050100200400821</v>
      </c>
      <c r="S127">
        <f>SMALL(SimData!$C$9:$C$508,126)</f>
        <v>115.58266424072667</v>
      </c>
      <c r="T127">
        <f>1/(COUNT(SimData!$C$9:$C$508)-1)+$T$126</f>
        <v>0.25050100200400821</v>
      </c>
      <c r="U127">
        <f>SMALL(SimData!$D$9:$D$508,126)</f>
        <v>30.582664240726672</v>
      </c>
      <c r="V127">
        <f>1/(COUNT(SimData!$D$9:$D$508)-1)+$V$126</f>
        <v>0.25050100200400821</v>
      </c>
      <c r="W127">
        <f>SMALL(SimData!$E$9:$E$508,126)</f>
        <v>-31.417335759273328</v>
      </c>
      <c r="X127">
        <f>1/(COUNT(SimData!$E$9:$E$508)-1)+$X$126</f>
        <v>0.25050100200400821</v>
      </c>
    </row>
    <row r="128" spans="1:24">
      <c r="A128">
        <v>120</v>
      </c>
      <c r="B128">
        <v>188.15012352335617</v>
      </c>
      <c r="C128">
        <v>120.15012352335617</v>
      </c>
      <c r="D128">
        <v>35.150123523356172</v>
      </c>
      <c r="E128">
        <v>-26.849876476643828</v>
      </c>
      <c r="Q128">
        <f>SMALL(SimData!$B$9:$B$508,127)</f>
        <v>183.9310331296154</v>
      </c>
      <c r="R128">
        <f>1/(COUNT(SimData!$B$9:$B$508)-1)+$R$127</f>
        <v>0.25250501002004028</v>
      </c>
      <c r="S128">
        <f>SMALL(SimData!$C$9:$C$508,127)</f>
        <v>115.9310331296154</v>
      </c>
      <c r="T128">
        <f>1/(COUNT(SimData!$C$9:$C$508)-1)+$T$127</f>
        <v>0.25250501002004028</v>
      </c>
      <c r="U128">
        <f>SMALL(SimData!$D$9:$D$508,127)</f>
        <v>30.9310331296154</v>
      </c>
      <c r="V128">
        <f>1/(COUNT(SimData!$D$9:$D$508)-1)+$V$127</f>
        <v>0.25250501002004028</v>
      </c>
      <c r="W128">
        <f>SMALL(SimData!$E$9:$E$508,127)</f>
        <v>-31.0689668703846</v>
      </c>
      <c r="X128">
        <f>1/(COUNT(SimData!$E$9:$E$508)-1)+$X$127</f>
        <v>0.25250501002004028</v>
      </c>
    </row>
    <row r="129" spans="1:24">
      <c r="A129">
        <v>121</v>
      </c>
      <c r="B129">
        <v>167.49246605007301</v>
      </c>
      <c r="C129">
        <v>99.492466050073006</v>
      </c>
      <c r="D129">
        <v>14.492466050073006</v>
      </c>
      <c r="E129">
        <v>-47.507533949926994</v>
      </c>
      <c r="Q129">
        <f>SMALL(SimData!$B$9:$B$508,128)</f>
        <v>183.97731385043238</v>
      </c>
      <c r="R129">
        <f>1/(COUNT(SimData!$B$9:$B$508)-1)+$R$128</f>
        <v>0.25450901803607234</v>
      </c>
      <c r="S129">
        <f>SMALL(SimData!$C$9:$C$508,128)</f>
        <v>115.97731385043238</v>
      </c>
      <c r="T129">
        <f>1/(COUNT(SimData!$C$9:$C$508)-1)+$T$128</f>
        <v>0.25450901803607234</v>
      </c>
      <c r="U129">
        <f>SMALL(SimData!$D$9:$D$508,128)</f>
        <v>30.977313850432381</v>
      </c>
      <c r="V129">
        <f>1/(COUNT(SimData!$D$9:$D$508)-1)+$V$128</f>
        <v>0.25450901803607234</v>
      </c>
      <c r="W129">
        <f>SMALL(SimData!$E$9:$E$508,128)</f>
        <v>-31.022686149567619</v>
      </c>
      <c r="X129">
        <f>1/(COUNT(SimData!$E$9:$E$508)-1)+$X$128</f>
        <v>0.25450901803607234</v>
      </c>
    </row>
    <row r="130" spans="1:24">
      <c r="A130">
        <v>122</v>
      </c>
      <c r="B130">
        <v>241.74925240584304</v>
      </c>
      <c r="C130">
        <v>173.74925240584304</v>
      </c>
      <c r="D130">
        <v>88.749252405843038</v>
      </c>
      <c r="E130">
        <v>26.749252405843038</v>
      </c>
      <c r="Q130">
        <f>SMALL(SimData!$B$9:$B$508,129)</f>
        <v>184.1350421542972</v>
      </c>
      <c r="R130">
        <f>1/(COUNT(SimData!$B$9:$B$508)-1)+$R$129</f>
        <v>0.25651302605210441</v>
      </c>
      <c r="S130">
        <f>SMALL(SimData!$C$9:$C$508,129)</f>
        <v>116.1350421542972</v>
      </c>
      <c r="T130">
        <f>1/(COUNT(SimData!$C$9:$C$508)-1)+$T$129</f>
        <v>0.25651302605210441</v>
      </c>
      <c r="U130">
        <f>SMALL(SimData!$D$9:$D$508,129)</f>
        <v>31.135042154297196</v>
      </c>
      <c r="V130">
        <f>1/(COUNT(SimData!$D$9:$D$508)-1)+$V$129</f>
        <v>0.25651302605210441</v>
      </c>
      <c r="W130">
        <f>SMALL(SimData!$E$9:$E$508,129)</f>
        <v>-30.864957845702804</v>
      </c>
      <c r="X130">
        <f>1/(COUNT(SimData!$E$9:$E$508)-1)+$X$129</f>
        <v>0.25651302605210441</v>
      </c>
    </row>
    <row r="131" spans="1:24">
      <c r="A131">
        <v>123</v>
      </c>
      <c r="B131">
        <v>271.97296907820703</v>
      </c>
      <c r="C131">
        <v>203.97296907820703</v>
      </c>
      <c r="D131">
        <v>118.97296907820703</v>
      </c>
      <c r="E131">
        <v>56.972969078207029</v>
      </c>
      <c r="Q131">
        <f>SMALL(SimData!$B$9:$B$508,130)</f>
        <v>184.42866871565656</v>
      </c>
      <c r="R131">
        <f>1/(COUNT(SimData!$B$9:$B$508)-1)+$R$130</f>
        <v>0.25851703406813648</v>
      </c>
      <c r="S131">
        <f>SMALL(SimData!$C$9:$C$508,130)</f>
        <v>116.42866871565656</v>
      </c>
      <c r="T131">
        <f>1/(COUNT(SimData!$C$9:$C$508)-1)+$T$130</f>
        <v>0.25851703406813648</v>
      </c>
      <c r="U131">
        <f>SMALL(SimData!$D$9:$D$508,130)</f>
        <v>31.428668715656556</v>
      </c>
      <c r="V131">
        <f>1/(COUNT(SimData!$D$9:$D$508)-1)+$V$130</f>
        <v>0.25851703406813648</v>
      </c>
      <c r="W131">
        <f>SMALL(SimData!$E$9:$E$508,130)</f>
        <v>-30.571331284343444</v>
      </c>
      <c r="X131">
        <f>1/(COUNT(SimData!$E$9:$E$508)-1)+$X$130</f>
        <v>0.25851703406813648</v>
      </c>
    </row>
    <row r="132" spans="1:24">
      <c r="A132">
        <v>124</v>
      </c>
      <c r="B132">
        <v>175.94836658793145</v>
      </c>
      <c r="C132">
        <v>107.94836658793145</v>
      </c>
      <c r="D132">
        <v>22.948366587931446</v>
      </c>
      <c r="E132">
        <v>-39.051633412068554</v>
      </c>
      <c r="Q132">
        <f>SMALL(SimData!$B$9:$B$508,131)</f>
        <v>184.81585144117486</v>
      </c>
      <c r="R132">
        <f>1/(COUNT(SimData!$B$9:$B$508)-1)+$R$131</f>
        <v>0.26052104208416854</v>
      </c>
      <c r="S132">
        <f>SMALL(SimData!$C$9:$C$508,131)</f>
        <v>116.81585144117486</v>
      </c>
      <c r="T132">
        <f>1/(COUNT(SimData!$C$9:$C$508)-1)+$T$131</f>
        <v>0.26052104208416854</v>
      </c>
      <c r="U132">
        <f>SMALL(SimData!$D$9:$D$508,131)</f>
        <v>31.815851441174857</v>
      </c>
      <c r="V132">
        <f>1/(COUNT(SimData!$D$9:$D$508)-1)+$V$131</f>
        <v>0.26052104208416854</v>
      </c>
      <c r="W132">
        <f>SMALL(SimData!$E$9:$E$508,131)</f>
        <v>-30.184148558825143</v>
      </c>
      <c r="X132">
        <f>1/(COUNT(SimData!$E$9:$E$508)-1)+$X$131</f>
        <v>0.26052104208416854</v>
      </c>
    </row>
    <row r="133" spans="1:24">
      <c r="A133">
        <v>125</v>
      </c>
      <c r="B133">
        <v>232.16032703990561</v>
      </c>
      <c r="C133">
        <v>164.16032703990561</v>
      </c>
      <c r="D133">
        <v>79.16032703990561</v>
      </c>
      <c r="E133">
        <v>17.16032703990561</v>
      </c>
      <c r="Q133">
        <f>SMALL(SimData!$B$9:$B$508,132)</f>
        <v>184.92619214728546</v>
      </c>
      <c r="R133">
        <f>1/(COUNT(SimData!$B$9:$B$508)-1)+$R$132</f>
        <v>0.26252505010020061</v>
      </c>
      <c r="S133">
        <f>SMALL(SimData!$C$9:$C$508,132)</f>
        <v>116.92619214728546</v>
      </c>
      <c r="T133">
        <f>1/(COUNT(SimData!$C$9:$C$508)-1)+$T$132</f>
        <v>0.26252505010020061</v>
      </c>
      <c r="U133">
        <f>SMALL(SimData!$D$9:$D$508,132)</f>
        <v>31.926192147285462</v>
      </c>
      <c r="V133">
        <f>1/(COUNT(SimData!$D$9:$D$508)-1)+$V$132</f>
        <v>0.26252505010020061</v>
      </c>
      <c r="W133">
        <f>SMALL(SimData!$E$9:$E$508,132)</f>
        <v>-30.073807852714538</v>
      </c>
      <c r="X133">
        <f>1/(COUNT(SimData!$E$9:$E$508)-1)+$X$132</f>
        <v>0.26252505010020061</v>
      </c>
    </row>
    <row r="134" spans="1:24">
      <c r="A134">
        <v>126</v>
      </c>
      <c r="B134">
        <v>152.03348604827829</v>
      </c>
      <c r="C134">
        <v>84.033486048278291</v>
      </c>
      <c r="D134">
        <v>-0.96651395172170851</v>
      </c>
      <c r="E134">
        <v>-62.966513951721709</v>
      </c>
      <c r="Q134">
        <f>SMALL(SimData!$B$9:$B$508,133)</f>
        <v>185.19578901561158</v>
      </c>
      <c r="R134">
        <f>1/(COUNT(SimData!$B$9:$B$508)-1)+$R$133</f>
        <v>0.26452905811623267</v>
      </c>
      <c r="S134">
        <f>SMALL(SimData!$C$9:$C$508,133)</f>
        <v>117.19578901561158</v>
      </c>
      <c r="T134">
        <f>1/(COUNT(SimData!$C$9:$C$508)-1)+$T$133</f>
        <v>0.26452905811623267</v>
      </c>
      <c r="U134">
        <f>SMALL(SimData!$D$9:$D$508,133)</f>
        <v>32.195789015611581</v>
      </c>
      <c r="V134">
        <f>1/(COUNT(SimData!$D$9:$D$508)-1)+$V$133</f>
        <v>0.26452905811623267</v>
      </c>
      <c r="W134">
        <f>SMALL(SimData!$E$9:$E$508,133)</f>
        <v>-29.804210984388419</v>
      </c>
      <c r="X134">
        <f>1/(COUNT(SimData!$E$9:$E$508)-1)+$X$133</f>
        <v>0.26452905811623267</v>
      </c>
    </row>
    <row r="135" spans="1:24">
      <c r="A135">
        <v>127</v>
      </c>
      <c r="B135">
        <v>212.79013843708776</v>
      </c>
      <c r="C135">
        <v>144.79013843708776</v>
      </c>
      <c r="D135">
        <v>59.790138437087762</v>
      </c>
      <c r="E135">
        <v>-2.2098615629122378</v>
      </c>
      <c r="Q135">
        <f>SMALL(SimData!$B$9:$B$508,134)</f>
        <v>186.17167961015321</v>
      </c>
      <c r="R135">
        <f>1/(COUNT(SimData!$B$9:$B$508)-1)+$R$134</f>
        <v>0.26653306613226474</v>
      </c>
      <c r="S135">
        <f>SMALL(SimData!$C$9:$C$508,134)</f>
        <v>118.17167961015321</v>
      </c>
      <c r="T135">
        <f>1/(COUNT(SimData!$C$9:$C$508)-1)+$T$134</f>
        <v>0.26653306613226474</v>
      </c>
      <c r="U135">
        <f>SMALL(SimData!$D$9:$D$508,134)</f>
        <v>33.171679610153205</v>
      </c>
      <c r="V135">
        <f>1/(COUNT(SimData!$D$9:$D$508)-1)+$V$134</f>
        <v>0.26653306613226474</v>
      </c>
      <c r="W135">
        <f>SMALL(SimData!$E$9:$E$508,134)</f>
        <v>-28.828320389846795</v>
      </c>
      <c r="X135">
        <f>1/(COUNT(SimData!$E$9:$E$508)-1)+$X$134</f>
        <v>0.26653306613226474</v>
      </c>
    </row>
    <row r="136" spans="1:24">
      <c r="A136">
        <v>128</v>
      </c>
      <c r="B136">
        <v>211.19523456183811</v>
      </c>
      <c r="C136">
        <v>143.19523456183811</v>
      </c>
      <c r="D136">
        <v>58.195234561838106</v>
      </c>
      <c r="E136">
        <v>-3.8047654381618941</v>
      </c>
      <c r="Q136">
        <f>SMALL(SimData!$B$9:$B$508,135)</f>
        <v>186.44869379227168</v>
      </c>
      <c r="R136">
        <f>1/(COUNT(SimData!$B$9:$B$508)-1)+$R$135</f>
        <v>0.26853707414829681</v>
      </c>
      <c r="S136">
        <f>SMALL(SimData!$C$9:$C$508,135)</f>
        <v>118.44869379227168</v>
      </c>
      <c r="T136">
        <f>1/(COUNT(SimData!$C$9:$C$508)-1)+$T$135</f>
        <v>0.26853707414829681</v>
      </c>
      <c r="U136">
        <f>SMALL(SimData!$D$9:$D$508,135)</f>
        <v>33.448693792271683</v>
      </c>
      <c r="V136">
        <f>1/(COUNT(SimData!$D$9:$D$508)-1)+$V$135</f>
        <v>0.26853707414829681</v>
      </c>
      <c r="W136">
        <f>SMALL(SimData!$E$9:$E$508,135)</f>
        <v>-28.551306207728317</v>
      </c>
      <c r="X136">
        <f>1/(COUNT(SimData!$E$9:$E$508)-1)+$X$135</f>
        <v>0.26853707414829681</v>
      </c>
    </row>
    <row r="137" spans="1:24">
      <c r="A137">
        <v>129</v>
      </c>
      <c r="B137">
        <v>211.83768282753402</v>
      </c>
      <c r="C137">
        <v>143.83768282753402</v>
      </c>
      <c r="D137">
        <v>58.837682827534024</v>
      </c>
      <c r="E137">
        <v>-3.1623171724659755</v>
      </c>
      <c r="Q137">
        <f>SMALL(SimData!$B$9:$B$508,136)</f>
        <v>186.9820558087593</v>
      </c>
      <c r="R137">
        <f>1/(COUNT(SimData!$B$9:$B$508)-1)+$R$136</f>
        <v>0.27054108216432887</v>
      </c>
      <c r="S137">
        <f>SMALL(SimData!$C$9:$C$508,136)</f>
        <v>118.9820558087593</v>
      </c>
      <c r="T137">
        <f>1/(COUNT(SimData!$C$9:$C$508)-1)+$T$136</f>
        <v>0.27054108216432887</v>
      </c>
      <c r="U137">
        <f>SMALL(SimData!$D$9:$D$508,136)</f>
        <v>33.982055808759299</v>
      </c>
      <c r="V137">
        <f>1/(COUNT(SimData!$D$9:$D$508)-1)+$V$136</f>
        <v>0.27054108216432887</v>
      </c>
      <c r="W137">
        <f>SMALL(SimData!$E$9:$E$508,136)</f>
        <v>-28.017944191240701</v>
      </c>
      <c r="X137">
        <f>1/(COUNT(SimData!$E$9:$E$508)-1)+$X$136</f>
        <v>0.27054108216432887</v>
      </c>
    </row>
    <row r="138" spans="1:24">
      <c r="A138">
        <v>130</v>
      </c>
      <c r="B138">
        <v>193.26657747357194</v>
      </c>
      <c r="C138">
        <v>125.26657747357194</v>
      </c>
      <c r="D138">
        <v>40.266577473571942</v>
      </c>
      <c r="E138">
        <v>-21.733422526428058</v>
      </c>
      <c r="Q138">
        <f>SMALL(SimData!$B$9:$B$508,137)</f>
        <v>187.00333822539807</v>
      </c>
      <c r="R138">
        <f>1/(COUNT(SimData!$B$9:$B$508)-1)+$R$137</f>
        <v>0.27254509018036094</v>
      </c>
      <c r="S138">
        <f>SMALL(SimData!$C$9:$C$508,137)</f>
        <v>119.00333822539807</v>
      </c>
      <c r="T138">
        <f>1/(COUNT(SimData!$C$9:$C$508)-1)+$T$137</f>
        <v>0.27254509018036094</v>
      </c>
      <c r="U138">
        <f>SMALL(SimData!$D$9:$D$508,137)</f>
        <v>34.003338225398068</v>
      </c>
      <c r="V138">
        <f>1/(COUNT(SimData!$D$9:$D$508)-1)+$V$137</f>
        <v>0.27254509018036094</v>
      </c>
      <c r="W138">
        <f>SMALL(SimData!$E$9:$E$508,137)</f>
        <v>-27.996661774601932</v>
      </c>
      <c r="X138">
        <f>1/(COUNT(SimData!$E$9:$E$508)-1)+$X$137</f>
        <v>0.27254509018036094</v>
      </c>
    </row>
    <row r="139" spans="1:24">
      <c r="A139">
        <v>131</v>
      </c>
      <c r="B139">
        <v>182.42674890256166</v>
      </c>
      <c r="C139">
        <v>114.42674890256166</v>
      </c>
      <c r="D139">
        <v>29.426748902561656</v>
      </c>
      <c r="E139">
        <v>-32.573251097438344</v>
      </c>
      <c r="Q139">
        <f>SMALL(SimData!$B$9:$B$508,138)</f>
        <v>187.00337823480317</v>
      </c>
      <c r="R139">
        <f>1/(COUNT(SimData!$B$9:$B$508)-1)+$R$138</f>
        <v>0.274549098196393</v>
      </c>
      <c r="S139">
        <f>SMALL(SimData!$C$9:$C$508,138)</f>
        <v>119.00337823480317</v>
      </c>
      <c r="T139">
        <f>1/(COUNT(SimData!$C$9:$C$508)-1)+$T$138</f>
        <v>0.274549098196393</v>
      </c>
      <c r="U139">
        <f>SMALL(SimData!$D$9:$D$508,138)</f>
        <v>34.003378234803165</v>
      </c>
      <c r="V139">
        <f>1/(COUNT(SimData!$D$9:$D$508)-1)+$V$138</f>
        <v>0.274549098196393</v>
      </c>
      <c r="W139">
        <f>SMALL(SimData!$E$9:$E$508,138)</f>
        <v>-27.996621765196835</v>
      </c>
      <c r="X139">
        <f>1/(COUNT(SimData!$E$9:$E$508)-1)+$X$138</f>
        <v>0.274549098196393</v>
      </c>
    </row>
    <row r="140" spans="1:24">
      <c r="A140">
        <v>132</v>
      </c>
      <c r="B140">
        <v>232.06781961923338</v>
      </c>
      <c r="C140">
        <v>164.06781961923338</v>
      </c>
      <c r="D140">
        <v>79.067819619233376</v>
      </c>
      <c r="E140">
        <v>17.067819619233376</v>
      </c>
      <c r="Q140">
        <f>SMALL(SimData!$B$9:$B$508,139)</f>
        <v>187.00535129856462</v>
      </c>
      <c r="R140">
        <f>1/(COUNT(SimData!$B$9:$B$508)-1)+$R$139</f>
        <v>0.27655310621242507</v>
      </c>
      <c r="S140">
        <f>SMALL(SimData!$C$9:$C$508,139)</f>
        <v>119.00535129856462</v>
      </c>
      <c r="T140">
        <f>1/(COUNT(SimData!$C$9:$C$508)-1)+$T$139</f>
        <v>0.27655310621242507</v>
      </c>
      <c r="U140">
        <f>SMALL(SimData!$D$9:$D$508,139)</f>
        <v>34.005351298564619</v>
      </c>
      <c r="V140">
        <f>1/(COUNT(SimData!$D$9:$D$508)-1)+$V$139</f>
        <v>0.27655310621242507</v>
      </c>
      <c r="W140">
        <f>SMALL(SimData!$E$9:$E$508,139)</f>
        <v>-27.994648701435381</v>
      </c>
      <c r="X140">
        <f>1/(COUNT(SimData!$E$9:$E$508)-1)+$X$139</f>
        <v>0.27655310621242507</v>
      </c>
    </row>
    <row r="141" spans="1:24">
      <c r="A141">
        <v>133</v>
      </c>
      <c r="B141">
        <v>209.80781966458522</v>
      </c>
      <c r="C141">
        <v>141.80781966458522</v>
      </c>
      <c r="D141">
        <v>56.807819664585224</v>
      </c>
      <c r="E141">
        <v>-5.1921803354147755</v>
      </c>
      <c r="Q141">
        <f>SMALL(SimData!$B$9:$B$508,140)</f>
        <v>187.0719440669115</v>
      </c>
      <c r="R141">
        <f>1/(COUNT(SimData!$B$9:$B$508)-1)+$R$140</f>
        <v>0.27855711422845714</v>
      </c>
      <c r="S141">
        <f>SMALL(SimData!$C$9:$C$508,140)</f>
        <v>119.0719440669115</v>
      </c>
      <c r="T141">
        <f>1/(COUNT(SimData!$C$9:$C$508)-1)+$T$140</f>
        <v>0.27855711422845714</v>
      </c>
      <c r="U141">
        <f>SMALL(SimData!$D$9:$D$508,140)</f>
        <v>34.071944066911499</v>
      </c>
      <c r="V141">
        <f>1/(COUNT(SimData!$D$9:$D$508)-1)+$V$140</f>
        <v>0.27855711422845714</v>
      </c>
      <c r="W141">
        <f>SMALL(SimData!$E$9:$E$508,140)</f>
        <v>-27.928055933088501</v>
      </c>
      <c r="X141">
        <f>1/(COUNT(SimData!$E$9:$E$508)-1)+$X$140</f>
        <v>0.27855711422845714</v>
      </c>
    </row>
    <row r="142" spans="1:24">
      <c r="A142">
        <v>134</v>
      </c>
      <c r="B142">
        <v>204.71884328687275</v>
      </c>
      <c r="C142">
        <v>136.71884328687275</v>
      </c>
      <c r="D142">
        <v>51.718843286872755</v>
      </c>
      <c r="E142">
        <v>-10.281156713127245</v>
      </c>
      <c r="Q142">
        <f>SMALL(SimData!$B$9:$B$508,141)</f>
        <v>187.0952364731333</v>
      </c>
      <c r="R142">
        <f>1/(COUNT(SimData!$B$9:$B$508)-1)+$R$141</f>
        <v>0.2805611222444892</v>
      </c>
      <c r="S142">
        <f>SMALL(SimData!$C$9:$C$508,141)</f>
        <v>119.0952364731333</v>
      </c>
      <c r="T142">
        <f>1/(COUNT(SimData!$C$9:$C$508)-1)+$T$141</f>
        <v>0.2805611222444892</v>
      </c>
      <c r="U142">
        <f>SMALL(SimData!$D$9:$D$508,141)</f>
        <v>34.095236473133298</v>
      </c>
      <c r="V142">
        <f>1/(COUNT(SimData!$D$9:$D$508)-1)+$V$141</f>
        <v>0.2805611222444892</v>
      </c>
      <c r="W142">
        <f>SMALL(SimData!$E$9:$E$508,141)</f>
        <v>-27.904763526866702</v>
      </c>
      <c r="X142">
        <f>1/(COUNT(SimData!$E$9:$E$508)-1)+$X$141</f>
        <v>0.2805611222444892</v>
      </c>
    </row>
    <row r="143" spans="1:24">
      <c r="A143">
        <v>135</v>
      </c>
      <c r="B143">
        <v>138.97765582622407</v>
      </c>
      <c r="C143">
        <v>70.977655826224066</v>
      </c>
      <c r="D143">
        <v>-14.022344173775934</v>
      </c>
      <c r="E143">
        <v>-76.022344173775934</v>
      </c>
      <c r="Q143">
        <f>SMALL(SimData!$B$9:$B$508,142)</f>
        <v>187.46844169478987</v>
      </c>
      <c r="R143">
        <f>1/(COUNT(SimData!$B$9:$B$508)-1)+$R$142</f>
        <v>0.28256513026052127</v>
      </c>
      <c r="S143">
        <f>SMALL(SimData!$C$9:$C$508,142)</f>
        <v>119.46844169478987</v>
      </c>
      <c r="T143">
        <f>1/(COUNT(SimData!$C$9:$C$508)-1)+$T$142</f>
        <v>0.28256513026052127</v>
      </c>
      <c r="U143">
        <f>SMALL(SimData!$D$9:$D$508,142)</f>
        <v>34.468441694789874</v>
      </c>
      <c r="V143">
        <f>1/(COUNT(SimData!$D$9:$D$508)-1)+$V$142</f>
        <v>0.28256513026052127</v>
      </c>
      <c r="W143">
        <f>SMALL(SimData!$E$9:$E$508,142)</f>
        <v>-27.531558305210126</v>
      </c>
      <c r="X143">
        <f>1/(COUNT(SimData!$E$9:$E$508)-1)+$X$142</f>
        <v>0.28256513026052127</v>
      </c>
    </row>
    <row r="144" spans="1:24">
      <c r="A144">
        <v>136</v>
      </c>
      <c r="B144">
        <v>216.47679313335766</v>
      </c>
      <c r="C144">
        <v>148.47679313335766</v>
      </c>
      <c r="D144">
        <v>63.47679313335766</v>
      </c>
      <c r="E144">
        <v>1.4767931333576598</v>
      </c>
      <c r="Q144">
        <f>SMALL(SimData!$B$9:$B$508,143)</f>
        <v>187.57829668328344</v>
      </c>
      <c r="R144">
        <f>1/(COUNT(SimData!$B$9:$B$508)-1)+$R$143</f>
        <v>0.28456913827655334</v>
      </c>
      <c r="S144">
        <f>SMALL(SimData!$C$9:$C$508,143)</f>
        <v>119.57829668328344</v>
      </c>
      <c r="T144">
        <f>1/(COUNT(SimData!$C$9:$C$508)-1)+$T$143</f>
        <v>0.28456913827655334</v>
      </c>
      <c r="U144">
        <f>SMALL(SimData!$D$9:$D$508,143)</f>
        <v>34.57829668328344</v>
      </c>
      <c r="V144">
        <f>1/(COUNT(SimData!$D$9:$D$508)-1)+$V$143</f>
        <v>0.28456913827655334</v>
      </c>
      <c r="W144">
        <f>SMALL(SimData!$E$9:$E$508,143)</f>
        <v>-27.42170331671656</v>
      </c>
      <c r="X144">
        <f>1/(COUNT(SimData!$E$9:$E$508)-1)+$X$143</f>
        <v>0.28456913827655334</v>
      </c>
    </row>
    <row r="145" spans="1:24">
      <c r="A145">
        <v>137</v>
      </c>
      <c r="B145">
        <v>228.27519635471862</v>
      </c>
      <c r="C145">
        <v>160.27519635471862</v>
      </c>
      <c r="D145">
        <v>75.275196354718616</v>
      </c>
      <c r="E145">
        <v>13.275196354718616</v>
      </c>
      <c r="Q145">
        <f>SMALL(SimData!$B$9:$B$508,144)</f>
        <v>188.14705122201246</v>
      </c>
      <c r="R145">
        <f>1/(COUNT(SimData!$B$9:$B$508)-1)+$R$144</f>
        <v>0.2865731462925854</v>
      </c>
      <c r="S145">
        <f>SMALL(SimData!$C$9:$C$508,144)</f>
        <v>120.14705122201246</v>
      </c>
      <c r="T145">
        <f>1/(COUNT(SimData!$C$9:$C$508)-1)+$T$144</f>
        <v>0.2865731462925854</v>
      </c>
      <c r="U145">
        <f>SMALL(SimData!$D$9:$D$508,144)</f>
        <v>35.147051222012465</v>
      </c>
      <c r="V145">
        <f>1/(COUNT(SimData!$D$9:$D$508)-1)+$V$144</f>
        <v>0.2865731462925854</v>
      </c>
      <c r="W145">
        <f>SMALL(SimData!$E$9:$E$508,144)</f>
        <v>-26.852948777987535</v>
      </c>
      <c r="X145">
        <f>1/(COUNT(SimData!$E$9:$E$508)-1)+$X$144</f>
        <v>0.2865731462925854</v>
      </c>
    </row>
    <row r="146" spans="1:24">
      <c r="A146">
        <v>138</v>
      </c>
      <c r="B146">
        <v>197.20484535034467</v>
      </c>
      <c r="C146">
        <v>129.20484535034467</v>
      </c>
      <c r="D146">
        <v>44.204845350344669</v>
      </c>
      <c r="E146">
        <v>-17.795154649655331</v>
      </c>
      <c r="Q146">
        <f>SMALL(SimData!$B$9:$B$508,145)</f>
        <v>188.15012352335617</v>
      </c>
      <c r="R146">
        <f>1/(COUNT(SimData!$B$9:$B$508)-1)+$R$145</f>
        <v>0.28857715430861747</v>
      </c>
      <c r="S146">
        <f>SMALL(SimData!$C$9:$C$508,145)</f>
        <v>120.15012352335617</v>
      </c>
      <c r="T146">
        <f>1/(COUNT(SimData!$C$9:$C$508)-1)+$T$145</f>
        <v>0.28857715430861747</v>
      </c>
      <c r="U146">
        <f>SMALL(SimData!$D$9:$D$508,145)</f>
        <v>35.150123523356172</v>
      </c>
      <c r="V146">
        <f>1/(COUNT(SimData!$D$9:$D$508)-1)+$V$145</f>
        <v>0.28857715430861747</v>
      </c>
      <c r="W146">
        <f>SMALL(SimData!$E$9:$E$508,145)</f>
        <v>-26.849876476643828</v>
      </c>
      <c r="X146">
        <f>1/(COUNT(SimData!$E$9:$E$508)-1)+$X$145</f>
        <v>0.28857715430861747</v>
      </c>
    </row>
    <row r="147" spans="1:24">
      <c r="A147">
        <v>139</v>
      </c>
      <c r="B147">
        <v>172.77964984789298</v>
      </c>
      <c r="C147">
        <v>104.77964984789298</v>
      </c>
      <c r="D147">
        <v>19.779649847892983</v>
      </c>
      <c r="E147">
        <v>-42.220350152107017</v>
      </c>
      <c r="Q147">
        <f>SMALL(SimData!$B$9:$B$508,146)</f>
        <v>188.65430855071128</v>
      </c>
      <c r="R147">
        <f>1/(COUNT(SimData!$B$9:$B$508)-1)+$R$146</f>
        <v>0.29058116232464953</v>
      </c>
      <c r="S147">
        <f>SMALL(SimData!$C$9:$C$508,146)</f>
        <v>120.65430855071128</v>
      </c>
      <c r="T147">
        <f>1/(COUNT(SimData!$C$9:$C$508)-1)+$T$146</f>
        <v>0.29058116232464953</v>
      </c>
      <c r="U147">
        <f>SMALL(SimData!$D$9:$D$508,146)</f>
        <v>35.654308550711278</v>
      </c>
      <c r="V147">
        <f>1/(COUNT(SimData!$D$9:$D$508)-1)+$V$146</f>
        <v>0.29058116232464953</v>
      </c>
      <c r="W147">
        <f>SMALL(SimData!$E$9:$E$508,146)</f>
        <v>-26.345691449288722</v>
      </c>
      <c r="X147">
        <f>1/(COUNT(SimData!$E$9:$E$508)-1)+$X$146</f>
        <v>0.29058116232464953</v>
      </c>
    </row>
    <row r="148" spans="1:24">
      <c r="A148">
        <v>140</v>
      </c>
      <c r="B148">
        <v>168.10673100952761</v>
      </c>
      <c r="C148">
        <v>100.10673100952761</v>
      </c>
      <c r="D148">
        <v>15.106731009527607</v>
      </c>
      <c r="E148">
        <v>-46.893268990472393</v>
      </c>
      <c r="Q148">
        <f>SMALL(SimData!$B$9:$B$508,147)</f>
        <v>189.30340469024208</v>
      </c>
      <c r="R148">
        <f>1/(COUNT(SimData!$B$9:$B$508)-1)+$R$147</f>
        <v>0.2925851703406816</v>
      </c>
      <c r="S148">
        <f>SMALL(SimData!$C$9:$C$508,147)</f>
        <v>121.30340469024208</v>
      </c>
      <c r="T148">
        <f>1/(COUNT(SimData!$C$9:$C$508)-1)+$T$147</f>
        <v>0.2925851703406816</v>
      </c>
      <c r="U148">
        <f>SMALL(SimData!$D$9:$D$508,147)</f>
        <v>36.303404690242076</v>
      </c>
      <c r="V148">
        <f>1/(COUNT(SimData!$D$9:$D$508)-1)+$V$147</f>
        <v>0.2925851703406816</v>
      </c>
      <c r="W148">
        <f>SMALL(SimData!$E$9:$E$508,147)</f>
        <v>-25.696595309757924</v>
      </c>
      <c r="X148">
        <f>1/(COUNT(SimData!$E$9:$E$508)-1)+$X$147</f>
        <v>0.2925851703406816</v>
      </c>
    </row>
    <row r="149" spans="1:24">
      <c r="A149">
        <v>141</v>
      </c>
      <c r="B149">
        <v>215.04271209744314</v>
      </c>
      <c r="C149">
        <v>147.04271209744314</v>
      </c>
      <c r="D149">
        <v>62.042712097443143</v>
      </c>
      <c r="E149">
        <v>4.2712097443143193E-2</v>
      </c>
      <c r="Q149">
        <f>SMALL(SimData!$B$9:$B$508,148)</f>
        <v>189.53523751558623</v>
      </c>
      <c r="R149">
        <f>1/(COUNT(SimData!$B$9:$B$508)-1)+$R$148</f>
        <v>0.29458917835671367</v>
      </c>
      <c r="S149">
        <f>SMALL(SimData!$C$9:$C$508,148)</f>
        <v>121.53523751558623</v>
      </c>
      <c r="T149">
        <f>1/(COUNT(SimData!$C$9:$C$508)-1)+$T$148</f>
        <v>0.29458917835671367</v>
      </c>
      <c r="U149">
        <f>SMALL(SimData!$D$9:$D$508,148)</f>
        <v>36.535237515586232</v>
      </c>
      <c r="V149">
        <f>1/(COUNT(SimData!$D$9:$D$508)-1)+$V$148</f>
        <v>0.29458917835671367</v>
      </c>
      <c r="W149">
        <f>SMALL(SimData!$E$9:$E$508,148)</f>
        <v>-25.464762484413768</v>
      </c>
      <c r="X149">
        <f>1/(COUNT(SimData!$E$9:$E$508)-1)+$X$148</f>
        <v>0.29458917835671367</v>
      </c>
    </row>
    <row r="150" spans="1:24">
      <c r="A150">
        <v>142</v>
      </c>
      <c r="B150">
        <v>257.68346370268648</v>
      </c>
      <c r="C150">
        <v>189.68346370268648</v>
      </c>
      <c r="D150">
        <v>104.68346370268648</v>
      </c>
      <c r="E150">
        <v>42.683463702686481</v>
      </c>
      <c r="Q150">
        <f>SMALL(SimData!$B$9:$B$508,149)</f>
        <v>189.74627376593588</v>
      </c>
      <c r="R150">
        <f>1/(COUNT(SimData!$B$9:$B$508)-1)+$R$149</f>
        <v>0.29659318637274573</v>
      </c>
      <c r="S150">
        <f>SMALL(SimData!$C$9:$C$508,149)</f>
        <v>121.74627376593588</v>
      </c>
      <c r="T150">
        <f>1/(COUNT(SimData!$C$9:$C$508)-1)+$T$149</f>
        <v>0.29659318637274573</v>
      </c>
      <c r="U150">
        <f>SMALL(SimData!$D$9:$D$508,149)</f>
        <v>36.746273765935882</v>
      </c>
      <c r="V150">
        <f>1/(COUNT(SimData!$D$9:$D$508)-1)+$V$149</f>
        <v>0.29659318637274573</v>
      </c>
      <c r="W150">
        <f>SMALL(SimData!$E$9:$E$508,149)</f>
        <v>-25.253726234064118</v>
      </c>
      <c r="X150">
        <f>1/(COUNT(SimData!$E$9:$E$508)-1)+$X$149</f>
        <v>0.29659318637274573</v>
      </c>
    </row>
    <row r="151" spans="1:24">
      <c r="A151">
        <v>143</v>
      </c>
      <c r="B151">
        <v>180.83043073784154</v>
      </c>
      <c r="C151">
        <v>112.83043073784154</v>
      </c>
      <c r="D151">
        <v>27.830430737841539</v>
      </c>
      <c r="E151">
        <v>-34.169569262158461</v>
      </c>
      <c r="Q151">
        <f>SMALL(SimData!$B$9:$B$508,150)</f>
        <v>189.87045284744937</v>
      </c>
      <c r="R151">
        <f>1/(COUNT(SimData!$B$9:$B$508)-1)+$R$150</f>
        <v>0.2985971943887778</v>
      </c>
      <c r="S151">
        <f>SMALL(SimData!$C$9:$C$508,150)</f>
        <v>121.87045284744937</v>
      </c>
      <c r="T151">
        <f>1/(COUNT(SimData!$C$9:$C$508)-1)+$T$150</f>
        <v>0.2985971943887778</v>
      </c>
      <c r="U151">
        <f>SMALL(SimData!$D$9:$D$508,150)</f>
        <v>36.870452847449371</v>
      </c>
      <c r="V151">
        <f>1/(COUNT(SimData!$D$9:$D$508)-1)+$V$150</f>
        <v>0.2985971943887778</v>
      </c>
      <c r="W151">
        <f>SMALL(SimData!$E$9:$E$508,150)</f>
        <v>-25.129547152550629</v>
      </c>
      <c r="X151">
        <f>1/(COUNT(SimData!$E$9:$E$508)-1)+$X$150</f>
        <v>0.2985971943887778</v>
      </c>
    </row>
    <row r="152" spans="1:24">
      <c r="A152">
        <v>144</v>
      </c>
      <c r="B152">
        <v>138.71343398033281</v>
      </c>
      <c r="C152">
        <v>70.713433980332809</v>
      </c>
      <c r="D152">
        <v>-14.286566019667191</v>
      </c>
      <c r="E152">
        <v>-76.286566019667191</v>
      </c>
      <c r="Q152">
        <f>SMALL(SimData!$B$9:$B$508,151)</f>
        <v>190.22068218113986</v>
      </c>
      <c r="R152">
        <f>1/(COUNT(SimData!$B$9:$B$508)-1)+$R$151</f>
        <v>0.30060120240480986</v>
      </c>
      <c r="S152">
        <f>SMALL(SimData!$C$9:$C$508,151)</f>
        <v>122.22068218113986</v>
      </c>
      <c r="T152">
        <f>1/(COUNT(SimData!$C$9:$C$508)-1)+$T$151</f>
        <v>0.30060120240480986</v>
      </c>
      <c r="U152">
        <f>SMALL(SimData!$D$9:$D$508,151)</f>
        <v>37.220682181139864</v>
      </c>
      <c r="V152">
        <f>1/(COUNT(SimData!$D$9:$D$508)-1)+$V$151</f>
        <v>0.30060120240480986</v>
      </c>
      <c r="W152">
        <f>SMALL(SimData!$E$9:$E$508,151)</f>
        <v>-24.779317818860136</v>
      </c>
      <c r="X152">
        <f>1/(COUNT(SimData!$E$9:$E$508)-1)+$X$151</f>
        <v>0.30060120240480986</v>
      </c>
    </row>
    <row r="153" spans="1:24">
      <c r="A153">
        <v>145</v>
      </c>
      <c r="B153">
        <v>147.47397842674553</v>
      </c>
      <c r="C153">
        <v>79.473978426745532</v>
      </c>
      <c r="D153">
        <v>-5.526021573254468</v>
      </c>
      <c r="E153">
        <v>-67.526021573254468</v>
      </c>
      <c r="Q153">
        <f>SMALL(SimData!$B$9:$B$508,152)</f>
        <v>190.41533104335167</v>
      </c>
      <c r="R153">
        <f>1/(COUNT(SimData!$B$9:$B$508)-1)+$R$152</f>
        <v>0.30260521042084193</v>
      </c>
      <c r="S153">
        <f>SMALL(SimData!$C$9:$C$508,152)</f>
        <v>122.41533104335167</v>
      </c>
      <c r="T153">
        <f>1/(COUNT(SimData!$C$9:$C$508)-1)+$T$152</f>
        <v>0.30260521042084193</v>
      </c>
      <c r="U153">
        <f>SMALL(SimData!$D$9:$D$508,152)</f>
        <v>37.415331043351671</v>
      </c>
      <c r="V153">
        <f>1/(COUNT(SimData!$D$9:$D$508)-1)+$V$152</f>
        <v>0.30260521042084193</v>
      </c>
      <c r="W153">
        <f>SMALL(SimData!$E$9:$E$508,152)</f>
        <v>-24.584668956648329</v>
      </c>
      <c r="X153">
        <f>1/(COUNT(SimData!$E$9:$E$508)-1)+$X$152</f>
        <v>0.30260521042084193</v>
      </c>
    </row>
    <row r="154" spans="1:24">
      <c r="A154">
        <v>146</v>
      </c>
      <c r="B154">
        <v>211.05064941416833</v>
      </c>
      <c r="C154">
        <v>143.05064941416833</v>
      </c>
      <c r="D154">
        <v>58.050649414168333</v>
      </c>
      <c r="E154">
        <v>-3.9493505858316666</v>
      </c>
      <c r="Q154">
        <f>SMALL(SimData!$B$9:$B$508,153)</f>
        <v>190.67591444695296</v>
      </c>
      <c r="R154">
        <f>1/(COUNT(SimData!$B$9:$B$508)-1)+$R$153</f>
        <v>0.304609218436874</v>
      </c>
      <c r="S154">
        <f>SMALL(SimData!$C$9:$C$508,153)</f>
        <v>122.67591444695296</v>
      </c>
      <c r="T154">
        <f>1/(COUNT(SimData!$C$9:$C$508)-1)+$T$153</f>
        <v>0.304609218436874</v>
      </c>
      <c r="U154">
        <f>SMALL(SimData!$D$9:$D$508,153)</f>
        <v>37.675914446952959</v>
      </c>
      <c r="V154">
        <f>1/(COUNT(SimData!$D$9:$D$508)-1)+$V$153</f>
        <v>0.304609218436874</v>
      </c>
      <c r="W154">
        <f>SMALL(SimData!$E$9:$E$508,153)</f>
        <v>-24.324085553047041</v>
      </c>
      <c r="X154">
        <f>1/(COUNT(SimData!$E$9:$E$508)-1)+$X$153</f>
        <v>0.304609218436874</v>
      </c>
    </row>
    <row r="155" spans="1:24">
      <c r="A155">
        <v>147</v>
      </c>
      <c r="B155">
        <v>293.48153276391099</v>
      </c>
      <c r="C155">
        <v>225.48153276391099</v>
      </c>
      <c r="D155">
        <v>140.48153276391099</v>
      </c>
      <c r="E155">
        <v>78.481532763910991</v>
      </c>
      <c r="Q155">
        <f>SMALL(SimData!$B$9:$B$508,154)</f>
        <v>190.71149403959089</v>
      </c>
      <c r="R155">
        <f>1/(COUNT(SimData!$B$9:$B$508)-1)+$R$154</f>
        <v>0.30661322645290606</v>
      </c>
      <c r="S155">
        <f>SMALL(SimData!$C$9:$C$508,154)</f>
        <v>122.71149403959089</v>
      </c>
      <c r="T155">
        <f>1/(COUNT(SimData!$C$9:$C$508)-1)+$T$154</f>
        <v>0.30661322645290606</v>
      </c>
      <c r="U155">
        <f>SMALL(SimData!$D$9:$D$508,154)</f>
        <v>37.711494039590889</v>
      </c>
      <c r="V155">
        <f>1/(COUNT(SimData!$D$9:$D$508)-1)+$V$154</f>
        <v>0.30661322645290606</v>
      </c>
      <c r="W155">
        <f>SMALL(SimData!$E$9:$E$508,154)</f>
        <v>-24.288505960409111</v>
      </c>
      <c r="X155">
        <f>1/(COUNT(SimData!$E$9:$E$508)-1)+$X$154</f>
        <v>0.30661322645290606</v>
      </c>
    </row>
    <row r="156" spans="1:24">
      <c r="A156">
        <v>148</v>
      </c>
      <c r="B156">
        <v>190.95375946175665</v>
      </c>
      <c r="C156">
        <v>122.95375946175665</v>
      </c>
      <c r="D156">
        <v>37.953759461756647</v>
      </c>
      <c r="E156">
        <v>-24.046240538243353</v>
      </c>
      <c r="Q156">
        <f>SMALL(SimData!$B$9:$B$508,155)</f>
        <v>190.71872665396432</v>
      </c>
      <c r="R156">
        <f>1/(COUNT(SimData!$B$9:$B$508)-1)+$R$155</f>
        <v>0.30861723446893813</v>
      </c>
      <c r="S156">
        <f>SMALL(SimData!$C$9:$C$508,155)</f>
        <v>122.71872665396432</v>
      </c>
      <c r="T156">
        <f>1/(COUNT(SimData!$C$9:$C$508)-1)+$T$155</f>
        <v>0.30861723446893813</v>
      </c>
      <c r="U156">
        <f>SMALL(SimData!$D$9:$D$508,155)</f>
        <v>37.718726653964325</v>
      </c>
      <c r="V156">
        <f>1/(COUNT(SimData!$D$9:$D$508)-1)+$V$155</f>
        <v>0.30861723446893813</v>
      </c>
      <c r="W156">
        <f>SMALL(SimData!$E$9:$E$508,155)</f>
        <v>-24.281273346035675</v>
      </c>
      <c r="X156">
        <f>1/(COUNT(SimData!$E$9:$E$508)-1)+$X$155</f>
        <v>0.30861723446893813</v>
      </c>
    </row>
    <row r="157" spans="1:24">
      <c r="A157">
        <v>149</v>
      </c>
      <c r="B157">
        <v>204.16883729512239</v>
      </c>
      <c r="C157">
        <v>136.16883729512239</v>
      </c>
      <c r="D157">
        <v>51.168837295122387</v>
      </c>
      <c r="E157">
        <v>-10.831162704877613</v>
      </c>
      <c r="Q157">
        <f>SMALL(SimData!$B$9:$B$508,156)</f>
        <v>190.95375946175665</v>
      </c>
      <c r="R157">
        <f>1/(COUNT(SimData!$B$9:$B$508)-1)+$R$156</f>
        <v>0.31062124248497019</v>
      </c>
      <c r="S157">
        <f>SMALL(SimData!$C$9:$C$508,156)</f>
        <v>122.95375946175665</v>
      </c>
      <c r="T157">
        <f>1/(COUNT(SimData!$C$9:$C$508)-1)+$T$156</f>
        <v>0.31062124248497019</v>
      </c>
      <c r="U157">
        <f>SMALL(SimData!$D$9:$D$508,156)</f>
        <v>37.953759461756647</v>
      </c>
      <c r="V157">
        <f>1/(COUNT(SimData!$D$9:$D$508)-1)+$V$156</f>
        <v>0.31062124248497019</v>
      </c>
      <c r="W157">
        <f>SMALL(SimData!$E$9:$E$508,156)</f>
        <v>-24.046240538243353</v>
      </c>
      <c r="X157">
        <f>1/(COUNT(SimData!$E$9:$E$508)-1)+$X$156</f>
        <v>0.31062124248497019</v>
      </c>
    </row>
    <row r="158" spans="1:24">
      <c r="A158">
        <v>150</v>
      </c>
      <c r="B158">
        <v>200.949511241165</v>
      </c>
      <c r="C158">
        <v>132.949511241165</v>
      </c>
      <c r="D158">
        <v>47.949511241164998</v>
      </c>
      <c r="E158">
        <v>-14.050488758835002</v>
      </c>
      <c r="Q158">
        <f>SMALL(SimData!$B$9:$B$508,157)</f>
        <v>191.31216139295191</v>
      </c>
      <c r="R158">
        <f>1/(COUNT(SimData!$B$9:$B$508)-1)+$R$157</f>
        <v>0.31262525050100226</v>
      </c>
      <c r="S158">
        <f>SMALL(SimData!$C$9:$C$508,157)</f>
        <v>123.31216139295191</v>
      </c>
      <c r="T158">
        <f>1/(COUNT(SimData!$C$9:$C$508)-1)+$T$157</f>
        <v>0.31262525050100226</v>
      </c>
      <c r="U158">
        <f>SMALL(SimData!$D$9:$D$508,157)</f>
        <v>38.312161392951907</v>
      </c>
      <c r="V158">
        <f>1/(COUNT(SimData!$D$9:$D$508)-1)+$V$157</f>
        <v>0.31262525050100226</v>
      </c>
      <c r="W158">
        <f>SMALL(SimData!$E$9:$E$508,157)</f>
        <v>-23.687838607048093</v>
      </c>
      <c r="X158">
        <f>1/(COUNT(SimData!$E$9:$E$508)-1)+$X$157</f>
        <v>0.31262525050100226</v>
      </c>
    </row>
    <row r="159" spans="1:24">
      <c r="A159">
        <v>151</v>
      </c>
      <c r="B159">
        <v>256.44540092991105</v>
      </c>
      <c r="C159">
        <v>188.44540092991105</v>
      </c>
      <c r="D159">
        <v>103.44540092991105</v>
      </c>
      <c r="E159">
        <v>41.445400929911045</v>
      </c>
      <c r="Q159">
        <f>SMALL(SimData!$B$9:$B$508,158)</f>
        <v>191.32522761440873</v>
      </c>
      <c r="R159">
        <f>1/(COUNT(SimData!$B$9:$B$508)-1)+$R$158</f>
        <v>0.31462925851703433</v>
      </c>
      <c r="S159">
        <f>SMALL(SimData!$C$9:$C$508,158)</f>
        <v>123.32522761440873</v>
      </c>
      <c r="T159">
        <f>1/(COUNT(SimData!$C$9:$C$508)-1)+$T$158</f>
        <v>0.31462925851703433</v>
      </c>
      <c r="U159">
        <f>SMALL(SimData!$D$9:$D$508,158)</f>
        <v>38.325227614408732</v>
      </c>
      <c r="V159">
        <f>1/(COUNT(SimData!$D$9:$D$508)-1)+$V$158</f>
        <v>0.31462925851703433</v>
      </c>
      <c r="W159">
        <f>SMALL(SimData!$E$9:$E$508,158)</f>
        <v>-23.674772385591268</v>
      </c>
      <c r="X159">
        <f>1/(COUNT(SimData!$E$9:$E$508)-1)+$X$158</f>
        <v>0.31462925851703433</v>
      </c>
    </row>
    <row r="160" spans="1:24">
      <c r="A160">
        <v>152</v>
      </c>
      <c r="B160">
        <v>207.5873037598563</v>
      </c>
      <c r="C160">
        <v>139.5873037598563</v>
      </c>
      <c r="D160">
        <v>54.587303759856297</v>
      </c>
      <c r="E160">
        <v>-7.4126962401437027</v>
      </c>
      <c r="Q160">
        <f>SMALL(SimData!$B$9:$B$508,159)</f>
        <v>191.33096519487987</v>
      </c>
      <c r="R160">
        <f>1/(COUNT(SimData!$B$9:$B$508)-1)+$R$159</f>
        <v>0.31663326653306639</v>
      </c>
      <c r="S160">
        <f>SMALL(SimData!$C$9:$C$508,159)</f>
        <v>123.33096519487987</v>
      </c>
      <c r="T160">
        <f>1/(COUNT(SimData!$C$9:$C$508)-1)+$T$159</f>
        <v>0.31663326653306639</v>
      </c>
      <c r="U160">
        <f>SMALL(SimData!$D$9:$D$508,159)</f>
        <v>38.330965194879866</v>
      </c>
      <c r="V160">
        <f>1/(COUNT(SimData!$D$9:$D$508)-1)+$V$159</f>
        <v>0.31663326653306639</v>
      </c>
      <c r="W160">
        <f>SMALL(SimData!$E$9:$E$508,159)</f>
        <v>-23.669034805120134</v>
      </c>
      <c r="X160">
        <f>1/(COUNT(SimData!$E$9:$E$508)-1)+$X$159</f>
        <v>0.31663326653306639</v>
      </c>
    </row>
    <row r="161" spans="1:24">
      <c r="A161">
        <v>153</v>
      </c>
      <c r="B161">
        <v>296.19023240666445</v>
      </c>
      <c r="C161">
        <v>228.19023240666445</v>
      </c>
      <c r="D161">
        <v>143.19023240666445</v>
      </c>
      <c r="E161">
        <v>81.19023240666445</v>
      </c>
      <c r="Q161">
        <f>SMALL(SimData!$B$9:$B$508,160)</f>
        <v>191.35919361735932</v>
      </c>
      <c r="R161">
        <f>1/(COUNT(SimData!$B$9:$B$508)-1)+$R$160</f>
        <v>0.31863727454909846</v>
      </c>
      <c r="S161">
        <f>SMALL(SimData!$C$9:$C$508,160)</f>
        <v>123.35919361735932</v>
      </c>
      <c r="T161">
        <f>1/(COUNT(SimData!$C$9:$C$508)-1)+$T$160</f>
        <v>0.31863727454909846</v>
      </c>
      <c r="U161">
        <f>SMALL(SimData!$D$9:$D$508,160)</f>
        <v>38.359193617359324</v>
      </c>
      <c r="V161">
        <f>1/(COUNT(SimData!$D$9:$D$508)-1)+$V$160</f>
        <v>0.31863727454909846</v>
      </c>
      <c r="W161">
        <f>SMALL(SimData!$E$9:$E$508,160)</f>
        <v>-23.640806382640676</v>
      </c>
      <c r="X161">
        <f>1/(COUNT(SimData!$E$9:$E$508)-1)+$X$160</f>
        <v>0.31863727454909846</v>
      </c>
    </row>
    <row r="162" spans="1:24">
      <c r="A162">
        <v>154</v>
      </c>
      <c r="B162">
        <v>172.38157018516199</v>
      </c>
      <c r="C162">
        <v>104.38157018516199</v>
      </c>
      <c r="D162">
        <v>19.381570185161991</v>
      </c>
      <c r="E162">
        <v>-42.618429814838009</v>
      </c>
      <c r="Q162">
        <f>SMALL(SimData!$B$9:$B$508,161)</f>
        <v>191.65486701462385</v>
      </c>
      <c r="R162">
        <f>1/(COUNT(SimData!$B$9:$B$508)-1)+$R$161</f>
        <v>0.32064128256513053</v>
      </c>
      <c r="S162">
        <f>SMALL(SimData!$C$9:$C$508,161)</f>
        <v>123.65486701462385</v>
      </c>
      <c r="T162">
        <f>1/(COUNT(SimData!$C$9:$C$508)-1)+$T$161</f>
        <v>0.32064128256513053</v>
      </c>
      <c r="U162">
        <f>SMALL(SimData!$D$9:$D$508,161)</f>
        <v>38.654867014623846</v>
      </c>
      <c r="V162">
        <f>1/(COUNT(SimData!$D$9:$D$508)-1)+$V$161</f>
        <v>0.32064128256513053</v>
      </c>
      <c r="W162">
        <f>SMALL(SimData!$E$9:$E$508,161)</f>
        <v>-23.345132985376154</v>
      </c>
      <c r="X162">
        <f>1/(COUNT(SimData!$E$9:$E$508)-1)+$X$161</f>
        <v>0.32064128256513053</v>
      </c>
    </row>
    <row r="163" spans="1:24">
      <c r="A163">
        <v>155</v>
      </c>
      <c r="B163">
        <v>162.36735225163869</v>
      </c>
      <c r="C163">
        <v>94.367352251638692</v>
      </c>
      <c r="D163">
        <v>9.3673522516386925</v>
      </c>
      <c r="E163">
        <v>-52.632647748361308</v>
      </c>
      <c r="Q163">
        <f>SMALL(SimData!$B$9:$B$508,162)</f>
        <v>191.71010738852743</v>
      </c>
      <c r="R163">
        <f>1/(COUNT(SimData!$B$9:$B$508)-1)+$R$162</f>
        <v>0.32264529058116259</v>
      </c>
      <c r="S163">
        <f>SMALL(SimData!$C$9:$C$508,162)</f>
        <v>123.71010738852743</v>
      </c>
      <c r="T163">
        <f>1/(COUNT(SimData!$C$9:$C$508)-1)+$T$162</f>
        <v>0.32264529058116259</v>
      </c>
      <c r="U163">
        <f>SMALL(SimData!$D$9:$D$508,162)</f>
        <v>38.710107388527433</v>
      </c>
      <c r="V163">
        <f>1/(COUNT(SimData!$D$9:$D$508)-1)+$V$162</f>
        <v>0.32264529058116259</v>
      </c>
      <c r="W163">
        <f>SMALL(SimData!$E$9:$E$508,162)</f>
        <v>-23.289892611472567</v>
      </c>
      <c r="X163">
        <f>1/(COUNT(SimData!$E$9:$E$508)-1)+$X$162</f>
        <v>0.32264529058116259</v>
      </c>
    </row>
    <row r="164" spans="1:24">
      <c r="A164">
        <v>156</v>
      </c>
      <c r="B164">
        <v>298.76036196733094</v>
      </c>
      <c r="C164">
        <v>230.76036196733094</v>
      </c>
      <c r="D164">
        <v>145.76036196733094</v>
      </c>
      <c r="E164">
        <v>83.760361967330937</v>
      </c>
      <c r="Q164">
        <f>SMALL(SimData!$B$9:$B$508,163)</f>
        <v>192.4088742827567</v>
      </c>
      <c r="R164">
        <f>1/(COUNT(SimData!$B$9:$B$508)-1)+$R$163</f>
        <v>0.32464929859719466</v>
      </c>
      <c r="S164">
        <f>SMALL(SimData!$C$9:$C$508,163)</f>
        <v>124.4088742827567</v>
      </c>
      <c r="T164">
        <f>1/(COUNT(SimData!$C$9:$C$508)-1)+$T$163</f>
        <v>0.32464929859719466</v>
      </c>
      <c r="U164">
        <f>SMALL(SimData!$D$9:$D$508,163)</f>
        <v>39.408874282756699</v>
      </c>
      <c r="V164">
        <f>1/(COUNT(SimData!$D$9:$D$508)-1)+$V$163</f>
        <v>0.32464929859719466</v>
      </c>
      <c r="W164">
        <f>SMALL(SimData!$E$9:$E$508,163)</f>
        <v>-22.591125717243301</v>
      </c>
      <c r="X164">
        <f>1/(COUNT(SimData!$E$9:$E$508)-1)+$X$163</f>
        <v>0.32464929859719466</v>
      </c>
    </row>
    <row r="165" spans="1:24">
      <c r="A165">
        <v>157</v>
      </c>
      <c r="B165">
        <v>153.90002684424024</v>
      </c>
      <c r="C165">
        <v>85.900026844240244</v>
      </c>
      <c r="D165">
        <v>0.90002684424024437</v>
      </c>
      <c r="E165">
        <v>-61.099973155759756</v>
      </c>
      <c r="Q165">
        <f>SMALL(SimData!$B$9:$B$508,164)</f>
        <v>192.61727394593032</v>
      </c>
      <c r="R165">
        <f>1/(COUNT(SimData!$B$9:$B$508)-1)+$R$164</f>
        <v>0.32665330661322672</v>
      </c>
      <c r="S165">
        <f>SMALL(SimData!$C$9:$C$508,164)</f>
        <v>124.61727394593032</v>
      </c>
      <c r="T165">
        <f>1/(COUNT(SimData!$C$9:$C$508)-1)+$T$164</f>
        <v>0.32665330661322672</v>
      </c>
      <c r="U165">
        <f>SMALL(SimData!$D$9:$D$508,164)</f>
        <v>39.617273945930322</v>
      </c>
      <c r="V165">
        <f>1/(COUNT(SimData!$D$9:$D$508)-1)+$V$164</f>
        <v>0.32665330661322672</v>
      </c>
      <c r="W165">
        <f>SMALL(SimData!$E$9:$E$508,164)</f>
        <v>-22.382726054069678</v>
      </c>
      <c r="X165">
        <f>1/(COUNT(SimData!$E$9:$E$508)-1)+$X$164</f>
        <v>0.32665330661322672</v>
      </c>
    </row>
    <row r="166" spans="1:24">
      <c r="A166">
        <v>158</v>
      </c>
      <c r="B166">
        <v>239.44835076207607</v>
      </c>
      <c r="C166">
        <v>171.44835076207607</v>
      </c>
      <c r="D166">
        <v>86.448350762076075</v>
      </c>
      <c r="E166">
        <v>24.448350762076075</v>
      </c>
      <c r="Q166">
        <f>SMALL(SimData!$B$9:$B$508,165)</f>
        <v>192.79424898365659</v>
      </c>
      <c r="R166">
        <f>1/(COUNT(SimData!$B$9:$B$508)-1)+$R$165</f>
        <v>0.32865731462925879</v>
      </c>
      <c r="S166">
        <f>SMALL(SimData!$C$9:$C$508,165)</f>
        <v>124.79424898365659</v>
      </c>
      <c r="T166">
        <f>1/(COUNT(SimData!$C$9:$C$508)-1)+$T$165</f>
        <v>0.32865731462925879</v>
      </c>
      <c r="U166">
        <f>SMALL(SimData!$D$9:$D$508,165)</f>
        <v>39.794248983656587</v>
      </c>
      <c r="V166">
        <f>1/(COUNT(SimData!$D$9:$D$508)-1)+$V$165</f>
        <v>0.32865731462925879</v>
      </c>
      <c r="W166">
        <f>SMALL(SimData!$E$9:$E$508,165)</f>
        <v>-22.205751016343413</v>
      </c>
      <c r="X166">
        <f>1/(COUNT(SimData!$E$9:$E$508)-1)+$X$165</f>
        <v>0.32865731462925879</v>
      </c>
    </row>
    <row r="167" spans="1:24">
      <c r="A167">
        <v>159</v>
      </c>
      <c r="B167">
        <v>176.84179593833881</v>
      </c>
      <c r="C167">
        <v>108.84179593833881</v>
      </c>
      <c r="D167">
        <v>23.841795938338805</v>
      </c>
      <c r="E167">
        <v>-38.158204061661195</v>
      </c>
      <c r="Q167">
        <f>SMALL(SimData!$B$9:$B$508,166)</f>
        <v>192.82010115874255</v>
      </c>
      <c r="R167">
        <f>1/(COUNT(SimData!$B$9:$B$508)-1)+$R$166</f>
        <v>0.33066132264529086</v>
      </c>
      <c r="S167">
        <f>SMALL(SimData!$C$9:$C$508,166)</f>
        <v>124.82010115874255</v>
      </c>
      <c r="T167">
        <f>1/(COUNT(SimData!$C$9:$C$508)-1)+$T$166</f>
        <v>0.33066132264529086</v>
      </c>
      <c r="U167">
        <f>SMALL(SimData!$D$9:$D$508,166)</f>
        <v>39.820101158742546</v>
      </c>
      <c r="V167">
        <f>1/(COUNT(SimData!$D$9:$D$508)-1)+$V$166</f>
        <v>0.33066132264529086</v>
      </c>
      <c r="W167">
        <f>SMALL(SimData!$E$9:$E$508,166)</f>
        <v>-22.179898841257454</v>
      </c>
      <c r="X167">
        <f>1/(COUNT(SimData!$E$9:$E$508)-1)+$X$166</f>
        <v>0.33066132264529086</v>
      </c>
    </row>
    <row r="168" spans="1:24">
      <c r="A168">
        <v>160</v>
      </c>
      <c r="B168">
        <v>217.25090670174706</v>
      </c>
      <c r="C168">
        <v>149.25090670174706</v>
      </c>
      <c r="D168">
        <v>64.250906701747056</v>
      </c>
      <c r="E168">
        <v>2.2509067017470556</v>
      </c>
      <c r="Q168">
        <f>SMALL(SimData!$B$9:$B$508,167)</f>
        <v>193.06014367881602</v>
      </c>
      <c r="R168">
        <f>1/(COUNT(SimData!$B$9:$B$508)-1)+$R$167</f>
        <v>0.33266533066132292</v>
      </c>
      <c r="S168">
        <f>SMALL(SimData!$C$9:$C$508,167)</f>
        <v>125.06014367881602</v>
      </c>
      <c r="T168">
        <f>1/(COUNT(SimData!$C$9:$C$508)-1)+$T$167</f>
        <v>0.33266533066132292</v>
      </c>
      <c r="U168">
        <f>SMALL(SimData!$D$9:$D$508,167)</f>
        <v>40.060143678816019</v>
      </c>
      <c r="V168">
        <f>1/(COUNT(SimData!$D$9:$D$508)-1)+$V$167</f>
        <v>0.33266533066132292</v>
      </c>
      <c r="W168">
        <f>SMALL(SimData!$E$9:$E$508,167)</f>
        <v>-21.939856321183981</v>
      </c>
      <c r="X168">
        <f>1/(COUNT(SimData!$E$9:$E$508)-1)+$X$167</f>
        <v>0.33266533066132292</v>
      </c>
    </row>
    <row r="169" spans="1:24">
      <c r="A169">
        <v>161</v>
      </c>
      <c r="B169">
        <v>187.00535129856462</v>
      </c>
      <c r="C169">
        <v>119.00535129856462</v>
      </c>
      <c r="D169">
        <v>34.005351298564619</v>
      </c>
      <c r="E169">
        <v>-27.994648701435381</v>
      </c>
      <c r="Q169">
        <f>SMALL(SimData!$B$9:$B$508,168)</f>
        <v>193.26657747357194</v>
      </c>
      <c r="R169">
        <f>1/(COUNT(SimData!$B$9:$B$508)-1)+$R$168</f>
        <v>0.33466933867735499</v>
      </c>
      <c r="S169">
        <f>SMALL(SimData!$C$9:$C$508,168)</f>
        <v>125.26657747357194</v>
      </c>
      <c r="T169">
        <f>1/(COUNT(SimData!$C$9:$C$508)-1)+$T$168</f>
        <v>0.33466933867735499</v>
      </c>
      <c r="U169">
        <f>SMALL(SimData!$D$9:$D$508,168)</f>
        <v>40.266577473571942</v>
      </c>
      <c r="V169">
        <f>1/(COUNT(SimData!$D$9:$D$508)-1)+$V$168</f>
        <v>0.33466933867735499</v>
      </c>
      <c r="W169">
        <f>SMALL(SimData!$E$9:$E$508,168)</f>
        <v>-21.733422526428058</v>
      </c>
      <c r="X169">
        <f>1/(COUNT(SimData!$E$9:$E$508)-1)+$X$168</f>
        <v>0.33466933867735499</v>
      </c>
    </row>
    <row r="170" spans="1:24">
      <c r="A170">
        <v>162</v>
      </c>
      <c r="B170">
        <v>229.99661986614944</v>
      </c>
      <c r="C170">
        <v>161.99661986614944</v>
      </c>
      <c r="D170">
        <v>76.996619866149445</v>
      </c>
      <c r="E170">
        <v>14.996619866149445</v>
      </c>
      <c r="Q170">
        <f>SMALL(SimData!$B$9:$B$508,169)</f>
        <v>193.73398938256491</v>
      </c>
      <c r="R170">
        <f>1/(COUNT(SimData!$B$9:$B$508)-1)+$R$169</f>
        <v>0.33667334669338705</v>
      </c>
      <c r="S170">
        <f>SMALL(SimData!$C$9:$C$508,169)</f>
        <v>125.73398938256491</v>
      </c>
      <c r="T170">
        <f>1/(COUNT(SimData!$C$9:$C$508)-1)+$T$169</f>
        <v>0.33667334669338705</v>
      </c>
      <c r="U170">
        <f>SMALL(SimData!$D$9:$D$508,169)</f>
        <v>40.733989382564914</v>
      </c>
      <c r="V170">
        <f>1/(COUNT(SimData!$D$9:$D$508)-1)+$V$169</f>
        <v>0.33667334669338705</v>
      </c>
      <c r="W170">
        <f>SMALL(SimData!$E$9:$E$508,169)</f>
        <v>-21.266010617435086</v>
      </c>
      <c r="X170">
        <f>1/(COUNT(SimData!$E$9:$E$508)-1)+$X$169</f>
        <v>0.33667334669338705</v>
      </c>
    </row>
    <row r="171" spans="1:24">
      <c r="A171">
        <v>163</v>
      </c>
      <c r="B171">
        <v>194.8028002689104</v>
      </c>
      <c r="C171">
        <v>126.8028002689104</v>
      </c>
      <c r="D171">
        <v>41.802800268910403</v>
      </c>
      <c r="E171">
        <v>-20.197199731089597</v>
      </c>
      <c r="Q171">
        <f>SMALL(SimData!$B$9:$B$508,170)</f>
        <v>194.8028002689104</v>
      </c>
      <c r="R171">
        <f>1/(COUNT(SimData!$B$9:$B$508)-1)+$R$170</f>
        <v>0.33867735470941912</v>
      </c>
      <c r="S171">
        <f>SMALL(SimData!$C$9:$C$508,170)</f>
        <v>126.8028002689104</v>
      </c>
      <c r="T171">
        <f>1/(COUNT(SimData!$C$9:$C$508)-1)+$T$170</f>
        <v>0.33867735470941912</v>
      </c>
      <c r="U171">
        <f>SMALL(SimData!$D$9:$D$508,170)</f>
        <v>41.802800268910403</v>
      </c>
      <c r="V171">
        <f>1/(COUNT(SimData!$D$9:$D$508)-1)+$V$170</f>
        <v>0.33867735470941912</v>
      </c>
      <c r="W171">
        <f>SMALL(SimData!$E$9:$E$508,170)</f>
        <v>-20.197199731089597</v>
      </c>
      <c r="X171">
        <f>1/(COUNT(SimData!$E$9:$E$508)-1)+$X$170</f>
        <v>0.33867735470941912</v>
      </c>
    </row>
    <row r="172" spans="1:24">
      <c r="A172">
        <v>164</v>
      </c>
      <c r="B172">
        <v>216.83951714847018</v>
      </c>
      <c r="C172">
        <v>148.83951714847018</v>
      </c>
      <c r="D172">
        <v>63.839517148470179</v>
      </c>
      <c r="E172">
        <v>1.8395171484701791</v>
      </c>
      <c r="Q172">
        <f>SMALL(SimData!$B$9:$B$508,171)</f>
        <v>195.02552172094363</v>
      </c>
      <c r="R172">
        <f>1/(COUNT(SimData!$B$9:$B$508)-1)+$R$171</f>
        <v>0.34068136272545119</v>
      </c>
      <c r="S172">
        <f>SMALL(SimData!$C$9:$C$508,171)</f>
        <v>127.02552172094363</v>
      </c>
      <c r="T172">
        <f>1/(COUNT(SimData!$C$9:$C$508)-1)+$T$171</f>
        <v>0.34068136272545119</v>
      </c>
      <c r="U172">
        <f>SMALL(SimData!$D$9:$D$508,171)</f>
        <v>42.02552172094363</v>
      </c>
      <c r="V172">
        <f>1/(COUNT(SimData!$D$9:$D$508)-1)+$V$171</f>
        <v>0.34068136272545119</v>
      </c>
      <c r="W172">
        <f>SMALL(SimData!$E$9:$E$508,171)</f>
        <v>-19.97447827905637</v>
      </c>
      <c r="X172">
        <f>1/(COUNT(SimData!$E$9:$E$508)-1)+$X$171</f>
        <v>0.34068136272545119</v>
      </c>
    </row>
    <row r="173" spans="1:24">
      <c r="A173">
        <v>165</v>
      </c>
      <c r="B173">
        <v>241.12011080096221</v>
      </c>
      <c r="C173">
        <v>173.12011080096221</v>
      </c>
      <c r="D173">
        <v>88.120110800962209</v>
      </c>
      <c r="E173">
        <v>26.120110800962209</v>
      </c>
      <c r="Q173">
        <f>SMALL(SimData!$B$9:$B$508,172)</f>
        <v>195.62428635217481</v>
      </c>
      <c r="R173">
        <f>1/(COUNT(SimData!$B$9:$B$508)-1)+$R$172</f>
        <v>0.34268537074148325</v>
      </c>
      <c r="S173">
        <f>SMALL(SimData!$C$9:$C$508,172)</f>
        <v>127.62428635217481</v>
      </c>
      <c r="T173">
        <f>1/(COUNT(SimData!$C$9:$C$508)-1)+$T$172</f>
        <v>0.34268537074148325</v>
      </c>
      <c r="U173">
        <f>SMALL(SimData!$D$9:$D$508,172)</f>
        <v>42.624286352174806</v>
      </c>
      <c r="V173">
        <f>1/(COUNT(SimData!$D$9:$D$508)-1)+$V$172</f>
        <v>0.34268537074148325</v>
      </c>
      <c r="W173">
        <f>SMALL(SimData!$E$9:$E$508,172)</f>
        <v>-19.375713647825194</v>
      </c>
      <c r="X173">
        <f>1/(COUNT(SimData!$E$9:$E$508)-1)+$X$172</f>
        <v>0.34268537074148325</v>
      </c>
    </row>
    <row r="174" spans="1:24">
      <c r="A174">
        <v>166</v>
      </c>
      <c r="B174">
        <v>223.31991445353037</v>
      </c>
      <c r="C174">
        <v>155.31991445353037</v>
      </c>
      <c r="D174">
        <v>70.319914453530373</v>
      </c>
      <c r="E174">
        <v>8.3199144535303731</v>
      </c>
      <c r="Q174">
        <f>SMALL(SimData!$B$9:$B$508,173)</f>
        <v>195.64911911537519</v>
      </c>
      <c r="R174">
        <f>1/(COUNT(SimData!$B$9:$B$508)-1)+$R$173</f>
        <v>0.34468937875751532</v>
      </c>
      <c r="S174">
        <f>SMALL(SimData!$C$9:$C$508,173)</f>
        <v>127.64911911537519</v>
      </c>
      <c r="T174">
        <f>1/(COUNT(SimData!$C$9:$C$508)-1)+$T$173</f>
        <v>0.34468937875751532</v>
      </c>
      <c r="U174">
        <f>SMALL(SimData!$D$9:$D$508,173)</f>
        <v>42.649119115375186</v>
      </c>
      <c r="V174">
        <f>1/(COUNT(SimData!$D$9:$D$508)-1)+$V$173</f>
        <v>0.34468937875751532</v>
      </c>
      <c r="W174">
        <f>SMALL(SimData!$E$9:$E$508,173)</f>
        <v>-19.350880884624814</v>
      </c>
      <c r="X174">
        <f>1/(COUNT(SimData!$E$9:$E$508)-1)+$X$173</f>
        <v>0.34468937875751532</v>
      </c>
    </row>
    <row r="175" spans="1:24">
      <c r="A175">
        <v>167</v>
      </c>
      <c r="B175">
        <v>202.08288121324006</v>
      </c>
      <c r="C175">
        <v>134.08288121324006</v>
      </c>
      <c r="D175">
        <v>49.082881213240057</v>
      </c>
      <c r="E175">
        <v>-12.917118786759943</v>
      </c>
      <c r="Q175">
        <f>SMALL(SimData!$B$9:$B$508,174)</f>
        <v>196.04444913582171</v>
      </c>
      <c r="R175">
        <f>1/(COUNT(SimData!$B$9:$B$508)-1)+$R$174</f>
        <v>0.34669338677354739</v>
      </c>
      <c r="S175">
        <f>SMALL(SimData!$C$9:$C$508,174)</f>
        <v>128.04444913582171</v>
      </c>
      <c r="T175">
        <f>1/(COUNT(SimData!$C$9:$C$508)-1)+$T$174</f>
        <v>0.34669338677354739</v>
      </c>
      <c r="U175">
        <f>SMALL(SimData!$D$9:$D$508,174)</f>
        <v>43.044449135821708</v>
      </c>
      <c r="V175">
        <f>1/(COUNT(SimData!$D$9:$D$508)-1)+$V$174</f>
        <v>0.34669338677354739</v>
      </c>
      <c r="W175">
        <f>SMALL(SimData!$E$9:$E$508,174)</f>
        <v>-18.955550864178292</v>
      </c>
      <c r="X175">
        <f>1/(COUNT(SimData!$E$9:$E$508)-1)+$X$174</f>
        <v>0.34669338677354739</v>
      </c>
    </row>
    <row r="176" spans="1:24">
      <c r="A176">
        <v>168</v>
      </c>
      <c r="B176">
        <v>182.25139578694564</v>
      </c>
      <c r="C176">
        <v>114.25139578694564</v>
      </c>
      <c r="D176">
        <v>29.251395786945636</v>
      </c>
      <c r="E176">
        <v>-32.748604213054364</v>
      </c>
      <c r="Q176">
        <f>SMALL(SimData!$B$9:$B$508,175)</f>
        <v>196.13475948956386</v>
      </c>
      <c r="R176">
        <f>1/(COUNT(SimData!$B$9:$B$508)-1)+$R$175</f>
        <v>0.34869739478957945</v>
      </c>
      <c r="S176">
        <f>SMALL(SimData!$C$9:$C$508,175)</f>
        <v>128.13475948956386</v>
      </c>
      <c r="T176">
        <f>1/(COUNT(SimData!$C$9:$C$508)-1)+$T$175</f>
        <v>0.34869739478957945</v>
      </c>
      <c r="U176">
        <f>SMALL(SimData!$D$9:$D$508,175)</f>
        <v>43.134759489563862</v>
      </c>
      <c r="V176">
        <f>1/(COUNT(SimData!$D$9:$D$508)-1)+$V$175</f>
        <v>0.34869739478957945</v>
      </c>
      <c r="W176">
        <f>SMALL(SimData!$E$9:$E$508,175)</f>
        <v>-18.865240510436138</v>
      </c>
      <c r="X176">
        <f>1/(COUNT(SimData!$E$9:$E$508)-1)+$X$175</f>
        <v>0.34869739478957945</v>
      </c>
    </row>
    <row r="177" spans="1:24">
      <c r="A177">
        <v>169</v>
      </c>
      <c r="B177">
        <v>260.96773779999523</v>
      </c>
      <c r="C177">
        <v>192.96773779999523</v>
      </c>
      <c r="D177">
        <v>107.96773779999523</v>
      </c>
      <c r="E177">
        <v>45.967737799995234</v>
      </c>
      <c r="Q177">
        <f>SMALL(SimData!$B$9:$B$508,176)</f>
        <v>196.34142298368556</v>
      </c>
      <c r="R177">
        <f>1/(COUNT(SimData!$B$9:$B$508)-1)+$R$176</f>
        <v>0.35070140280561152</v>
      </c>
      <c r="S177">
        <f>SMALL(SimData!$C$9:$C$508,176)</f>
        <v>128.34142298368556</v>
      </c>
      <c r="T177">
        <f>1/(COUNT(SimData!$C$9:$C$508)-1)+$T$176</f>
        <v>0.35070140280561152</v>
      </c>
      <c r="U177">
        <f>SMALL(SimData!$D$9:$D$508,176)</f>
        <v>43.341422983685561</v>
      </c>
      <c r="V177">
        <f>1/(COUNT(SimData!$D$9:$D$508)-1)+$V$176</f>
        <v>0.35070140280561152</v>
      </c>
      <c r="W177">
        <f>SMALL(SimData!$E$9:$E$508,176)</f>
        <v>-18.658577016314439</v>
      </c>
      <c r="X177">
        <f>1/(COUNT(SimData!$E$9:$E$508)-1)+$X$176</f>
        <v>0.35070140280561152</v>
      </c>
    </row>
    <row r="178" spans="1:24">
      <c r="A178">
        <v>170</v>
      </c>
      <c r="B178">
        <v>183.97731385043238</v>
      </c>
      <c r="C178">
        <v>115.97731385043238</v>
      </c>
      <c r="D178">
        <v>30.977313850432381</v>
      </c>
      <c r="E178">
        <v>-31.022686149567619</v>
      </c>
      <c r="Q178">
        <f>SMALL(SimData!$B$9:$B$508,177)</f>
        <v>196.60694100419414</v>
      </c>
      <c r="R178">
        <f>1/(COUNT(SimData!$B$9:$B$508)-1)+$R$177</f>
        <v>0.35270541082164358</v>
      </c>
      <c r="S178">
        <f>SMALL(SimData!$C$9:$C$508,177)</f>
        <v>128.60694100419414</v>
      </c>
      <c r="T178">
        <f>1/(COUNT(SimData!$C$9:$C$508)-1)+$T$177</f>
        <v>0.35270541082164358</v>
      </c>
      <c r="U178">
        <f>SMALL(SimData!$D$9:$D$508,177)</f>
        <v>43.606941004194141</v>
      </c>
      <c r="V178">
        <f>1/(COUNT(SimData!$D$9:$D$508)-1)+$V$177</f>
        <v>0.35270541082164358</v>
      </c>
      <c r="W178">
        <f>SMALL(SimData!$E$9:$E$508,177)</f>
        <v>-18.393058995805859</v>
      </c>
      <c r="X178">
        <f>1/(COUNT(SimData!$E$9:$E$508)-1)+$X$177</f>
        <v>0.35270541082164358</v>
      </c>
    </row>
    <row r="179" spans="1:24">
      <c r="A179">
        <v>171</v>
      </c>
      <c r="B179">
        <v>200.58444581288995</v>
      </c>
      <c r="C179">
        <v>132.58444581288995</v>
      </c>
      <c r="D179">
        <v>47.584445812889953</v>
      </c>
      <c r="E179">
        <v>-14.415554187110047</v>
      </c>
      <c r="Q179">
        <f>SMALL(SimData!$B$9:$B$508,178)</f>
        <v>196.67561172733201</v>
      </c>
      <c r="R179">
        <f>1/(COUNT(SimData!$B$9:$B$508)-1)+$R$178</f>
        <v>0.35470941883767565</v>
      </c>
      <c r="S179">
        <f>SMALL(SimData!$C$9:$C$508,178)</f>
        <v>128.67561172733201</v>
      </c>
      <c r="T179">
        <f>1/(COUNT(SimData!$C$9:$C$508)-1)+$T$178</f>
        <v>0.35470941883767565</v>
      </c>
      <c r="U179">
        <f>SMALL(SimData!$D$9:$D$508,178)</f>
        <v>43.675611727332011</v>
      </c>
      <c r="V179">
        <f>1/(COUNT(SimData!$D$9:$D$508)-1)+$V$178</f>
        <v>0.35470941883767565</v>
      </c>
      <c r="W179">
        <f>SMALL(SimData!$E$9:$E$508,178)</f>
        <v>-18.324388272667989</v>
      </c>
      <c r="X179">
        <f>1/(COUNT(SimData!$E$9:$E$508)-1)+$X$178</f>
        <v>0.35470941883767565</v>
      </c>
    </row>
    <row r="180" spans="1:24">
      <c r="A180">
        <v>172</v>
      </c>
      <c r="B180">
        <v>204.03096037086488</v>
      </c>
      <c r="C180">
        <v>136.03096037086488</v>
      </c>
      <c r="D180">
        <v>51.030960370864875</v>
      </c>
      <c r="E180">
        <v>-10.969039629135125</v>
      </c>
      <c r="Q180">
        <f>SMALL(SimData!$B$9:$B$508,179)</f>
        <v>197.20484535034467</v>
      </c>
      <c r="R180">
        <f>1/(COUNT(SimData!$B$9:$B$508)-1)+$R$179</f>
        <v>0.35671342685370772</v>
      </c>
      <c r="S180">
        <f>SMALL(SimData!$C$9:$C$508,179)</f>
        <v>129.20484535034467</v>
      </c>
      <c r="T180">
        <f>1/(COUNT(SimData!$C$9:$C$508)-1)+$T$179</f>
        <v>0.35671342685370772</v>
      </c>
      <c r="U180">
        <f>SMALL(SimData!$D$9:$D$508,179)</f>
        <v>44.204845350344669</v>
      </c>
      <c r="V180">
        <f>1/(COUNT(SimData!$D$9:$D$508)-1)+$V$179</f>
        <v>0.35671342685370772</v>
      </c>
      <c r="W180">
        <f>SMALL(SimData!$E$9:$E$508,179)</f>
        <v>-17.795154649655331</v>
      </c>
      <c r="X180">
        <f>1/(COUNT(SimData!$E$9:$E$508)-1)+$X$179</f>
        <v>0.35671342685370772</v>
      </c>
    </row>
    <row r="181" spans="1:24">
      <c r="A181">
        <v>173</v>
      </c>
      <c r="B181">
        <v>120.41063857537293</v>
      </c>
      <c r="C181">
        <v>52.410638575372928</v>
      </c>
      <c r="D181">
        <v>-32.589361424627072</v>
      </c>
      <c r="E181">
        <v>-94.589361424627072</v>
      </c>
      <c r="Q181">
        <f>SMALL(SimData!$B$9:$B$508,180)</f>
        <v>197.51994735123355</v>
      </c>
      <c r="R181">
        <f>1/(COUNT(SimData!$B$9:$B$508)-1)+$R$180</f>
        <v>0.35871743486973978</v>
      </c>
      <c r="S181">
        <f>SMALL(SimData!$C$9:$C$508,180)</f>
        <v>129.51994735123355</v>
      </c>
      <c r="T181">
        <f>1/(COUNT(SimData!$C$9:$C$508)-1)+$T$180</f>
        <v>0.35871743486973978</v>
      </c>
      <c r="U181">
        <f>SMALL(SimData!$D$9:$D$508,180)</f>
        <v>44.519947351233554</v>
      </c>
      <c r="V181">
        <f>1/(COUNT(SimData!$D$9:$D$508)-1)+$V$180</f>
        <v>0.35871743486973978</v>
      </c>
      <c r="W181">
        <f>SMALL(SimData!$E$9:$E$508,180)</f>
        <v>-17.480052648766446</v>
      </c>
      <c r="X181">
        <f>1/(COUNT(SimData!$E$9:$E$508)-1)+$X$180</f>
        <v>0.35871743486973978</v>
      </c>
    </row>
    <row r="182" spans="1:24">
      <c r="A182">
        <v>174</v>
      </c>
      <c r="B182">
        <v>155.27072032136516</v>
      </c>
      <c r="C182">
        <v>87.270720321365161</v>
      </c>
      <c r="D182">
        <v>2.270720321365161</v>
      </c>
      <c r="E182">
        <v>-59.729279678634839</v>
      </c>
      <c r="Q182">
        <f>SMALL(SimData!$B$9:$B$508,181)</f>
        <v>197.58092527208805</v>
      </c>
      <c r="R182">
        <f>1/(COUNT(SimData!$B$9:$B$508)-1)+$R$181</f>
        <v>0.36072144288577185</v>
      </c>
      <c r="S182">
        <f>SMALL(SimData!$C$9:$C$508,181)</f>
        <v>129.58092527208805</v>
      </c>
      <c r="T182">
        <f>1/(COUNT(SimData!$C$9:$C$508)-1)+$T$181</f>
        <v>0.36072144288577185</v>
      </c>
      <c r="U182">
        <f>SMALL(SimData!$D$9:$D$508,181)</f>
        <v>44.580925272088052</v>
      </c>
      <c r="V182">
        <f>1/(COUNT(SimData!$D$9:$D$508)-1)+$V$181</f>
        <v>0.36072144288577185</v>
      </c>
      <c r="W182">
        <f>SMALL(SimData!$E$9:$E$508,181)</f>
        <v>-17.419074727911948</v>
      </c>
      <c r="X182">
        <f>1/(COUNT(SimData!$E$9:$E$508)-1)+$X$181</f>
        <v>0.36072144288577185</v>
      </c>
    </row>
    <row r="183" spans="1:24">
      <c r="A183">
        <v>175</v>
      </c>
      <c r="B183">
        <v>165.14587418371065</v>
      </c>
      <c r="C183">
        <v>97.145874183710646</v>
      </c>
      <c r="D183">
        <v>12.145874183710646</v>
      </c>
      <c r="E183">
        <v>-49.854125816289354</v>
      </c>
      <c r="Q183">
        <f>SMALL(SimData!$B$9:$B$508,182)</f>
        <v>197.86765096208973</v>
      </c>
      <c r="R183">
        <f>1/(COUNT(SimData!$B$9:$B$508)-1)+$R$182</f>
        <v>0.36272545090180391</v>
      </c>
      <c r="S183">
        <f>SMALL(SimData!$C$9:$C$508,182)</f>
        <v>129.86765096208973</v>
      </c>
      <c r="T183">
        <f>1/(COUNT(SimData!$C$9:$C$508)-1)+$T$182</f>
        <v>0.36272545090180391</v>
      </c>
      <c r="U183">
        <f>SMALL(SimData!$D$9:$D$508,182)</f>
        <v>44.867650962089726</v>
      </c>
      <c r="V183">
        <f>1/(COUNT(SimData!$D$9:$D$508)-1)+$V$182</f>
        <v>0.36272545090180391</v>
      </c>
      <c r="W183">
        <f>SMALL(SimData!$E$9:$E$508,182)</f>
        <v>-17.132349037910274</v>
      </c>
      <c r="X183">
        <f>1/(COUNT(SimData!$E$9:$E$508)-1)+$X$182</f>
        <v>0.36272545090180391</v>
      </c>
    </row>
    <row r="184" spans="1:24">
      <c r="A184">
        <v>176</v>
      </c>
      <c r="B184">
        <v>193.73398938256491</v>
      </c>
      <c r="C184">
        <v>125.73398938256491</v>
      </c>
      <c r="D184">
        <v>40.733989382564914</v>
      </c>
      <c r="E184">
        <v>-21.266010617435086</v>
      </c>
      <c r="Q184">
        <f>SMALL(SimData!$B$9:$B$508,183)</f>
        <v>198.78694577113083</v>
      </c>
      <c r="R184">
        <f>1/(COUNT(SimData!$B$9:$B$508)-1)+$R$183</f>
        <v>0.36472945891783598</v>
      </c>
      <c r="S184">
        <f>SMALL(SimData!$C$9:$C$508,183)</f>
        <v>130.78694577113083</v>
      </c>
      <c r="T184">
        <f>1/(COUNT(SimData!$C$9:$C$508)-1)+$T$183</f>
        <v>0.36472945891783598</v>
      </c>
      <c r="U184">
        <f>SMALL(SimData!$D$9:$D$508,183)</f>
        <v>45.786945771130831</v>
      </c>
      <c r="V184">
        <f>1/(COUNT(SimData!$D$9:$D$508)-1)+$V$183</f>
        <v>0.36472945891783598</v>
      </c>
      <c r="W184">
        <f>SMALL(SimData!$E$9:$E$508,183)</f>
        <v>-16.213054228869169</v>
      </c>
      <c r="X184">
        <f>1/(COUNT(SimData!$E$9:$E$508)-1)+$X$183</f>
        <v>0.36472945891783598</v>
      </c>
    </row>
    <row r="185" spans="1:24">
      <c r="A185">
        <v>177</v>
      </c>
      <c r="B185">
        <v>207.53221714571333</v>
      </c>
      <c r="C185">
        <v>139.53221714571333</v>
      </c>
      <c r="D185">
        <v>54.532217145713332</v>
      </c>
      <c r="E185">
        <v>-7.4677828542866678</v>
      </c>
      <c r="Q185">
        <f>SMALL(SimData!$B$9:$B$508,184)</f>
        <v>199.43012245790334</v>
      </c>
      <c r="R185">
        <f>1/(COUNT(SimData!$B$9:$B$508)-1)+$R$184</f>
        <v>0.36673346693386805</v>
      </c>
      <c r="S185">
        <f>SMALL(SimData!$C$9:$C$508,184)</f>
        <v>131.43012245790334</v>
      </c>
      <c r="T185">
        <f>1/(COUNT(SimData!$C$9:$C$508)-1)+$T$184</f>
        <v>0.36673346693386805</v>
      </c>
      <c r="U185">
        <f>SMALL(SimData!$D$9:$D$508,184)</f>
        <v>46.430122457903337</v>
      </c>
      <c r="V185">
        <f>1/(COUNT(SimData!$D$9:$D$508)-1)+$V$184</f>
        <v>0.36673346693386805</v>
      </c>
      <c r="W185">
        <f>SMALL(SimData!$E$9:$E$508,184)</f>
        <v>-15.569877542096663</v>
      </c>
      <c r="X185">
        <f>1/(COUNT(SimData!$E$9:$E$508)-1)+$X$184</f>
        <v>0.36673346693386805</v>
      </c>
    </row>
    <row r="186" spans="1:24">
      <c r="A186">
        <v>178</v>
      </c>
      <c r="B186">
        <v>264.76618814889474</v>
      </c>
      <c r="C186">
        <v>196.76618814889474</v>
      </c>
      <c r="D186">
        <v>111.76618814889474</v>
      </c>
      <c r="E186">
        <v>49.766188148894742</v>
      </c>
      <c r="Q186">
        <f>SMALL(SimData!$B$9:$B$508,185)</f>
        <v>199.80286382239439</v>
      </c>
      <c r="R186">
        <f>1/(COUNT(SimData!$B$9:$B$508)-1)+$R$185</f>
        <v>0.36873747494990011</v>
      </c>
      <c r="S186">
        <f>SMALL(SimData!$C$9:$C$508,185)</f>
        <v>131.80286382239439</v>
      </c>
      <c r="T186">
        <f>1/(COUNT(SimData!$C$9:$C$508)-1)+$T$185</f>
        <v>0.36873747494990011</v>
      </c>
      <c r="U186">
        <f>SMALL(SimData!$D$9:$D$508,185)</f>
        <v>46.802863822394386</v>
      </c>
      <c r="V186">
        <f>1/(COUNT(SimData!$D$9:$D$508)-1)+$V$185</f>
        <v>0.36873747494990011</v>
      </c>
      <c r="W186">
        <f>SMALL(SimData!$E$9:$E$508,185)</f>
        <v>-15.197136177605614</v>
      </c>
      <c r="X186">
        <f>1/(COUNT(SimData!$E$9:$E$508)-1)+$X$185</f>
        <v>0.36873747494990011</v>
      </c>
    </row>
    <row r="187" spans="1:24">
      <c r="A187">
        <v>179</v>
      </c>
      <c r="B187">
        <v>198.78694577113083</v>
      </c>
      <c r="C187">
        <v>130.78694577113083</v>
      </c>
      <c r="D187">
        <v>45.786945771130831</v>
      </c>
      <c r="E187">
        <v>-16.213054228869169</v>
      </c>
      <c r="Q187">
        <f>SMALL(SimData!$B$9:$B$508,186)</f>
        <v>199.8821428309119</v>
      </c>
      <c r="R187">
        <f>1/(COUNT(SimData!$B$9:$B$508)-1)+$R$186</f>
        <v>0.37074148296593218</v>
      </c>
      <c r="S187">
        <f>SMALL(SimData!$C$9:$C$508,186)</f>
        <v>131.8821428309119</v>
      </c>
      <c r="T187">
        <f>1/(COUNT(SimData!$C$9:$C$508)-1)+$T$186</f>
        <v>0.37074148296593218</v>
      </c>
      <c r="U187">
        <f>SMALL(SimData!$D$9:$D$508,186)</f>
        <v>46.882142830911903</v>
      </c>
      <c r="V187">
        <f>1/(COUNT(SimData!$D$9:$D$508)-1)+$V$186</f>
        <v>0.37074148296593218</v>
      </c>
      <c r="W187">
        <f>SMALL(SimData!$E$9:$E$508,186)</f>
        <v>-15.117857169088097</v>
      </c>
      <c r="X187">
        <f>1/(COUNT(SimData!$E$9:$E$508)-1)+$X$186</f>
        <v>0.37074148296593218</v>
      </c>
    </row>
    <row r="188" spans="1:24">
      <c r="A188">
        <v>180</v>
      </c>
      <c r="B188">
        <v>210.86228163805811</v>
      </c>
      <c r="C188">
        <v>142.86228163805811</v>
      </c>
      <c r="D188">
        <v>57.862281638058107</v>
      </c>
      <c r="E188">
        <v>-4.1377183619418929</v>
      </c>
      <c r="Q188">
        <f>SMALL(SimData!$B$9:$B$508,187)</f>
        <v>200.00530377291597</v>
      </c>
      <c r="R188">
        <f>1/(COUNT(SimData!$B$9:$B$508)-1)+$R$187</f>
        <v>0.37274549098196424</v>
      </c>
      <c r="S188">
        <f>SMALL(SimData!$C$9:$C$508,187)</f>
        <v>132.00530377291597</v>
      </c>
      <c r="T188">
        <f>1/(COUNT(SimData!$C$9:$C$508)-1)+$T$187</f>
        <v>0.37274549098196424</v>
      </c>
      <c r="U188">
        <f>SMALL(SimData!$D$9:$D$508,187)</f>
        <v>47.005303772915966</v>
      </c>
      <c r="V188">
        <f>1/(COUNT(SimData!$D$9:$D$508)-1)+$V$187</f>
        <v>0.37274549098196424</v>
      </c>
      <c r="W188">
        <f>SMALL(SimData!$E$9:$E$508,187)</f>
        <v>-14.994696227084034</v>
      </c>
      <c r="X188">
        <f>1/(COUNT(SimData!$E$9:$E$508)-1)+$X$187</f>
        <v>0.37274549098196424</v>
      </c>
    </row>
    <row r="189" spans="1:24">
      <c r="A189">
        <v>181</v>
      </c>
      <c r="B189">
        <v>143.08096366112233</v>
      </c>
      <c r="C189">
        <v>75.080963661122325</v>
      </c>
      <c r="D189">
        <v>-9.9190363388776746</v>
      </c>
      <c r="E189">
        <v>-71.919036338877675</v>
      </c>
      <c r="Q189">
        <f>SMALL(SimData!$B$9:$B$508,188)</f>
        <v>200.58444581288995</v>
      </c>
      <c r="R189">
        <f>1/(COUNT(SimData!$B$9:$B$508)-1)+$R$188</f>
        <v>0.37474949899799631</v>
      </c>
      <c r="S189">
        <f>SMALL(SimData!$C$9:$C$508,188)</f>
        <v>132.58444581288995</v>
      </c>
      <c r="T189">
        <f>1/(COUNT(SimData!$C$9:$C$508)-1)+$T$188</f>
        <v>0.37474949899799631</v>
      </c>
      <c r="U189">
        <f>SMALL(SimData!$D$9:$D$508,188)</f>
        <v>47.584445812889953</v>
      </c>
      <c r="V189">
        <f>1/(COUNT(SimData!$D$9:$D$508)-1)+$V$188</f>
        <v>0.37474949899799631</v>
      </c>
      <c r="W189">
        <f>SMALL(SimData!$E$9:$E$508,188)</f>
        <v>-14.415554187110047</v>
      </c>
      <c r="X189">
        <f>1/(COUNT(SimData!$E$9:$E$508)-1)+$X$188</f>
        <v>0.37474949899799631</v>
      </c>
    </row>
    <row r="190" spans="1:24">
      <c r="A190">
        <v>182</v>
      </c>
      <c r="B190">
        <v>251.17569862701134</v>
      </c>
      <c r="C190">
        <v>183.17569862701134</v>
      </c>
      <c r="D190">
        <v>98.175698627011343</v>
      </c>
      <c r="E190">
        <v>36.175698627011343</v>
      </c>
      <c r="Q190">
        <f>SMALL(SimData!$B$9:$B$508,189)</f>
        <v>200.60195553793955</v>
      </c>
      <c r="R190">
        <f>1/(COUNT(SimData!$B$9:$B$508)-1)+$R$189</f>
        <v>0.37675350701402838</v>
      </c>
      <c r="S190">
        <f>SMALL(SimData!$C$9:$C$508,189)</f>
        <v>132.60195553793955</v>
      </c>
      <c r="T190">
        <f>1/(COUNT(SimData!$C$9:$C$508)-1)+$T$189</f>
        <v>0.37675350701402838</v>
      </c>
      <c r="U190">
        <f>SMALL(SimData!$D$9:$D$508,189)</f>
        <v>47.601955537939546</v>
      </c>
      <c r="V190">
        <f>1/(COUNT(SimData!$D$9:$D$508)-1)+$V$189</f>
        <v>0.37675350701402838</v>
      </c>
      <c r="W190">
        <f>SMALL(SimData!$E$9:$E$508,189)</f>
        <v>-14.398044462060454</v>
      </c>
      <c r="X190">
        <f>1/(COUNT(SimData!$E$9:$E$508)-1)+$X$189</f>
        <v>0.37675350701402838</v>
      </c>
    </row>
    <row r="191" spans="1:24">
      <c r="A191">
        <v>183</v>
      </c>
      <c r="B191">
        <v>268.6859699628879</v>
      </c>
      <c r="C191">
        <v>200.6859699628879</v>
      </c>
      <c r="D191">
        <v>115.6859699628879</v>
      </c>
      <c r="E191">
        <v>53.685969962887896</v>
      </c>
      <c r="Q191">
        <f>SMALL(SimData!$B$9:$B$508,190)</f>
        <v>200.63258747695107</v>
      </c>
      <c r="R191">
        <f>1/(COUNT(SimData!$B$9:$B$508)-1)+$R$190</f>
        <v>0.37875751503006044</v>
      </c>
      <c r="S191">
        <f>SMALL(SimData!$C$9:$C$508,190)</f>
        <v>132.63258747695107</v>
      </c>
      <c r="T191">
        <f>1/(COUNT(SimData!$C$9:$C$508)-1)+$T$190</f>
        <v>0.37875751503006044</v>
      </c>
      <c r="U191">
        <f>SMALL(SimData!$D$9:$D$508,190)</f>
        <v>47.632587476951073</v>
      </c>
      <c r="V191">
        <f>1/(COUNT(SimData!$D$9:$D$508)-1)+$V$190</f>
        <v>0.37875751503006044</v>
      </c>
      <c r="W191">
        <f>SMALL(SimData!$E$9:$E$508,190)</f>
        <v>-14.367412523048927</v>
      </c>
      <c r="X191">
        <f>1/(COUNT(SimData!$E$9:$E$508)-1)+$X$190</f>
        <v>0.37875751503006044</v>
      </c>
    </row>
    <row r="192" spans="1:24">
      <c r="A192">
        <v>184</v>
      </c>
      <c r="B192">
        <v>280.60009664072464</v>
      </c>
      <c r="C192">
        <v>212.60009664072464</v>
      </c>
      <c r="D192">
        <v>127.60009664072464</v>
      </c>
      <c r="E192">
        <v>65.600096640724644</v>
      </c>
      <c r="Q192">
        <f>SMALL(SimData!$B$9:$B$508,191)</f>
        <v>200.87603204589004</v>
      </c>
      <c r="R192">
        <f>1/(COUNT(SimData!$B$9:$B$508)-1)+$R$191</f>
        <v>0.38076152304609251</v>
      </c>
      <c r="S192">
        <f>SMALL(SimData!$C$9:$C$508,191)</f>
        <v>132.87603204589004</v>
      </c>
      <c r="T192">
        <f>1/(COUNT(SimData!$C$9:$C$508)-1)+$T$191</f>
        <v>0.38076152304609251</v>
      </c>
      <c r="U192">
        <f>SMALL(SimData!$D$9:$D$508,191)</f>
        <v>47.876032045890042</v>
      </c>
      <c r="V192">
        <f>1/(COUNT(SimData!$D$9:$D$508)-1)+$V$191</f>
        <v>0.38076152304609251</v>
      </c>
      <c r="W192">
        <f>SMALL(SimData!$E$9:$E$508,191)</f>
        <v>-14.123967954109958</v>
      </c>
      <c r="X192">
        <f>1/(COUNT(SimData!$E$9:$E$508)-1)+$X$191</f>
        <v>0.38076152304609251</v>
      </c>
    </row>
    <row r="193" spans="1:24">
      <c r="A193">
        <v>185</v>
      </c>
      <c r="B193">
        <v>254.8494371192246</v>
      </c>
      <c r="C193">
        <v>186.8494371192246</v>
      </c>
      <c r="D193">
        <v>101.8494371192246</v>
      </c>
      <c r="E193">
        <v>39.849437119224604</v>
      </c>
      <c r="Q193">
        <f>SMALL(SimData!$B$9:$B$508,192)</f>
        <v>200.949511241165</v>
      </c>
      <c r="R193">
        <f>1/(COUNT(SimData!$B$9:$B$508)-1)+$R$192</f>
        <v>0.38276553106212458</v>
      </c>
      <c r="S193">
        <f>SMALL(SimData!$C$9:$C$508,192)</f>
        <v>132.949511241165</v>
      </c>
      <c r="T193">
        <f>1/(COUNT(SimData!$C$9:$C$508)-1)+$T$192</f>
        <v>0.38276553106212458</v>
      </c>
      <c r="U193">
        <f>SMALL(SimData!$D$9:$D$508,192)</f>
        <v>47.949511241164998</v>
      </c>
      <c r="V193">
        <f>1/(COUNT(SimData!$D$9:$D$508)-1)+$V$192</f>
        <v>0.38276553106212458</v>
      </c>
      <c r="W193">
        <f>SMALL(SimData!$E$9:$E$508,192)</f>
        <v>-14.050488758835002</v>
      </c>
      <c r="X193">
        <f>1/(COUNT(SimData!$E$9:$E$508)-1)+$X$192</f>
        <v>0.38276553106212458</v>
      </c>
    </row>
    <row r="194" spans="1:24">
      <c r="A194">
        <v>186</v>
      </c>
      <c r="B194">
        <v>233.58541379717065</v>
      </c>
      <c r="C194">
        <v>165.58541379717065</v>
      </c>
      <c r="D194">
        <v>80.585413797170645</v>
      </c>
      <c r="E194">
        <v>18.585413797170645</v>
      </c>
      <c r="Q194">
        <f>SMALL(SimData!$B$9:$B$508,193)</f>
        <v>200.9540756511247</v>
      </c>
      <c r="R194">
        <f>1/(COUNT(SimData!$B$9:$B$508)-1)+$R$193</f>
        <v>0.38476953907815664</v>
      </c>
      <c r="S194">
        <f>SMALL(SimData!$C$9:$C$508,193)</f>
        <v>132.9540756511247</v>
      </c>
      <c r="T194">
        <f>1/(COUNT(SimData!$C$9:$C$508)-1)+$T$193</f>
        <v>0.38476953907815664</v>
      </c>
      <c r="U194">
        <f>SMALL(SimData!$D$9:$D$508,193)</f>
        <v>47.954075651124697</v>
      </c>
      <c r="V194">
        <f>1/(COUNT(SimData!$D$9:$D$508)-1)+$V$193</f>
        <v>0.38476953907815664</v>
      </c>
      <c r="W194">
        <f>SMALL(SimData!$E$9:$E$508,193)</f>
        <v>-14.045924348875303</v>
      </c>
      <c r="X194">
        <f>1/(COUNT(SimData!$E$9:$E$508)-1)+$X$193</f>
        <v>0.38476953907815664</v>
      </c>
    </row>
    <row r="195" spans="1:24">
      <c r="A195">
        <v>187</v>
      </c>
      <c r="B195">
        <v>208.49008490876429</v>
      </c>
      <c r="C195">
        <v>140.49008490876429</v>
      </c>
      <c r="D195">
        <v>55.490084908764288</v>
      </c>
      <c r="E195">
        <v>-6.5099150912357118</v>
      </c>
      <c r="Q195">
        <f>SMALL(SimData!$B$9:$B$508,194)</f>
        <v>201.02412209748832</v>
      </c>
      <c r="R195">
        <f>1/(COUNT(SimData!$B$9:$B$508)-1)+$R$194</f>
        <v>0.38677354709418871</v>
      </c>
      <c r="S195">
        <f>SMALL(SimData!$C$9:$C$508,194)</f>
        <v>133.02412209748832</v>
      </c>
      <c r="T195">
        <f>1/(COUNT(SimData!$C$9:$C$508)-1)+$T$194</f>
        <v>0.38677354709418871</v>
      </c>
      <c r="U195">
        <f>SMALL(SimData!$D$9:$D$508,194)</f>
        <v>48.024122097488316</v>
      </c>
      <c r="V195">
        <f>1/(COUNT(SimData!$D$9:$D$508)-1)+$V$194</f>
        <v>0.38677354709418871</v>
      </c>
      <c r="W195">
        <f>SMALL(SimData!$E$9:$E$508,194)</f>
        <v>-13.975877902511684</v>
      </c>
      <c r="X195">
        <f>1/(COUNT(SimData!$E$9:$E$508)-1)+$X$194</f>
        <v>0.38677354709418871</v>
      </c>
    </row>
    <row r="196" spans="1:24">
      <c r="A196">
        <v>188</v>
      </c>
      <c r="B196">
        <v>172.74923307425496</v>
      </c>
      <c r="C196">
        <v>104.74923307425496</v>
      </c>
      <c r="D196">
        <v>19.74923307425496</v>
      </c>
      <c r="E196">
        <v>-42.25076692574504</v>
      </c>
      <c r="Q196">
        <f>SMALL(SimData!$B$9:$B$508,195)</f>
        <v>201.35933493065738</v>
      </c>
      <c r="R196">
        <f>1/(COUNT(SimData!$B$9:$B$508)-1)+$R$195</f>
        <v>0.38877755511022077</v>
      </c>
      <c r="S196">
        <f>SMALL(SimData!$C$9:$C$508,195)</f>
        <v>133.35933493065738</v>
      </c>
      <c r="T196">
        <f>1/(COUNT(SimData!$C$9:$C$508)-1)+$T$195</f>
        <v>0.38877755511022077</v>
      </c>
      <c r="U196">
        <f>SMALL(SimData!$D$9:$D$508,195)</f>
        <v>48.359334930657383</v>
      </c>
      <c r="V196">
        <f>1/(COUNT(SimData!$D$9:$D$508)-1)+$V$195</f>
        <v>0.38877755511022077</v>
      </c>
      <c r="W196">
        <f>SMALL(SimData!$E$9:$E$508,195)</f>
        <v>-13.640665069342617</v>
      </c>
      <c r="X196">
        <f>1/(COUNT(SimData!$E$9:$E$508)-1)+$X$195</f>
        <v>0.38877755511022077</v>
      </c>
    </row>
    <row r="197" spans="1:24">
      <c r="A197">
        <v>189</v>
      </c>
      <c r="B197">
        <v>292.21759006922207</v>
      </c>
      <c r="C197">
        <v>224.21759006922207</v>
      </c>
      <c r="D197">
        <v>139.21759006922207</v>
      </c>
      <c r="E197">
        <v>77.217590069222069</v>
      </c>
      <c r="Q197">
        <f>SMALL(SimData!$B$9:$B$508,196)</f>
        <v>201.48708859751838</v>
      </c>
      <c r="R197">
        <f>1/(COUNT(SimData!$B$9:$B$508)-1)+$R$196</f>
        <v>0.39078156312625284</v>
      </c>
      <c r="S197">
        <f>SMALL(SimData!$C$9:$C$508,196)</f>
        <v>133.48708859751838</v>
      </c>
      <c r="T197">
        <f>1/(COUNT(SimData!$C$9:$C$508)-1)+$T$196</f>
        <v>0.39078156312625284</v>
      </c>
      <c r="U197">
        <f>SMALL(SimData!$D$9:$D$508,196)</f>
        <v>48.48708859751838</v>
      </c>
      <c r="V197">
        <f>1/(COUNT(SimData!$D$9:$D$508)-1)+$V$196</f>
        <v>0.39078156312625284</v>
      </c>
      <c r="W197">
        <f>SMALL(SimData!$E$9:$E$508,196)</f>
        <v>-13.51291140248162</v>
      </c>
      <c r="X197">
        <f>1/(COUNT(SimData!$E$9:$E$508)-1)+$X$196</f>
        <v>0.39078156312625284</v>
      </c>
    </row>
    <row r="198" spans="1:24">
      <c r="A198">
        <v>190</v>
      </c>
      <c r="B198">
        <v>209.41055370357469</v>
      </c>
      <c r="C198">
        <v>141.41055370357469</v>
      </c>
      <c r="D198">
        <v>56.410553703574692</v>
      </c>
      <c r="E198">
        <v>-5.589446296425308</v>
      </c>
      <c r="Q198">
        <f>SMALL(SimData!$B$9:$B$508,197)</f>
        <v>201.95190356700402</v>
      </c>
      <c r="R198">
        <f>1/(COUNT(SimData!$B$9:$B$508)-1)+$R$197</f>
        <v>0.39278557114228491</v>
      </c>
      <c r="S198">
        <f>SMALL(SimData!$C$9:$C$508,197)</f>
        <v>133.95190356700402</v>
      </c>
      <c r="T198">
        <f>1/(COUNT(SimData!$C$9:$C$508)-1)+$T$197</f>
        <v>0.39278557114228491</v>
      </c>
      <c r="U198">
        <f>SMALL(SimData!$D$9:$D$508,197)</f>
        <v>48.951903567004024</v>
      </c>
      <c r="V198">
        <f>1/(COUNT(SimData!$D$9:$D$508)-1)+$V$197</f>
        <v>0.39278557114228491</v>
      </c>
      <c r="W198">
        <f>SMALL(SimData!$E$9:$E$508,197)</f>
        <v>-13.048096432995976</v>
      </c>
      <c r="X198">
        <f>1/(COUNT(SimData!$E$9:$E$508)-1)+$X$197</f>
        <v>0.39278557114228491</v>
      </c>
    </row>
    <row r="199" spans="1:24">
      <c r="A199">
        <v>191</v>
      </c>
      <c r="B199">
        <v>134.35250121298867</v>
      </c>
      <c r="C199">
        <v>66.35250121298867</v>
      </c>
      <c r="D199">
        <v>-18.64749878701133</v>
      </c>
      <c r="E199">
        <v>-80.64749878701133</v>
      </c>
      <c r="Q199">
        <f>SMALL(SimData!$B$9:$B$508,198)</f>
        <v>202.08288121324006</v>
      </c>
      <c r="R199">
        <f>1/(COUNT(SimData!$B$9:$B$508)-1)+$R$198</f>
        <v>0.39478957915831697</v>
      </c>
      <c r="S199">
        <f>SMALL(SimData!$C$9:$C$508,198)</f>
        <v>134.08288121324006</v>
      </c>
      <c r="T199">
        <f>1/(COUNT(SimData!$C$9:$C$508)-1)+$T$198</f>
        <v>0.39478957915831697</v>
      </c>
      <c r="U199">
        <f>SMALL(SimData!$D$9:$D$508,198)</f>
        <v>49.082881213240057</v>
      </c>
      <c r="V199">
        <f>1/(COUNT(SimData!$D$9:$D$508)-1)+$V$198</f>
        <v>0.39478957915831697</v>
      </c>
      <c r="W199">
        <f>SMALL(SimData!$E$9:$E$508,198)</f>
        <v>-12.917118786759943</v>
      </c>
      <c r="X199">
        <f>1/(COUNT(SimData!$E$9:$E$508)-1)+$X$198</f>
        <v>0.39478957915831697</v>
      </c>
    </row>
    <row r="200" spans="1:24">
      <c r="A200">
        <v>192</v>
      </c>
      <c r="B200">
        <v>219.88471051014619</v>
      </c>
      <c r="C200">
        <v>151.88471051014619</v>
      </c>
      <c r="D200">
        <v>66.884710510146192</v>
      </c>
      <c r="E200">
        <v>4.8847105101461921</v>
      </c>
      <c r="Q200">
        <f>SMALL(SimData!$B$9:$B$508,199)</f>
        <v>202.12787840166658</v>
      </c>
      <c r="R200">
        <f>1/(COUNT(SimData!$B$9:$B$508)-1)+$R$199</f>
        <v>0.39679358717434904</v>
      </c>
      <c r="S200">
        <f>SMALL(SimData!$C$9:$C$508,199)</f>
        <v>134.12787840166658</v>
      </c>
      <c r="T200">
        <f>1/(COUNT(SimData!$C$9:$C$508)-1)+$T$199</f>
        <v>0.39679358717434904</v>
      </c>
      <c r="U200">
        <f>SMALL(SimData!$D$9:$D$508,199)</f>
        <v>49.127878401666578</v>
      </c>
      <c r="V200">
        <f>1/(COUNT(SimData!$D$9:$D$508)-1)+$V$199</f>
        <v>0.39679358717434904</v>
      </c>
      <c r="W200">
        <f>SMALL(SimData!$E$9:$E$508,199)</f>
        <v>-12.872121598333422</v>
      </c>
      <c r="X200">
        <f>1/(COUNT(SimData!$E$9:$E$508)-1)+$X$199</f>
        <v>0.39679358717434904</v>
      </c>
    </row>
    <row r="201" spans="1:24">
      <c r="A201">
        <v>193</v>
      </c>
      <c r="B201">
        <v>256.03892463030451</v>
      </c>
      <c r="C201">
        <v>188.03892463030451</v>
      </c>
      <c r="D201">
        <v>103.03892463030451</v>
      </c>
      <c r="E201">
        <v>41.038924630304507</v>
      </c>
      <c r="Q201">
        <f>SMALL(SimData!$B$9:$B$508,200)</f>
        <v>202.12985185965783</v>
      </c>
      <c r="R201">
        <f>1/(COUNT(SimData!$B$9:$B$508)-1)+$R$200</f>
        <v>0.3987975951903811</v>
      </c>
      <c r="S201">
        <f>SMALL(SimData!$C$9:$C$508,200)</f>
        <v>134.12985185965783</v>
      </c>
      <c r="T201">
        <f>1/(COUNT(SimData!$C$9:$C$508)-1)+$T$200</f>
        <v>0.3987975951903811</v>
      </c>
      <c r="U201">
        <f>SMALL(SimData!$D$9:$D$508,200)</f>
        <v>49.129851859657833</v>
      </c>
      <c r="V201">
        <f>1/(COUNT(SimData!$D$9:$D$508)-1)+$V$200</f>
        <v>0.3987975951903811</v>
      </c>
      <c r="W201">
        <f>SMALL(SimData!$E$9:$E$508,200)</f>
        <v>-12.870148140342167</v>
      </c>
      <c r="X201">
        <f>1/(COUNT(SimData!$E$9:$E$508)-1)+$X$200</f>
        <v>0.3987975951903811</v>
      </c>
    </row>
    <row r="202" spans="1:24">
      <c r="A202">
        <v>194</v>
      </c>
      <c r="B202">
        <v>139.82595108512953</v>
      </c>
      <c r="C202">
        <v>71.825951085129532</v>
      </c>
      <c r="D202">
        <v>-13.174048914870468</v>
      </c>
      <c r="E202">
        <v>-75.174048914870468</v>
      </c>
      <c r="Q202">
        <f>SMALL(SimData!$B$9:$B$508,201)</f>
        <v>202.50431880774221</v>
      </c>
      <c r="R202">
        <f>1/(COUNT(SimData!$B$9:$B$508)-1)+$R$201</f>
        <v>0.40080160320641317</v>
      </c>
      <c r="S202">
        <f>SMALL(SimData!$C$9:$C$508,201)</f>
        <v>134.50431880774221</v>
      </c>
      <c r="T202">
        <f>1/(COUNT(SimData!$C$9:$C$508)-1)+$T$201</f>
        <v>0.40080160320641317</v>
      </c>
      <c r="U202">
        <f>SMALL(SimData!$D$9:$D$508,201)</f>
        <v>49.504318807742209</v>
      </c>
      <c r="V202">
        <f>1/(COUNT(SimData!$D$9:$D$508)-1)+$V$201</f>
        <v>0.40080160320641317</v>
      </c>
      <c r="W202">
        <f>SMALL(SimData!$E$9:$E$508,201)</f>
        <v>-12.495681192257791</v>
      </c>
      <c r="X202">
        <f>1/(COUNT(SimData!$E$9:$E$508)-1)+$X$201</f>
        <v>0.40080160320641317</v>
      </c>
    </row>
    <row r="203" spans="1:24">
      <c r="A203">
        <v>195</v>
      </c>
      <c r="B203">
        <v>286.5548923482757</v>
      </c>
      <c r="C203">
        <v>218.5548923482757</v>
      </c>
      <c r="D203">
        <v>133.5548923482757</v>
      </c>
      <c r="E203">
        <v>71.5548923482757</v>
      </c>
      <c r="Q203">
        <f>SMALL(SimData!$B$9:$B$508,202)</f>
        <v>202.98921456717846</v>
      </c>
      <c r="R203">
        <f>1/(COUNT(SimData!$B$9:$B$508)-1)+$R$202</f>
        <v>0.40280561122244524</v>
      </c>
      <c r="S203">
        <f>SMALL(SimData!$C$9:$C$508,202)</f>
        <v>134.98921456717846</v>
      </c>
      <c r="T203">
        <f>1/(COUNT(SimData!$C$9:$C$508)-1)+$T$202</f>
        <v>0.40280561122244524</v>
      </c>
      <c r="U203">
        <f>SMALL(SimData!$D$9:$D$508,202)</f>
        <v>49.989214567178465</v>
      </c>
      <c r="V203">
        <f>1/(COUNT(SimData!$D$9:$D$508)-1)+$V$202</f>
        <v>0.40280561122244524</v>
      </c>
      <c r="W203">
        <f>SMALL(SimData!$E$9:$E$508,202)</f>
        <v>-12.010785432821535</v>
      </c>
      <c r="X203">
        <f>1/(COUNT(SimData!$E$9:$E$508)-1)+$X$202</f>
        <v>0.40280561122244524</v>
      </c>
    </row>
    <row r="204" spans="1:24">
      <c r="A204">
        <v>196</v>
      </c>
      <c r="B204">
        <v>267.24591975266895</v>
      </c>
      <c r="C204">
        <v>199.24591975266895</v>
      </c>
      <c r="D204">
        <v>114.24591975266895</v>
      </c>
      <c r="E204">
        <v>52.245919752668954</v>
      </c>
      <c r="Q204">
        <f>SMALL(SimData!$B$9:$B$508,203)</f>
        <v>203.2640227366652</v>
      </c>
      <c r="R204">
        <f>1/(COUNT(SimData!$B$9:$B$508)-1)+$R$203</f>
        <v>0.4048096192384773</v>
      </c>
      <c r="S204">
        <f>SMALL(SimData!$C$9:$C$508,203)</f>
        <v>135.2640227366652</v>
      </c>
      <c r="T204">
        <f>1/(COUNT(SimData!$C$9:$C$508)-1)+$T$203</f>
        <v>0.4048096192384773</v>
      </c>
      <c r="U204">
        <f>SMALL(SimData!$D$9:$D$508,203)</f>
        <v>50.264022736665197</v>
      </c>
      <c r="V204">
        <f>1/(COUNT(SimData!$D$9:$D$508)-1)+$V$203</f>
        <v>0.4048096192384773</v>
      </c>
      <c r="W204">
        <f>SMALL(SimData!$E$9:$E$508,203)</f>
        <v>-11.735977263334803</v>
      </c>
      <c r="X204">
        <f>1/(COUNT(SimData!$E$9:$E$508)-1)+$X$203</f>
        <v>0.4048096192384773</v>
      </c>
    </row>
    <row r="205" spans="1:24">
      <c r="A205">
        <v>197</v>
      </c>
      <c r="B205">
        <v>189.53523751558623</v>
      </c>
      <c r="C205">
        <v>121.53523751558623</v>
      </c>
      <c r="D205">
        <v>36.535237515586232</v>
      </c>
      <c r="E205">
        <v>-25.464762484413768</v>
      </c>
      <c r="Q205">
        <f>SMALL(SimData!$B$9:$B$508,204)</f>
        <v>203.33736090386589</v>
      </c>
      <c r="R205">
        <f>1/(COUNT(SimData!$B$9:$B$508)-1)+$R$204</f>
        <v>0.40681362725450937</v>
      </c>
      <c r="S205">
        <f>SMALL(SimData!$C$9:$C$508,204)</f>
        <v>135.33736090386589</v>
      </c>
      <c r="T205">
        <f>1/(COUNT(SimData!$C$9:$C$508)-1)+$T$204</f>
        <v>0.40681362725450937</v>
      </c>
      <c r="U205">
        <f>SMALL(SimData!$D$9:$D$508,204)</f>
        <v>50.337360903865886</v>
      </c>
      <c r="V205">
        <f>1/(COUNT(SimData!$D$9:$D$508)-1)+$V$204</f>
        <v>0.40681362725450937</v>
      </c>
      <c r="W205">
        <f>SMALL(SimData!$E$9:$E$508,204)</f>
        <v>-11.662639096134114</v>
      </c>
      <c r="X205">
        <f>1/(COUNT(SimData!$E$9:$E$508)-1)+$X$204</f>
        <v>0.40681362725450937</v>
      </c>
    </row>
    <row r="206" spans="1:24">
      <c r="A206">
        <v>198</v>
      </c>
      <c r="B206">
        <v>224.88577138574601</v>
      </c>
      <c r="C206">
        <v>156.88577138574601</v>
      </c>
      <c r="D206">
        <v>71.885771385746011</v>
      </c>
      <c r="E206">
        <v>9.8857713857460112</v>
      </c>
      <c r="Q206">
        <f>SMALL(SimData!$B$9:$B$508,205)</f>
        <v>203.47235805007824</v>
      </c>
      <c r="R206">
        <f>1/(COUNT(SimData!$B$9:$B$508)-1)+$R$205</f>
        <v>0.40881763527054144</v>
      </c>
      <c r="S206">
        <f>SMALL(SimData!$C$9:$C$508,205)</f>
        <v>135.47235805007824</v>
      </c>
      <c r="T206">
        <f>1/(COUNT(SimData!$C$9:$C$508)-1)+$T$205</f>
        <v>0.40881763527054144</v>
      </c>
      <c r="U206">
        <f>SMALL(SimData!$D$9:$D$508,205)</f>
        <v>50.472358050078242</v>
      </c>
      <c r="V206">
        <f>1/(COUNT(SimData!$D$9:$D$508)-1)+$V$205</f>
        <v>0.40881763527054144</v>
      </c>
      <c r="W206">
        <f>SMALL(SimData!$E$9:$E$508,205)</f>
        <v>-11.527641949921758</v>
      </c>
      <c r="X206">
        <f>1/(COUNT(SimData!$E$9:$E$508)-1)+$X$205</f>
        <v>0.40881763527054144</v>
      </c>
    </row>
    <row r="207" spans="1:24">
      <c r="A207">
        <v>199</v>
      </c>
      <c r="B207">
        <v>246.76071375290286</v>
      </c>
      <c r="C207">
        <v>178.76071375290286</v>
      </c>
      <c r="D207">
        <v>93.760713752902859</v>
      </c>
      <c r="E207">
        <v>31.760713752902859</v>
      </c>
      <c r="Q207">
        <f>SMALL(SimData!$B$9:$B$508,206)</f>
        <v>203.6494035652633</v>
      </c>
      <c r="R207">
        <f>1/(COUNT(SimData!$B$9:$B$508)-1)+$R$206</f>
        <v>0.4108216432865735</v>
      </c>
      <c r="S207">
        <f>SMALL(SimData!$C$9:$C$508,206)</f>
        <v>135.6494035652633</v>
      </c>
      <c r="T207">
        <f>1/(COUNT(SimData!$C$9:$C$508)-1)+$T$206</f>
        <v>0.4108216432865735</v>
      </c>
      <c r="U207">
        <f>SMALL(SimData!$D$9:$D$508,206)</f>
        <v>50.649403565263299</v>
      </c>
      <c r="V207">
        <f>1/(COUNT(SimData!$D$9:$D$508)-1)+$V$206</f>
        <v>0.4108216432865735</v>
      </c>
      <c r="W207">
        <f>SMALL(SimData!$E$9:$E$508,206)</f>
        <v>-11.350596434736701</v>
      </c>
      <c r="X207">
        <f>1/(COUNT(SimData!$E$9:$E$508)-1)+$X$206</f>
        <v>0.4108216432865735</v>
      </c>
    </row>
    <row r="208" spans="1:24">
      <c r="A208">
        <v>200</v>
      </c>
      <c r="B208">
        <v>242.34196124137094</v>
      </c>
      <c r="C208">
        <v>174.34196124137094</v>
      </c>
      <c r="D208">
        <v>89.341961241370939</v>
      </c>
      <c r="E208">
        <v>27.341961241370939</v>
      </c>
      <c r="Q208">
        <f>SMALL(SimData!$B$9:$B$508,207)</f>
        <v>203.8215956275788</v>
      </c>
      <c r="R208">
        <f>1/(COUNT(SimData!$B$9:$B$508)-1)+$R$207</f>
        <v>0.41282565130260557</v>
      </c>
      <c r="S208">
        <f>SMALL(SimData!$C$9:$C$508,207)</f>
        <v>135.8215956275788</v>
      </c>
      <c r="T208">
        <f>1/(COUNT(SimData!$C$9:$C$508)-1)+$T$207</f>
        <v>0.41282565130260557</v>
      </c>
      <c r="U208">
        <f>SMALL(SimData!$D$9:$D$508,207)</f>
        <v>50.821595627578802</v>
      </c>
      <c r="V208">
        <f>1/(COUNT(SimData!$D$9:$D$508)-1)+$V$207</f>
        <v>0.41282565130260557</v>
      </c>
      <c r="W208">
        <f>SMALL(SimData!$E$9:$E$508,207)</f>
        <v>-11.178404372421198</v>
      </c>
      <c r="X208">
        <f>1/(COUNT(SimData!$E$9:$E$508)-1)+$X$207</f>
        <v>0.41282565130260557</v>
      </c>
    </row>
    <row r="209" spans="1:24">
      <c r="A209">
        <v>201</v>
      </c>
      <c r="B209">
        <v>166.98119578858029</v>
      </c>
      <c r="C209">
        <v>98.981195788580294</v>
      </c>
      <c r="D209">
        <v>13.981195788580294</v>
      </c>
      <c r="E209">
        <v>-48.018804211419706</v>
      </c>
      <c r="Q209">
        <f>SMALL(SimData!$B$9:$B$508,208)</f>
        <v>203.87481823992772</v>
      </c>
      <c r="R209">
        <f>1/(COUNT(SimData!$B$9:$B$508)-1)+$R$208</f>
        <v>0.41482965931863763</v>
      </c>
      <c r="S209">
        <f>SMALL(SimData!$C$9:$C$508,208)</f>
        <v>135.87481823992772</v>
      </c>
      <c r="T209">
        <f>1/(COUNT(SimData!$C$9:$C$508)-1)+$T$208</f>
        <v>0.41482965931863763</v>
      </c>
      <c r="U209">
        <f>SMALL(SimData!$D$9:$D$508,208)</f>
        <v>50.87481823992772</v>
      </c>
      <c r="V209">
        <f>1/(COUNT(SimData!$D$9:$D$508)-1)+$V$208</f>
        <v>0.41482965931863763</v>
      </c>
      <c r="W209">
        <f>SMALL(SimData!$E$9:$E$508,208)</f>
        <v>-11.12518176007228</v>
      </c>
      <c r="X209">
        <f>1/(COUNT(SimData!$E$9:$E$508)-1)+$X$208</f>
        <v>0.41482965931863763</v>
      </c>
    </row>
    <row r="210" spans="1:24">
      <c r="A210">
        <v>202</v>
      </c>
      <c r="B210">
        <v>146.97970605007743</v>
      </c>
      <c r="C210">
        <v>78.979706050077425</v>
      </c>
      <c r="D210">
        <v>-6.0202939499225749</v>
      </c>
      <c r="E210">
        <v>-68.020293949922575</v>
      </c>
      <c r="Q210">
        <f>SMALL(SimData!$B$9:$B$508,209)</f>
        <v>204.03096037086488</v>
      </c>
      <c r="R210">
        <f>1/(COUNT(SimData!$B$9:$B$508)-1)+$R$209</f>
        <v>0.4168336673346697</v>
      </c>
      <c r="S210">
        <f>SMALL(SimData!$C$9:$C$508,209)</f>
        <v>136.03096037086488</v>
      </c>
      <c r="T210">
        <f>1/(COUNT(SimData!$C$9:$C$508)-1)+$T$209</f>
        <v>0.4168336673346697</v>
      </c>
      <c r="U210">
        <f>SMALL(SimData!$D$9:$D$508,209)</f>
        <v>51.030960370864875</v>
      </c>
      <c r="V210">
        <f>1/(COUNT(SimData!$D$9:$D$508)-1)+$V$209</f>
        <v>0.4168336673346697</v>
      </c>
      <c r="W210">
        <f>SMALL(SimData!$E$9:$E$508,209)</f>
        <v>-10.969039629135125</v>
      </c>
      <c r="X210">
        <f>1/(COUNT(SimData!$E$9:$E$508)-1)+$X$209</f>
        <v>0.4168336673346697</v>
      </c>
    </row>
    <row r="211" spans="1:24">
      <c r="A211">
        <v>203</v>
      </c>
      <c r="B211">
        <v>221.38455431287809</v>
      </c>
      <c r="C211">
        <v>153.38455431287809</v>
      </c>
      <c r="D211">
        <v>68.384554312878095</v>
      </c>
      <c r="E211">
        <v>6.3845543128780946</v>
      </c>
      <c r="Q211">
        <f>SMALL(SimData!$B$9:$B$508,210)</f>
        <v>204.16883729512239</v>
      </c>
      <c r="R211">
        <f>1/(COUNT(SimData!$B$9:$B$508)-1)+$R$210</f>
        <v>0.41883767535070177</v>
      </c>
      <c r="S211">
        <f>SMALL(SimData!$C$9:$C$508,210)</f>
        <v>136.16883729512239</v>
      </c>
      <c r="T211">
        <f>1/(COUNT(SimData!$C$9:$C$508)-1)+$T$210</f>
        <v>0.41883767535070177</v>
      </c>
      <c r="U211">
        <f>SMALL(SimData!$D$9:$D$508,210)</f>
        <v>51.168837295122387</v>
      </c>
      <c r="V211">
        <f>1/(COUNT(SimData!$D$9:$D$508)-1)+$V$210</f>
        <v>0.41883767535070177</v>
      </c>
      <c r="W211">
        <f>SMALL(SimData!$E$9:$E$508,210)</f>
        <v>-10.831162704877613</v>
      </c>
      <c r="X211">
        <f>1/(COUNT(SimData!$E$9:$E$508)-1)+$X$210</f>
        <v>0.41883767535070177</v>
      </c>
    </row>
    <row r="212" spans="1:24">
      <c r="A212">
        <v>204</v>
      </c>
      <c r="B212">
        <v>216.59803616295488</v>
      </c>
      <c r="C212">
        <v>148.59803616295488</v>
      </c>
      <c r="D212">
        <v>63.598036162954884</v>
      </c>
      <c r="E212">
        <v>1.5980361629548838</v>
      </c>
      <c r="Q212">
        <f>SMALL(SimData!$B$9:$B$508,211)</f>
        <v>204.34194219589625</v>
      </c>
      <c r="R212">
        <f>1/(COUNT(SimData!$B$9:$B$508)-1)+$R$211</f>
        <v>0.42084168336673383</v>
      </c>
      <c r="S212">
        <f>SMALL(SimData!$C$9:$C$508,211)</f>
        <v>136.34194219589625</v>
      </c>
      <c r="T212">
        <f>1/(COUNT(SimData!$C$9:$C$508)-1)+$T$211</f>
        <v>0.42084168336673383</v>
      </c>
      <c r="U212">
        <f>SMALL(SimData!$D$9:$D$508,211)</f>
        <v>51.341942195896252</v>
      </c>
      <c r="V212">
        <f>1/(COUNT(SimData!$D$9:$D$508)-1)+$V$211</f>
        <v>0.42084168336673383</v>
      </c>
      <c r="W212">
        <f>SMALL(SimData!$E$9:$E$508,211)</f>
        <v>-10.658057804103748</v>
      </c>
      <c r="X212">
        <f>1/(COUNT(SimData!$E$9:$E$508)-1)+$X$211</f>
        <v>0.42084168336673383</v>
      </c>
    </row>
    <row r="213" spans="1:24">
      <c r="A213">
        <v>205</v>
      </c>
      <c r="B213">
        <v>154.44525287414416</v>
      </c>
      <c r="C213">
        <v>86.44525287414416</v>
      </c>
      <c r="D213">
        <v>1.4452528741441597</v>
      </c>
      <c r="E213">
        <v>-60.55474712585584</v>
      </c>
      <c r="Q213">
        <f>SMALL(SimData!$B$9:$B$508,212)</f>
        <v>204.65534304082183</v>
      </c>
      <c r="R213">
        <f>1/(COUNT(SimData!$B$9:$B$508)-1)+$R$212</f>
        <v>0.4228456913827659</v>
      </c>
      <c r="S213">
        <f>SMALL(SimData!$C$9:$C$508,212)</f>
        <v>136.65534304082183</v>
      </c>
      <c r="T213">
        <f>1/(COUNT(SimData!$C$9:$C$508)-1)+$T$212</f>
        <v>0.4228456913827659</v>
      </c>
      <c r="U213">
        <f>SMALL(SimData!$D$9:$D$508,212)</f>
        <v>51.655343040821833</v>
      </c>
      <c r="V213">
        <f>1/(COUNT(SimData!$D$9:$D$508)-1)+$V$212</f>
        <v>0.4228456913827659</v>
      </c>
      <c r="W213">
        <f>SMALL(SimData!$E$9:$E$508,212)</f>
        <v>-10.344656959178167</v>
      </c>
      <c r="X213">
        <f>1/(COUNT(SimData!$E$9:$E$508)-1)+$X$212</f>
        <v>0.4228456913827659</v>
      </c>
    </row>
    <row r="214" spans="1:24">
      <c r="A214">
        <v>206</v>
      </c>
      <c r="B214">
        <v>191.35919361735932</v>
      </c>
      <c r="C214">
        <v>123.35919361735932</v>
      </c>
      <c r="D214">
        <v>38.359193617359324</v>
      </c>
      <c r="E214">
        <v>-23.640806382640676</v>
      </c>
      <c r="Q214">
        <f>SMALL(SimData!$B$9:$B$508,213)</f>
        <v>204.71884328687275</v>
      </c>
      <c r="R214">
        <f>1/(COUNT(SimData!$B$9:$B$508)-1)+$R$213</f>
        <v>0.42484969939879796</v>
      </c>
      <c r="S214">
        <f>SMALL(SimData!$C$9:$C$508,213)</f>
        <v>136.71884328687275</v>
      </c>
      <c r="T214">
        <f>1/(COUNT(SimData!$C$9:$C$508)-1)+$T$213</f>
        <v>0.42484969939879796</v>
      </c>
      <c r="U214">
        <f>SMALL(SimData!$D$9:$D$508,213)</f>
        <v>51.718843286872755</v>
      </c>
      <c r="V214">
        <f>1/(COUNT(SimData!$D$9:$D$508)-1)+$V$213</f>
        <v>0.42484969939879796</v>
      </c>
      <c r="W214">
        <f>SMALL(SimData!$E$9:$E$508,213)</f>
        <v>-10.281156713127245</v>
      </c>
      <c r="X214">
        <f>1/(COUNT(SimData!$E$9:$E$508)-1)+$X$213</f>
        <v>0.42484969939879796</v>
      </c>
    </row>
    <row r="215" spans="1:24">
      <c r="A215">
        <v>207</v>
      </c>
      <c r="B215">
        <v>227.75982080180609</v>
      </c>
      <c r="C215">
        <v>159.75982080180609</v>
      </c>
      <c r="D215">
        <v>74.759820801806086</v>
      </c>
      <c r="E215">
        <v>12.759820801806086</v>
      </c>
      <c r="Q215">
        <f>SMALL(SimData!$B$9:$B$508,214)</f>
        <v>204.77121236161793</v>
      </c>
      <c r="R215">
        <f>1/(COUNT(SimData!$B$9:$B$508)-1)+$R$214</f>
        <v>0.42685370741483003</v>
      </c>
      <c r="S215">
        <f>SMALL(SimData!$C$9:$C$508,214)</f>
        <v>136.77121236161793</v>
      </c>
      <c r="T215">
        <f>1/(COUNT(SimData!$C$9:$C$508)-1)+$T$214</f>
        <v>0.42685370741483003</v>
      </c>
      <c r="U215">
        <f>SMALL(SimData!$D$9:$D$508,214)</f>
        <v>51.771212361617927</v>
      </c>
      <c r="V215">
        <f>1/(COUNT(SimData!$D$9:$D$508)-1)+$V$214</f>
        <v>0.42685370741483003</v>
      </c>
      <c r="W215">
        <f>SMALL(SimData!$E$9:$E$508,214)</f>
        <v>-10.228787638382073</v>
      </c>
      <c r="X215">
        <f>1/(COUNT(SimData!$E$9:$E$508)-1)+$X$214</f>
        <v>0.42685370741483003</v>
      </c>
    </row>
    <row r="216" spans="1:24">
      <c r="A216">
        <v>208</v>
      </c>
      <c r="B216">
        <v>214.87461458006123</v>
      </c>
      <c r="C216">
        <v>146.87461458006123</v>
      </c>
      <c r="D216">
        <v>61.874614580061234</v>
      </c>
      <c r="E216">
        <v>-0.12538541993876606</v>
      </c>
      <c r="Q216">
        <f>SMALL(SimData!$B$9:$B$508,215)</f>
        <v>204.92974965441999</v>
      </c>
      <c r="R216">
        <f>1/(COUNT(SimData!$B$9:$B$508)-1)+$R$215</f>
        <v>0.4288577154308621</v>
      </c>
      <c r="S216">
        <f>SMALL(SimData!$C$9:$C$508,215)</f>
        <v>136.92974965441999</v>
      </c>
      <c r="T216">
        <f>1/(COUNT(SimData!$C$9:$C$508)-1)+$T$215</f>
        <v>0.4288577154308621</v>
      </c>
      <c r="U216">
        <f>SMALL(SimData!$D$9:$D$508,215)</f>
        <v>51.929749654419993</v>
      </c>
      <c r="V216">
        <f>1/(COUNT(SimData!$D$9:$D$508)-1)+$V$215</f>
        <v>0.4288577154308621</v>
      </c>
      <c r="W216">
        <f>SMALL(SimData!$E$9:$E$508,215)</f>
        <v>-10.070250345580007</v>
      </c>
      <c r="X216">
        <f>1/(COUNT(SimData!$E$9:$E$508)-1)+$X$215</f>
        <v>0.4288577154308621</v>
      </c>
    </row>
    <row r="217" spans="1:24">
      <c r="A217">
        <v>209</v>
      </c>
      <c r="B217">
        <v>263.91273132968428</v>
      </c>
      <c r="C217">
        <v>195.91273132968428</v>
      </c>
      <c r="D217">
        <v>110.91273132968428</v>
      </c>
      <c r="E217">
        <v>48.912731329684277</v>
      </c>
      <c r="Q217">
        <f>SMALL(SimData!$B$9:$B$508,216)</f>
        <v>205.11810226376508</v>
      </c>
      <c r="R217">
        <f>1/(COUNT(SimData!$B$9:$B$508)-1)+$R$216</f>
        <v>0.43086172344689416</v>
      </c>
      <c r="S217">
        <f>SMALL(SimData!$C$9:$C$508,216)</f>
        <v>137.11810226376508</v>
      </c>
      <c r="T217">
        <f>1/(COUNT(SimData!$C$9:$C$508)-1)+$T$216</f>
        <v>0.43086172344689416</v>
      </c>
      <c r="U217">
        <f>SMALL(SimData!$D$9:$D$508,216)</f>
        <v>52.118102263765081</v>
      </c>
      <c r="V217">
        <f>1/(COUNT(SimData!$D$9:$D$508)-1)+$V$216</f>
        <v>0.43086172344689416</v>
      </c>
      <c r="W217">
        <f>SMALL(SimData!$E$9:$E$508,216)</f>
        <v>-9.8818977362349187</v>
      </c>
      <c r="X217">
        <f>1/(COUNT(SimData!$E$9:$E$508)-1)+$X$216</f>
        <v>0.43086172344689416</v>
      </c>
    </row>
    <row r="218" spans="1:24">
      <c r="A218">
        <v>210</v>
      </c>
      <c r="B218">
        <v>201.95190356700402</v>
      </c>
      <c r="C218">
        <v>133.95190356700402</v>
      </c>
      <c r="D218">
        <v>48.951903567004024</v>
      </c>
      <c r="E218">
        <v>-13.048096432995976</v>
      </c>
      <c r="Q218">
        <f>SMALL(SimData!$B$9:$B$508,217)</f>
        <v>205.3539216846504</v>
      </c>
      <c r="R218">
        <f>1/(COUNT(SimData!$B$9:$B$508)-1)+$R$217</f>
        <v>0.43286573146292623</v>
      </c>
      <c r="S218">
        <f>SMALL(SimData!$C$9:$C$508,217)</f>
        <v>137.3539216846504</v>
      </c>
      <c r="T218">
        <f>1/(COUNT(SimData!$C$9:$C$508)-1)+$T$217</f>
        <v>0.43286573146292623</v>
      </c>
      <c r="U218">
        <f>SMALL(SimData!$D$9:$D$508,217)</f>
        <v>52.353921684650402</v>
      </c>
      <c r="V218">
        <f>1/(COUNT(SimData!$D$9:$D$508)-1)+$V$217</f>
        <v>0.43286573146292623</v>
      </c>
      <c r="W218">
        <f>SMALL(SimData!$E$9:$E$508,217)</f>
        <v>-9.6460783153495981</v>
      </c>
      <c r="X218">
        <f>1/(COUNT(SimData!$E$9:$E$508)-1)+$X$217</f>
        <v>0.43286573146292623</v>
      </c>
    </row>
    <row r="219" spans="1:24">
      <c r="A219">
        <v>211</v>
      </c>
      <c r="B219">
        <v>256.45306073065007</v>
      </c>
      <c r="C219">
        <v>188.45306073065007</v>
      </c>
      <c r="D219">
        <v>103.45306073065007</v>
      </c>
      <c r="E219">
        <v>41.453060730650066</v>
      </c>
      <c r="Q219">
        <f>SMALL(SimData!$B$9:$B$508,218)</f>
        <v>205.69601078670058</v>
      </c>
      <c r="R219">
        <f>1/(COUNT(SimData!$B$9:$B$508)-1)+$R$218</f>
        <v>0.43486973947895829</v>
      </c>
      <c r="S219">
        <f>SMALL(SimData!$C$9:$C$508,218)</f>
        <v>137.69601078670058</v>
      </c>
      <c r="T219">
        <f>1/(COUNT(SimData!$C$9:$C$508)-1)+$T$218</f>
        <v>0.43486973947895829</v>
      </c>
      <c r="U219">
        <f>SMALL(SimData!$D$9:$D$508,218)</f>
        <v>52.696010786700583</v>
      </c>
      <c r="V219">
        <f>1/(COUNT(SimData!$D$9:$D$508)-1)+$V$218</f>
        <v>0.43486973947895829</v>
      </c>
      <c r="W219">
        <f>SMALL(SimData!$E$9:$E$508,218)</f>
        <v>-9.3039892132994169</v>
      </c>
      <c r="X219">
        <f>1/(COUNT(SimData!$E$9:$E$508)-1)+$X$218</f>
        <v>0.43486973947895829</v>
      </c>
    </row>
    <row r="220" spans="1:24">
      <c r="A220">
        <v>212</v>
      </c>
      <c r="B220">
        <v>202.50431880774221</v>
      </c>
      <c r="C220">
        <v>134.50431880774221</v>
      </c>
      <c r="D220">
        <v>49.504318807742209</v>
      </c>
      <c r="E220">
        <v>-12.495681192257791</v>
      </c>
      <c r="Q220">
        <f>SMALL(SimData!$B$9:$B$508,219)</f>
        <v>205.69624683035755</v>
      </c>
      <c r="R220">
        <f>1/(COUNT(SimData!$B$9:$B$508)-1)+$R$219</f>
        <v>0.43687374749499036</v>
      </c>
      <c r="S220">
        <f>SMALL(SimData!$C$9:$C$508,219)</f>
        <v>137.69624683035755</v>
      </c>
      <c r="T220">
        <f>1/(COUNT(SimData!$C$9:$C$508)-1)+$T$219</f>
        <v>0.43687374749499036</v>
      </c>
      <c r="U220">
        <f>SMALL(SimData!$D$9:$D$508,219)</f>
        <v>52.696246830357552</v>
      </c>
      <c r="V220">
        <f>1/(COUNT(SimData!$D$9:$D$508)-1)+$V$219</f>
        <v>0.43687374749499036</v>
      </c>
      <c r="W220">
        <f>SMALL(SimData!$E$9:$E$508,219)</f>
        <v>-9.303753169642448</v>
      </c>
      <c r="X220">
        <f>1/(COUNT(SimData!$E$9:$E$508)-1)+$X$219</f>
        <v>0.43687374749499036</v>
      </c>
    </row>
    <row r="221" spans="1:24">
      <c r="A221">
        <v>213</v>
      </c>
      <c r="B221">
        <v>230.51995020370885</v>
      </c>
      <c r="C221">
        <v>162.51995020370885</v>
      </c>
      <c r="D221">
        <v>77.519950203708845</v>
      </c>
      <c r="E221">
        <v>15.519950203708845</v>
      </c>
      <c r="Q221">
        <f>SMALL(SimData!$B$9:$B$508,220)</f>
        <v>205.93569849156466</v>
      </c>
      <c r="R221">
        <f>1/(COUNT(SimData!$B$9:$B$508)-1)+$R$220</f>
        <v>0.43887775551102243</v>
      </c>
      <c r="S221">
        <f>SMALL(SimData!$C$9:$C$508,220)</f>
        <v>137.93569849156466</v>
      </c>
      <c r="T221">
        <f>1/(COUNT(SimData!$C$9:$C$508)-1)+$T$220</f>
        <v>0.43887775551102243</v>
      </c>
      <c r="U221">
        <f>SMALL(SimData!$D$9:$D$508,220)</f>
        <v>52.935698491564665</v>
      </c>
      <c r="V221">
        <f>1/(COUNT(SimData!$D$9:$D$508)-1)+$V$220</f>
        <v>0.43887775551102243</v>
      </c>
      <c r="W221">
        <f>SMALL(SimData!$E$9:$E$508,220)</f>
        <v>-9.0643015084353351</v>
      </c>
      <c r="X221">
        <f>1/(COUNT(SimData!$E$9:$E$508)-1)+$X$220</f>
        <v>0.43887775551102243</v>
      </c>
    </row>
    <row r="222" spans="1:24">
      <c r="A222">
        <v>214</v>
      </c>
      <c r="B222">
        <v>239.87519522672994</v>
      </c>
      <c r="C222">
        <v>171.87519522672994</v>
      </c>
      <c r="D222">
        <v>86.875195226729943</v>
      </c>
      <c r="E222">
        <v>24.875195226729943</v>
      </c>
      <c r="Q222">
        <f>SMALL(SimData!$B$9:$B$508,221)</f>
        <v>205.94860778876455</v>
      </c>
      <c r="R222">
        <f>1/(COUNT(SimData!$B$9:$B$508)-1)+$R$221</f>
        <v>0.44088176352705449</v>
      </c>
      <c r="S222">
        <f>SMALL(SimData!$C$9:$C$508,221)</f>
        <v>137.94860778876455</v>
      </c>
      <c r="T222">
        <f>1/(COUNT(SimData!$C$9:$C$508)-1)+$T$221</f>
        <v>0.44088176352705449</v>
      </c>
      <c r="U222">
        <f>SMALL(SimData!$D$9:$D$508,221)</f>
        <v>52.948607788764548</v>
      </c>
      <c r="V222">
        <f>1/(COUNT(SimData!$D$9:$D$508)-1)+$V$221</f>
        <v>0.44088176352705449</v>
      </c>
      <c r="W222">
        <f>SMALL(SimData!$E$9:$E$508,221)</f>
        <v>-9.0513922112354521</v>
      </c>
      <c r="X222">
        <f>1/(COUNT(SimData!$E$9:$E$508)-1)+$X$221</f>
        <v>0.44088176352705449</v>
      </c>
    </row>
    <row r="223" spans="1:24">
      <c r="A223">
        <v>215</v>
      </c>
      <c r="B223">
        <v>212.32317833651211</v>
      </c>
      <c r="C223">
        <v>144.32317833651211</v>
      </c>
      <c r="D223">
        <v>59.323178336512115</v>
      </c>
      <c r="E223">
        <v>-2.6768216634878854</v>
      </c>
      <c r="Q223">
        <f>SMALL(SimData!$B$9:$B$508,222)</f>
        <v>205.95350019550892</v>
      </c>
      <c r="R223">
        <f>1/(COUNT(SimData!$B$9:$B$508)-1)+$R$222</f>
        <v>0.44288577154308656</v>
      </c>
      <c r="S223">
        <f>SMALL(SimData!$C$9:$C$508,222)</f>
        <v>137.95350019550892</v>
      </c>
      <c r="T223">
        <f>1/(COUNT(SimData!$C$9:$C$508)-1)+$T$222</f>
        <v>0.44288577154308656</v>
      </c>
      <c r="U223">
        <f>SMALL(SimData!$D$9:$D$508,222)</f>
        <v>52.953500195508923</v>
      </c>
      <c r="V223">
        <f>1/(COUNT(SimData!$D$9:$D$508)-1)+$V$222</f>
        <v>0.44288577154308656</v>
      </c>
      <c r="W223">
        <f>SMALL(SimData!$E$9:$E$508,222)</f>
        <v>-9.0464998044910772</v>
      </c>
      <c r="X223">
        <f>1/(COUNT(SimData!$E$9:$E$508)-1)+$X$222</f>
        <v>0.44288577154308656</v>
      </c>
    </row>
    <row r="224" spans="1:24">
      <c r="A224">
        <v>216</v>
      </c>
      <c r="B224">
        <v>176.5296330202732</v>
      </c>
      <c r="C224">
        <v>108.5296330202732</v>
      </c>
      <c r="D224">
        <v>23.529633020273195</v>
      </c>
      <c r="E224">
        <v>-38.470366979726805</v>
      </c>
      <c r="Q224">
        <f>SMALL(SimData!$B$9:$B$508,223)</f>
        <v>206.0683387279434</v>
      </c>
      <c r="R224">
        <f>1/(COUNT(SimData!$B$9:$B$508)-1)+$R$223</f>
        <v>0.44488977955911863</v>
      </c>
      <c r="S224">
        <f>SMALL(SimData!$C$9:$C$508,223)</f>
        <v>138.0683387279434</v>
      </c>
      <c r="T224">
        <f>1/(COUNT(SimData!$C$9:$C$508)-1)+$T$223</f>
        <v>0.44488977955911863</v>
      </c>
      <c r="U224">
        <f>SMALL(SimData!$D$9:$D$508,223)</f>
        <v>53.068338727943399</v>
      </c>
      <c r="V224">
        <f>1/(COUNT(SimData!$D$9:$D$508)-1)+$V$223</f>
        <v>0.44488977955911863</v>
      </c>
      <c r="W224">
        <f>SMALL(SimData!$E$9:$E$508,223)</f>
        <v>-8.9316612720566013</v>
      </c>
      <c r="X224">
        <f>1/(COUNT(SimData!$E$9:$E$508)-1)+$X$223</f>
        <v>0.44488977955911863</v>
      </c>
    </row>
    <row r="225" spans="1:24">
      <c r="A225">
        <v>217</v>
      </c>
      <c r="B225">
        <v>192.79424898365659</v>
      </c>
      <c r="C225">
        <v>124.79424898365659</v>
      </c>
      <c r="D225">
        <v>39.794248983656587</v>
      </c>
      <c r="E225">
        <v>-22.205751016343413</v>
      </c>
      <c r="Q225">
        <f>SMALL(SimData!$B$9:$B$508,224)</f>
        <v>206.12581280444158</v>
      </c>
      <c r="R225">
        <f>1/(COUNT(SimData!$B$9:$B$508)-1)+$R$224</f>
        <v>0.44689378757515069</v>
      </c>
      <c r="S225">
        <f>SMALL(SimData!$C$9:$C$508,224)</f>
        <v>138.12581280444158</v>
      </c>
      <c r="T225">
        <f>1/(COUNT(SimData!$C$9:$C$508)-1)+$T$224</f>
        <v>0.44689378757515069</v>
      </c>
      <c r="U225">
        <f>SMALL(SimData!$D$9:$D$508,224)</f>
        <v>53.12581280444158</v>
      </c>
      <c r="V225">
        <f>1/(COUNT(SimData!$D$9:$D$508)-1)+$V$224</f>
        <v>0.44689378757515069</v>
      </c>
      <c r="W225">
        <f>SMALL(SimData!$E$9:$E$508,224)</f>
        <v>-8.8741871955584202</v>
      </c>
      <c r="X225">
        <f>1/(COUNT(SimData!$E$9:$E$508)-1)+$X$224</f>
        <v>0.44689378757515069</v>
      </c>
    </row>
    <row r="226" spans="1:24">
      <c r="A226">
        <v>218</v>
      </c>
      <c r="B226">
        <v>206.12581280444158</v>
      </c>
      <c r="C226">
        <v>138.12581280444158</v>
      </c>
      <c r="D226">
        <v>53.12581280444158</v>
      </c>
      <c r="E226">
        <v>-8.8741871955584202</v>
      </c>
      <c r="Q226">
        <f>SMALL(SimData!$B$9:$B$508,225)</f>
        <v>206.29429993352886</v>
      </c>
      <c r="R226">
        <f>1/(COUNT(SimData!$B$9:$B$508)-1)+$R$225</f>
        <v>0.44889779559118276</v>
      </c>
      <c r="S226">
        <f>SMALL(SimData!$C$9:$C$508,225)</f>
        <v>138.29429993352886</v>
      </c>
      <c r="T226">
        <f>1/(COUNT(SimData!$C$9:$C$508)-1)+$T$225</f>
        <v>0.44889779559118276</v>
      </c>
      <c r="U226">
        <f>SMALL(SimData!$D$9:$D$508,225)</f>
        <v>53.294299933528862</v>
      </c>
      <c r="V226">
        <f>1/(COUNT(SimData!$D$9:$D$508)-1)+$V$225</f>
        <v>0.44889779559118276</v>
      </c>
      <c r="W226">
        <f>SMALL(SimData!$E$9:$E$508,225)</f>
        <v>-8.7057000664711381</v>
      </c>
      <c r="X226">
        <f>1/(COUNT(SimData!$E$9:$E$508)-1)+$X$225</f>
        <v>0.44889779559118276</v>
      </c>
    </row>
    <row r="227" spans="1:24">
      <c r="A227">
        <v>219</v>
      </c>
      <c r="B227">
        <v>206.29429993352886</v>
      </c>
      <c r="C227">
        <v>138.29429993352886</v>
      </c>
      <c r="D227">
        <v>53.294299933528862</v>
      </c>
      <c r="E227">
        <v>-8.7057000664711381</v>
      </c>
      <c r="Q227">
        <f>SMALL(SimData!$B$9:$B$508,226)</f>
        <v>206.38654622187579</v>
      </c>
      <c r="R227">
        <f>1/(COUNT(SimData!$B$9:$B$508)-1)+$R$226</f>
        <v>0.45090180360721482</v>
      </c>
      <c r="S227">
        <f>SMALL(SimData!$C$9:$C$508,226)</f>
        <v>138.38654622187579</v>
      </c>
      <c r="T227">
        <f>1/(COUNT(SimData!$C$9:$C$508)-1)+$T$226</f>
        <v>0.45090180360721482</v>
      </c>
      <c r="U227">
        <f>SMALL(SimData!$D$9:$D$508,226)</f>
        <v>53.38654622187579</v>
      </c>
      <c r="V227">
        <f>1/(COUNT(SimData!$D$9:$D$508)-1)+$V$226</f>
        <v>0.45090180360721482</v>
      </c>
      <c r="W227">
        <f>SMALL(SimData!$E$9:$E$508,226)</f>
        <v>-8.6134537781242102</v>
      </c>
      <c r="X227">
        <f>1/(COUNT(SimData!$E$9:$E$508)-1)+$X$226</f>
        <v>0.45090180360721482</v>
      </c>
    </row>
    <row r="228" spans="1:24">
      <c r="A228">
        <v>220</v>
      </c>
      <c r="B228">
        <v>192.61727394593032</v>
      </c>
      <c r="C228">
        <v>124.61727394593032</v>
      </c>
      <c r="D228">
        <v>39.617273945930322</v>
      </c>
      <c r="E228">
        <v>-22.382726054069678</v>
      </c>
      <c r="Q228">
        <f>SMALL(SimData!$B$9:$B$508,227)</f>
        <v>206.57661540917377</v>
      </c>
      <c r="R228">
        <f>1/(COUNT(SimData!$B$9:$B$508)-1)+$R$227</f>
        <v>0.45290581162324689</v>
      </c>
      <c r="S228">
        <f>SMALL(SimData!$C$9:$C$508,227)</f>
        <v>138.57661540917377</v>
      </c>
      <c r="T228">
        <f>1/(COUNT(SimData!$C$9:$C$508)-1)+$T$227</f>
        <v>0.45290581162324689</v>
      </c>
      <c r="U228">
        <f>SMALL(SimData!$D$9:$D$508,227)</f>
        <v>53.576615409173769</v>
      </c>
      <c r="V228">
        <f>1/(COUNT(SimData!$D$9:$D$508)-1)+$V$227</f>
        <v>0.45290581162324689</v>
      </c>
      <c r="W228">
        <f>SMALL(SimData!$E$9:$E$508,227)</f>
        <v>-8.423384590826231</v>
      </c>
      <c r="X228">
        <f>1/(COUNT(SimData!$E$9:$E$508)-1)+$X$227</f>
        <v>0.45290581162324689</v>
      </c>
    </row>
    <row r="229" spans="1:24">
      <c r="A229">
        <v>221</v>
      </c>
      <c r="B229">
        <v>203.47235805007824</v>
      </c>
      <c r="C229">
        <v>135.47235805007824</v>
      </c>
      <c r="D229">
        <v>50.472358050078242</v>
      </c>
      <c r="E229">
        <v>-11.527641949921758</v>
      </c>
      <c r="Q229">
        <f>SMALL(SimData!$B$9:$B$508,228)</f>
        <v>206.7713137335931</v>
      </c>
      <c r="R229">
        <f>1/(COUNT(SimData!$B$9:$B$508)-1)+$R$228</f>
        <v>0.45490981963927896</v>
      </c>
      <c r="S229">
        <f>SMALL(SimData!$C$9:$C$508,228)</f>
        <v>138.7713137335931</v>
      </c>
      <c r="T229">
        <f>1/(COUNT(SimData!$C$9:$C$508)-1)+$T$228</f>
        <v>0.45490981963927896</v>
      </c>
      <c r="U229">
        <f>SMALL(SimData!$D$9:$D$508,228)</f>
        <v>53.771313733593104</v>
      </c>
      <c r="V229">
        <f>1/(COUNT(SimData!$D$9:$D$508)-1)+$V$228</f>
        <v>0.45490981963927896</v>
      </c>
      <c r="W229">
        <f>SMALL(SimData!$E$9:$E$508,228)</f>
        <v>-8.2286862664068963</v>
      </c>
      <c r="X229">
        <f>1/(COUNT(SimData!$E$9:$E$508)-1)+$X$228</f>
        <v>0.45490981963927896</v>
      </c>
    </row>
    <row r="230" spans="1:24">
      <c r="A230">
        <v>222</v>
      </c>
      <c r="B230">
        <v>224.24090219194488</v>
      </c>
      <c r="C230">
        <v>156.24090219194488</v>
      </c>
      <c r="D230">
        <v>71.240902191944883</v>
      </c>
      <c r="E230">
        <v>9.2409021919448833</v>
      </c>
      <c r="Q230">
        <f>SMALL(SimData!$B$9:$B$508,229)</f>
        <v>206.85118244879203</v>
      </c>
      <c r="R230">
        <f>1/(COUNT(SimData!$B$9:$B$508)-1)+$R$229</f>
        <v>0.45691382765531102</v>
      </c>
      <c r="S230">
        <f>SMALL(SimData!$C$9:$C$508,229)</f>
        <v>138.85118244879203</v>
      </c>
      <c r="T230">
        <f>1/(COUNT(SimData!$C$9:$C$508)-1)+$T$229</f>
        <v>0.45691382765531102</v>
      </c>
      <c r="U230">
        <f>SMALL(SimData!$D$9:$D$508,229)</f>
        <v>53.851182448792031</v>
      </c>
      <c r="V230">
        <f>1/(COUNT(SimData!$D$9:$D$508)-1)+$V$229</f>
        <v>0.45691382765531102</v>
      </c>
      <c r="W230">
        <f>SMALL(SimData!$E$9:$E$508,229)</f>
        <v>-8.1488175512079692</v>
      </c>
      <c r="X230">
        <f>1/(COUNT(SimData!$E$9:$E$508)-1)+$X$229</f>
        <v>0.45691382765531102</v>
      </c>
    </row>
    <row r="231" spans="1:24">
      <c r="A231">
        <v>223</v>
      </c>
      <c r="B231">
        <v>170.52013090165372</v>
      </c>
      <c r="C231">
        <v>102.52013090165372</v>
      </c>
      <c r="D231">
        <v>17.520130901653715</v>
      </c>
      <c r="E231">
        <v>-44.479869098346285</v>
      </c>
      <c r="Q231">
        <f>SMALL(SimData!$B$9:$B$508,230)</f>
        <v>207.28271383192333</v>
      </c>
      <c r="R231">
        <f>1/(COUNT(SimData!$B$9:$B$508)-1)+$R$230</f>
        <v>0.45891783567134309</v>
      </c>
      <c r="S231">
        <f>SMALL(SimData!$C$9:$C$508,230)</f>
        <v>139.28271383192333</v>
      </c>
      <c r="T231">
        <f>1/(COUNT(SimData!$C$9:$C$508)-1)+$T$230</f>
        <v>0.45891783567134309</v>
      </c>
      <c r="U231">
        <f>SMALL(SimData!$D$9:$D$508,230)</f>
        <v>54.282713831923331</v>
      </c>
      <c r="V231">
        <f>1/(COUNT(SimData!$D$9:$D$508)-1)+$V$230</f>
        <v>0.45891783567134309</v>
      </c>
      <c r="W231">
        <f>SMALL(SimData!$E$9:$E$508,230)</f>
        <v>-7.7172861680766687</v>
      </c>
      <c r="X231">
        <f>1/(COUNT(SimData!$E$9:$E$508)-1)+$X$230</f>
        <v>0.45891783567134309</v>
      </c>
    </row>
    <row r="232" spans="1:24">
      <c r="A232">
        <v>224</v>
      </c>
      <c r="B232">
        <v>177.4554127319193</v>
      </c>
      <c r="C232">
        <v>109.4554127319193</v>
      </c>
      <c r="D232">
        <v>24.455412731919296</v>
      </c>
      <c r="E232">
        <v>-37.544587268080704</v>
      </c>
      <c r="Q232">
        <f>SMALL(SimData!$B$9:$B$508,231)</f>
        <v>207.49621179960735</v>
      </c>
      <c r="R232">
        <f>1/(COUNT(SimData!$B$9:$B$508)-1)+$R$231</f>
        <v>0.46092184368737515</v>
      </c>
      <c r="S232">
        <f>SMALL(SimData!$C$9:$C$508,231)</f>
        <v>139.49621179960735</v>
      </c>
      <c r="T232">
        <f>1/(COUNT(SimData!$C$9:$C$508)-1)+$T$231</f>
        <v>0.46092184368737515</v>
      </c>
      <c r="U232">
        <f>SMALL(SimData!$D$9:$D$508,231)</f>
        <v>54.496211799607352</v>
      </c>
      <c r="V232">
        <f>1/(COUNT(SimData!$D$9:$D$508)-1)+$V$231</f>
        <v>0.46092184368737515</v>
      </c>
      <c r="W232">
        <f>SMALL(SimData!$E$9:$E$508,231)</f>
        <v>-7.5037882003926484</v>
      </c>
      <c r="X232">
        <f>1/(COUNT(SimData!$E$9:$E$508)-1)+$X$231</f>
        <v>0.46092184368737515</v>
      </c>
    </row>
    <row r="233" spans="1:24">
      <c r="A233">
        <v>225</v>
      </c>
      <c r="B233">
        <v>195.02552172094363</v>
      </c>
      <c r="C233">
        <v>127.02552172094363</v>
      </c>
      <c r="D233">
        <v>42.02552172094363</v>
      </c>
      <c r="E233">
        <v>-19.97447827905637</v>
      </c>
      <c r="Q233">
        <f>SMALL(SimData!$B$9:$B$508,232)</f>
        <v>207.52643464600101</v>
      </c>
      <c r="R233">
        <f>1/(COUNT(SimData!$B$9:$B$508)-1)+$R$232</f>
        <v>0.46292585170340722</v>
      </c>
      <c r="S233">
        <f>SMALL(SimData!$C$9:$C$508,232)</f>
        <v>139.52643464600101</v>
      </c>
      <c r="T233">
        <f>1/(COUNT(SimData!$C$9:$C$508)-1)+$T$232</f>
        <v>0.46292585170340722</v>
      </c>
      <c r="U233">
        <f>SMALL(SimData!$D$9:$D$508,232)</f>
        <v>54.526434646001007</v>
      </c>
      <c r="V233">
        <f>1/(COUNT(SimData!$D$9:$D$508)-1)+$V$232</f>
        <v>0.46292585170340722</v>
      </c>
      <c r="W233">
        <f>SMALL(SimData!$E$9:$E$508,232)</f>
        <v>-7.4735653539989926</v>
      </c>
      <c r="X233">
        <f>1/(COUNT(SimData!$E$9:$E$508)-1)+$X$232</f>
        <v>0.46292585170340722</v>
      </c>
    </row>
    <row r="234" spans="1:24">
      <c r="A234">
        <v>226</v>
      </c>
      <c r="B234">
        <v>244.41540791014035</v>
      </c>
      <c r="C234">
        <v>176.41540791014035</v>
      </c>
      <c r="D234">
        <v>91.415407910140345</v>
      </c>
      <c r="E234">
        <v>29.415407910140345</v>
      </c>
      <c r="Q234">
        <f>SMALL(SimData!$B$9:$B$508,233)</f>
        <v>207.53221714571333</v>
      </c>
      <c r="R234">
        <f>1/(COUNT(SimData!$B$9:$B$508)-1)+$R$233</f>
        <v>0.46492985971943929</v>
      </c>
      <c r="S234">
        <f>SMALL(SimData!$C$9:$C$508,233)</f>
        <v>139.53221714571333</v>
      </c>
      <c r="T234">
        <f>1/(COUNT(SimData!$C$9:$C$508)-1)+$T$233</f>
        <v>0.46492985971943929</v>
      </c>
      <c r="U234">
        <f>SMALL(SimData!$D$9:$D$508,233)</f>
        <v>54.532217145713332</v>
      </c>
      <c r="V234">
        <f>1/(COUNT(SimData!$D$9:$D$508)-1)+$V$233</f>
        <v>0.46492985971943929</v>
      </c>
      <c r="W234">
        <f>SMALL(SimData!$E$9:$E$508,233)</f>
        <v>-7.4677828542866678</v>
      </c>
      <c r="X234">
        <f>1/(COUNT(SimData!$E$9:$E$508)-1)+$X$233</f>
        <v>0.46492985971943929</v>
      </c>
    </row>
    <row r="235" spans="1:24">
      <c r="A235">
        <v>227</v>
      </c>
      <c r="B235">
        <v>144.01572498456642</v>
      </c>
      <c r="C235">
        <v>76.015724984566418</v>
      </c>
      <c r="D235">
        <v>-8.9842750154335818</v>
      </c>
      <c r="E235">
        <v>-70.984275015433582</v>
      </c>
      <c r="Q235">
        <f>SMALL(SimData!$B$9:$B$508,234)</f>
        <v>207.5873037598563</v>
      </c>
      <c r="R235">
        <f>1/(COUNT(SimData!$B$9:$B$508)-1)+$R$234</f>
        <v>0.46693386773547135</v>
      </c>
      <c r="S235">
        <f>SMALL(SimData!$C$9:$C$508,234)</f>
        <v>139.5873037598563</v>
      </c>
      <c r="T235">
        <f>1/(COUNT(SimData!$C$9:$C$508)-1)+$T$234</f>
        <v>0.46693386773547135</v>
      </c>
      <c r="U235">
        <f>SMALL(SimData!$D$9:$D$508,234)</f>
        <v>54.587303759856297</v>
      </c>
      <c r="V235">
        <f>1/(COUNT(SimData!$D$9:$D$508)-1)+$V$234</f>
        <v>0.46693386773547135</v>
      </c>
      <c r="W235">
        <f>SMALL(SimData!$E$9:$E$508,234)</f>
        <v>-7.4126962401437027</v>
      </c>
      <c r="X235">
        <f>1/(COUNT(SimData!$E$9:$E$508)-1)+$X$234</f>
        <v>0.46693386773547135</v>
      </c>
    </row>
    <row r="236" spans="1:24">
      <c r="A236">
        <v>228</v>
      </c>
      <c r="B236">
        <v>213.53137618397346</v>
      </c>
      <c r="C236">
        <v>145.53137618397346</v>
      </c>
      <c r="D236">
        <v>60.531376183973464</v>
      </c>
      <c r="E236">
        <v>-1.4686238160265361</v>
      </c>
      <c r="Q236">
        <f>SMALL(SimData!$B$9:$B$508,235)</f>
        <v>207.61015049090781</v>
      </c>
      <c r="R236">
        <f>1/(COUNT(SimData!$B$9:$B$508)-1)+$R$235</f>
        <v>0.46893787575150342</v>
      </c>
      <c r="S236">
        <f>SMALL(SimData!$C$9:$C$508,235)</f>
        <v>139.61015049090781</v>
      </c>
      <c r="T236">
        <f>1/(COUNT(SimData!$C$9:$C$508)-1)+$T$235</f>
        <v>0.46893787575150342</v>
      </c>
      <c r="U236">
        <f>SMALL(SimData!$D$9:$D$508,235)</f>
        <v>54.610150490907813</v>
      </c>
      <c r="V236">
        <f>1/(COUNT(SimData!$D$9:$D$508)-1)+$V$235</f>
        <v>0.46893787575150342</v>
      </c>
      <c r="W236">
        <f>SMALL(SimData!$E$9:$E$508,235)</f>
        <v>-7.389849509092187</v>
      </c>
      <c r="X236">
        <f>1/(COUNT(SimData!$E$9:$E$508)-1)+$X$235</f>
        <v>0.46893787575150342</v>
      </c>
    </row>
    <row r="237" spans="1:24">
      <c r="A237">
        <v>229</v>
      </c>
      <c r="B237">
        <v>187.46844169478987</v>
      </c>
      <c r="C237">
        <v>119.46844169478987</v>
      </c>
      <c r="D237">
        <v>34.468441694789874</v>
      </c>
      <c r="E237">
        <v>-27.531558305210126</v>
      </c>
      <c r="Q237">
        <f>SMALL(SimData!$B$9:$B$508,236)</f>
        <v>208.09867284389389</v>
      </c>
      <c r="R237">
        <f>1/(COUNT(SimData!$B$9:$B$508)-1)+$R$236</f>
        <v>0.47094188376753549</v>
      </c>
      <c r="S237">
        <f>SMALL(SimData!$C$9:$C$508,236)</f>
        <v>140.09867284389389</v>
      </c>
      <c r="T237">
        <f>1/(COUNT(SimData!$C$9:$C$508)-1)+$T$236</f>
        <v>0.47094188376753549</v>
      </c>
      <c r="U237">
        <f>SMALL(SimData!$D$9:$D$508,236)</f>
        <v>55.098672843893894</v>
      </c>
      <c r="V237">
        <f>1/(COUNT(SimData!$D$9:$D$508)-1)+$V$236</f>
        <v>0.47094188376753549</v>
      </c>
      <c r="W237">
        <f>SMALL(SimData!$E$9:$E$508,236)</f>
        <v>-6.901327156106106</v>
      </c>
      <c r="X237">
        <f>1/(COUNT(SimData!$E$9:$E$508)-1)+$X$236</f>
        <v>0.47094188376753549</v>
      </c>
    </row>
    <row r="238" spans="1:24">
      <c r="A238">
        <v>230</v>
      </c>
      <c r="B238">
        <v>171.08299835007392</v>
      </c>
      <c r="C238">
        <v>103.08299835007392</v>
      </c>
      <c r="D238">
        <v>18.082998350073922</v>
      </c>
      <c r="E238">
        <v>-43.917001649926078</v>
      </c>
      <c r="Q238">
        <f>SMALL(SimData!$B$9:$B$508,237)</f>
        <v>208.15477681178368</v>
      </c>
      <c r="R238">
        <f>1/(COUNT(SimData!$B$9:$B$508)-1)+$R$237</f>
        <v>0.47294589178356755</v>
      </c>
      <c r="S238">
        <f>SMALL(SimData!$C$9:$C$508,237)</f>
        <v>140.15477681178368</v>
      </c>
      <c r="T238">
        <f>1/(COUNT(SimData!$C$9:$C$508)-1)+$T$237</f>
        <v>0.47294589178356755</v>
      </c>
      <c r="U238">
        <f>SMALL(SimData!$D$9:$D$508,237)</f>
        <v>55.154776811783677</v>
      </c>
      <c r="V238">
        <f>1/(COUNT(SimData!$D$9:$D$508)-1)+$V$237</f>
        <v>0.47294589178356755</v>
      </c>
      <c r="W238">
        <f>SMALL(SimData!$E$9:$E$508,237)</f>
        <v>-6.8452231882163233</v>
      </c>
      <c r="X238">
        <f>1/(COUNT(SimData!$E$9:$E$508)-1)+$X$237</f>
        <v>0.47294589178356755</v>
      </c>
    </row>
    <row r="239" spans="1:24">
      <c r="A239">
        <v>231</v>
      </c>
      <c r="B239">
        <v>256.80810462616222</v>
      </c>
      <c r="C239">
        <v>188.80810462616222</v>
      </c>
      <c r="D239">
        <v>103.80810462616222</v>
      </c>
      <c r="E239">
        <v>41.808104626162219</v>
      </c>
      <c r="Q239">
        <f>SMALL(SimData!$B$9:$B$508,238)</f>
        <v>208.32021854685127</v>
      </c>
      <c r="R239">
        <f>1/(COUNT(SimData!$B$9:$B$508)-1)+$R$238</f>
        <v>0.47494989979959962</v>
      </c>
      <c r="S239">
        <f>SMALL(SimData!$C$9:$C$508,238)</f>
        <v>140.32021854685127</v>
      </c>
      <c r="T239">
        <f>1/(COUNT(SimData!$C$9:$C$508)-1)+$T$238</f>
        <v>0.47494989979959962</v>
      </c>
      <c r="U239">
        <f>SMALL(SimData!$D$9:$D$508,238)</f>
        <v>55.320218546851265</v>
      </c>
      <c r="V239">
        <f>1/(COUNT(SimData!$D$9:$D$508)-1)+$V$238</f>
        <v>0.47494989979959962</v>
      </c>
      <c r="W239">
        <f>SMALL(SimData!$E$9:$E$508,238)</f>
        <v>-6.6797814531487347</v>
      </c>
      <c r="X239">
        <f>1/(COUNT(SimData!$E$9:$E$508)-1)+$X$238</f>
        <v>0.47494989979959962</v>
      </c>
    </row>
    <row r="240" spans="1:24">
      <c r="A240">
        <v>232</v>
      </c>
      <c r="B240">
        <v>125.86595198907614</v>
      </c>
      <c r="C240">
        <v>57.865951989076137</v>
      </c>
      <c r="D240">
        <v>-27.134048010923863</v>
      </c>
      <c r="E240">
        <v>-89.134048010923863</v>
      </c>
      <c r="Q240">
        <f>SMALL(SimData!$B$9:$B$508,239)</f>
        <v>208.42103625347232</v>
      </c>
      <c r="R240">
        <f>1/(COUNT(SimData!$B$9:$B$508)-1)+$R$239</f>
        <v>0.47695390781563168</v>
      </c>
      <c r="S240">
        <f>SMALL(SimData!$C$9:$C$508,239)</f>
        <v>140.42103625347232</v>
      </c>
      <c r="T240">
        <f>1/(COUNT(SimData!$C$9:$C$508)-1)+$T$239</f>
        <v>0.47695390781563168</v>
      </c>
      <c r="U240">
        <f>SMALL(SimData!$D$9:$D$508,239)</f>
        <v>55.421036253472323</v>
      </c>
      <c r="V240">
        <f>1/(COUNT(SimData!$D$9:$D$508)-1)+$V$239</f>
        <v>0.47695390781563168</v>
      </c>
      <c r="W240">
        <f>SMALL(SimData!$E$9:$E$508,239)</f>
        <v>-6.5789637465276769</v>
      </c>
      <c r="X240">
        <f>1/(COUNT(SimData!$E$9:$E$508)-1)+$X$239</f>
        <v>0.47695390781563168</v>
      </c>
    </row>
    <row r="241" spans="1:24">
      <c r="A241">
        <v>233</v>
      </c>
      <c r="B241">
        <v>229.99476458732596</v>
      </c>
      <c r="C241">
        <v>161.99476458732596</v>
      </c>
      <c r="D241">
        <v>76.99476458732596</v>
      </c>
      <c r="E241">
        <v>14.99476458732596</v>
      </c>
      <c r="Q241">
        <f>SMALL(SimData!$B$9:$B$508,240)</f>
        <v>208.49008490876429</v>
      </c>
      <c r="R241">
        <f>1/(COUNT(SimData!$B$9:$B$508)-1)+$R$240</f>
        <v>0.47895791583166375</v>
      </c>
      <c r="S241">
        <f>SMALL(SimData!$C$9:$C$508,240)</f>
        <v>140.49008490876429</v>
      </c>
      <c r="T241">
        <f>1/(COUNT(SimData!$C$9:$C$508)-1)+$T$240</f>
        <v>0.47895791583166375</v>
      </c>
      <c r="U241">
        <f>SMALL(SimData!$D$9:$D$508,240)</f>
        <v>55.490084908764288</v>
      </c>
      <c r="V241">
        <f>1/(COUNT(SimData!$D$9:$D$508)-1)+$V$240</f>
        <v>0.47895791583166375</v>
      </c>
      <c r="W241">
        <f>SMALL(SimData!$E$9:$E$508,240)</f>
        <v>-6.5099150912357118</v>
      </c>
      <c r="X241">
        <f>1/(COUNT(SimData!$E$9:$E$508)-1)+$X$240</f>
        <v>0.47895791583166375</v>
      </c>
    </row>
    <row r="242" spans="1:24">
      <c r="A242">
        <v>234</v>
      </c>
      <c r="B242">
        <v>217.80454208940876</v>
      </c>
      <c r="C242">
        <v>149.80454208940876</v>
      </c>
      <c r="D242">
        <v>64.804542089408756</v>
      </c>
      <c r="E242">
        <v>2.8045420894087556</v>
      </c>
      <c r="Q242">
        <f>SMALL(SimData!$B$9:$B$508,241)</f>
        <v>208.69348658878397</v>
      </c>
      <c r="R242">
        <f>1/(COUNT(SimData!$B$9:$B$508)-1)+$R$241</f>
        <v>0.48096192384769582</v>
      </c>
      <c r="S242">
        <f>SMALL(SimData!$C$9:$C$508,241)</f>
        <v>140.69348658878397</v>
      </c>
      <c r="T242">
        <f>1/(COUNT(SimData!$C$9:$C$508)-1)+$T$241</f>
        <v>0.48096192384769582</v>
      </c>
      <c r="U242">
        <f>SMALL(SimData!$D$9:$D$508,241)</f>
        <v>55.693486588783969</v>
      </c>
      <c r="V242">
        <f>1/(COUNT(SimData!$D$9:$D$508)-1)+$V$241</f>
        <v>0.48096192384769582</v>
      </c>
      <c r="W242">
        <f>SMALL(SimData!$E$9:$E$508,241)</f>
        <v>-6.3065134112160308</v>
      </c>
      <c r="X242">
        <f>1/(COUNT(SimData!$E$9:$E$508)-1)+$X$241</f>
        <v>0.48096192384769582</v>
      </c>
    </row>
    <row r="243" spans="1:24">
      <c r="A243">
        <v>235</v>
      </c>
      <c r="B243">
        <v>204.34194219589625</v>
      </c>
      <c r="C243">
        <v>136.34194219589625</v>
      </c>
      <c r="D243">
        <v>51.341942195896252</v>
      </c>
      <c r="E243">
        <v>-10.658057804103748</v>
      </c>
      <c r="Q243">
        <f>SMALL(SimData!$B$9:$B$508,242)</f>
        <v>208.86602468526075</v>
      </c>
      <c r="R243">
        <f>1/(COUNT(SimData!$B$9:$B$508)-1)+$R$242</f>
        <v>0.48296593186372788</v>
      </c>
      <c r="S243">
        <f>SMALL(SimData!$C$9:$C$508,242)</f>
        <v>140.86602468526075</v>
      </c>
      <c r="T243">
        <f>1/(COUNT(SimData!$C$9:$C$508)-1)+$T$242</f>
        <v>0.48296593186372788</v>
      </c>
      <c r="U243">
        <f>SMALL(SimData!$D$9:$D$508,242)</f>
        <v>55.866024685260754</v>
      </c>
      <c r="V243">
        <f>1/(COUNT(SimData!$D$9:$D$508)-1)+$V$242</f>
        <v>0.48296593186372788</v>
      </c>
      <c r="W243">
        <f>SMALL(SimData!$E$9:$E$508,242)</f>
        <v>-6.1339753147392457</v>
      </c>
      <c r="X243">
        <f>1/(COUNT(SimData!$E$9:$E$508)-1)+$X$242</f>
        <v>0.48296593186372788</v>
      </c>
    </row>
    <row r="244" spans="1:24">
      <c r="A244">
        <v>236</v>
      </c>
      <c r="B244">
        <v>239.57274909820495</v>
      </c>
      <c r="C244">
        <v>171.57274909820495</v>
      </c>
      <c r="D244">
        <v>86.572749098204952</v>
      </c>
      <c r="E244">
        <v>24.572749098204952</v>
      </c>
      <c r="Q244">
        <f>SMALL(SimData!$B$9:$B$508,243)</f>
        <v>209.08062335574897</v>
      </c>
      <c r="R244">
        <f>1/(COUNT(SimData!$B$9:$B$508)-1)+$R$243</f>
        <v>0.48496993987975995</v>
      </c>
      <c r="S244">
        <f>SMALL(SimData!$C$9:$C$508,243)</f>
        <v>141.08062335574897</v>
      </c>
      <c r="T244">
        <f>1/(COUNT(SimData!$C$9:$C$508)-1)+$T$243</f>
        <v>0.48496993987975995</v>
      </c>
      <c r="U244">
        <f>SMALL(SimData!$D$9:$D$508,243)</f>
        <v>56.080623355748969</v>
      </c>
      <c r="V244">
        <f>1/(COUNT(SimData!$D$9:$D$508)-1)+$V$243</f>
        <v>0.48496993987975995</v>
      </c>
      <c r="W244">
        <f>SMALL(SimData!$E$9:$E$508,243)</f>
        <v>-5.9193766442510309</v>
      </c>
      <c r="X244">
        <f>1/(COUNT(SimData!$E$9:$E$508)-1)+$X$243</f>
        <v>0.48496993987975995</v>
      </c>
    </row>
    <row r="245" spans="1:24">
      <c r="A245">
        <v>237</v>
      </c>
      <c r="B245">
        <v>212.20073567916569</v>
      </c>
      <c r="C245">
        <v>144.20073567916569</v>
      </c>
      <c r="D245">
        <v>59.200735679165689</v>
      </c>
      <c r="E245">
        <v>-2.7992643208343111</v>
      </c>
      <c r="Q245">
        <f>SMALL(SimData!$B$9:$B$508,244)</f>
        <v>209.088281997737</v>
      </c>
      <c r="R245">
        <f>1/(COUNT(SimData!$B$9:$B$508)-1)+$R$244</f>
        <v>0.48697394789579201</v>
      </c>
      <c r="S245">
        <f>SMALL(SimData!$C$9:$C$508,244)</f>
        <v>141.088281997737</v>
      </c>
      <c r="T245">
        <f>1/(COUNT(SimData!$C$9:$C$508)-1)+$T$244</f>
        <v>0.48697394789579201</v>
      </c>
      <c r="U245">
        <f>SMALL(SimData!$D$9:$D$508,244)</f>
        <v>56.088281997736999</v>
      </c>
      <c r="V245">
        <f>1/(COUNT(SimData!$D$9:$D$508)-1)+$V$244</f>
        <v>0.48697394789579201</v>
      </c>
      <c r="W245">
        <f>SMALL(SimData!$E$9:$E$508,244)</f>
        <v>-5.9117180022630009</v>
      </c>
      <c r="X245">
        <f>1/(COUNT(SimData!$E$9:$E$508)-1)+$X$244</f>
        <v>0.48697394789579201</v>
      </c>
    </row>
    <row r="246" spans="1:24">
      <c r="A246">
        <v>238</v>
      </c>
      <c r="B246">
        <v>205.3539216846504</v>
      </c>
      <c r="C246">
        <v>137.3539216846504</v>
      </c>
      <c r="D246">
        <v>52.353921684650402</v>
      </c>
      <c r="E246">
        <v>-9.6460783153495981</v>
      </c>
      <c r="Q246">
        <f>SMALL(SimData!$B$9:$B$508,245)</f>
        <v>209.41055370357469</v>
      </c>
      <c r="R246">
        <f>1/(COUNT(SimData!$B$9:$B$508)-1)+$R$245</f>
        <v>0.48897795591182408</v>
      </c>
      <c r="S246">
        <f>SMALL(SimData!$C$9:$C$508,245)</f>
        <v>141.41055370357469</v>
      </c>
      <c r="T246">
        <f>1/(COUNT(SimData!$C$9:$C$508)-1)+$T$245</f>
        <v>0.48897795591182408</v>
      </c>
      <c r="U246">
        <f>SMALL(SimData!$D$9:$D$508,245)</f>
        <v>56.410553703574692</v>
      </c>
      <c r="V246">
        <f>1/(COUNT(SimData!$D$9:$D$508)-1)+$V$245</f>
        <v>0.48897795591182408</v>
      </c>
      <c r="W246">
        <f>SMALL(SimData!$E$9:$E$508,245)</f>
        <v>-5.589446296425308</v>
      </c>
      <c r="X246">
        <f>1/(COUNT(SimData!$E$9:$E$508)-1)+$X$245</f>
        <v>0.48897795591182408</v>
      </c>
    </row>
    <row r="247" spans="1:24">
      <c r="A247">
        <v>239</v>
      </c>
      <c r="B247">
        <v>217.69401511897502</v>
      </c>
      <c r="C247">
        <v>149.69401511897502</v>
      </c>
      <c r="D247">
        <v>64.694015118975017</v>
      </c>
      <c r="E247">
        <v>2.6940151189750168</v>
      </c>
      <c r="Q247">
        <f>SMALL(SimData!$B$9:$B$508,246)</f>
        <v>209.61619679694417</v>
      </c>
      <c r="R247">
        <f>1/(COUNT(SimData!$B$9:$B$508)-1)+$R$246</f>
        <v>0.49098196392785615</v>
      </c>
      <c r="S247">
        <f>SMALL(SimData!$C$9:$C$508,246)</f>
        <v>141.61619679694417</v>
      </c>
      <c r="T247">
        <f>1/(COUNT(SimData!$C$9:$C$508)-1)+$T$246</f>
        <v>0.49098196392785615</v>
      </c>
      <c r="U247">
        <f>SMALL(SimData!$D$9:$D$508,246)</f>
        <v>56.616196796944166</v>
      </c>
      <c r="V247">
        <f>1/(COUNT(SimData!$D$9:$D$508)-1)+$V$246</f>
        <v>0.49098196392785615</v>
      </c>
      <c r="W247">
        <f>SMALL(SimData!$E$9:$E$508,246)</f>
        <v>-5.3838032030558338</v>
      </c>
      <c r="X247">
        <f>1/(COUNT(SimData!$E$9:$E$508)-1)+$X$246</f>
        <v>0.49098196392785615</v>
      </c>
    </row>
    <row r="248" spans="1:24">
      <c r="A248">
        <v>240</v>
      </c>
      <c r="B248">
        <v>253.45161974382887</v>
      </c>
      <c r="C248">
        <v>185.45161974382887</v>
      </c>
      <c r="D248">
        <v>100.45161974382887</v>
      </c>
      <c r="E248">
        <v>38.451619743828871</v>
      </c>
      <c r="Q248">
        <f>SMALL(SimData!$B$9:$B$508,247)</f>
        <v>209.80260958052412</v>
      </c>
      <c r="R248">
        <f>1/(COUNT(SimData!$B$9:$B$508)-1)+$R$247</f>
        <v>0.49298597194388821</v>
      </c>
      <c r="S248">
        <f>SMALL(SimData!$C$9:$C$508,247)</f>
        <v>141.80260958052412</v>
      </c>
      <c r="T248">
        <f>1/(COUNT(SimData!$C$9:$C$508)-1)+$T$247</f>
        <v>0.49298597194388821</v>
      </c>
      <c r="U248">
        <f>SMALL(SimData!$D$9:$D$508,247)</f>
        <v>56.80260958052412</v>
      </c>
      <c r="V248">
        <f>1/(COUNT(SimData!$D$9:$D$508)-1)+$V$247</f>
        <v>0.49298597194388821</v>
      </c>
      <c r="W248">
        <f>SMALL(SimData!$E$9:$E$508,247)</f>
        <v>-5.1973904194758802</v>
      </c>
      <c r="X248">
        <f>1/(COUNT(SimData!$E$9:$E$508)-1)+$X$247</f>
        <v>0.49298597194388821</v>
      </c>
    </row>
    <row r="249" spans="1:24">
      <c r="A249">
        <v>241</v>
      </c>
      <c r="B249">
        <v>205.95350019550892</v>
      </c>
      <c r="C249">
        <v>137.95350019550892</v>
      </c>
      <c r="D249">
        <v>52.953500195508923</v>
      </c>
      <c r="E249">
        <v>-9.0464998044910772</v>
      </c>
      <c r="Q249">
        <f>SMALL(SimData!$B$9:$B$508,248)</f>
        <v>209.80781966458522</v>
      </c>
      <c r="R249">
        <f>1/(COUNT(SimData!$B$9:$B$508)-1)+$R$248</f>
        <v>0.49498997995992028</v>
      </c>
      <c r="S249">
        <f>SMALL(SimData!$C$9:$C$508,248)</f>
        <v>141.80781966458522</v>
      </c>
      <c r="T249">
        <f>1/(COUNT(SimData!$C$9:$C$508)-1)+$T$248</f>
        <v>0.49498997995992028</v>
      </c>
      <c r="U249">
        <f>SMALL(SimData!$D$9:$D$508,248)</f>
        <v>56.807819664585224</v>
      </c>
      <c r="V249">
        <f>1/(COUNT(SimData!$D$9:$D$508)-1)+$V$248</f>
        <v>0.49498997995992028</v>
      </c>
      <c r="W249">
        <f>SMALL(SimData!$E$9:$E$508,248)</f>
        <v>-5.1921803354147755</v>
      </c>
      <c r="X249">
        <f>1/(COUNT(SimData!$E$9:$E$508)-1)+$X$248</f>
        <v>0.49498997995992028</v>
      </c>
    </row>
    <row r="250" spans="1:24">
      <c r="A250">
        <v>242</v>
      </c>
      <c r="B250">
        <v>186.44869379227168</v>
      </c>
      <c r="C250">
        <v>118.44869379227168</v>
      </c>
      <c r="D250">
        <v>33.448693792271683</v>
      </c>
      <c r="E250">
        <v>-28.551306207728317</v>
      </c>
      <c r="Q250">
        <f>SMALL(SimData!$B$9:$B$508,249)</f>
        <v>210.06905096885373</v>
      </c>
      <c r="R250">
        <f>1/(COUNT(SimData!$B$9:$B$508)-1)+$R$249</f>
        <v>0.49699398797595234</v>
      </c>
      <c r="S250">
        <f>SMALL(SimData!$C$9:$C$508,249)</f>
        <v>142.06905096885373</v>
      </c>
      <c r="T250">
        <f>1/(COUNT(SimData!$C$9:$C$508)-1)+$T$249</f>
        <v>0.49699398797595234</v>
      </c>
      <c r="U250">
        <f>SMALL(SimData!$D$9:$D$508,249)</f>
        <v>57.06905096885373</v>
      </c>
      <c r="V250">
        <f>1/(COUNT(SimData!$D$9:$D$508)-1)+$V$249</f>
        <v>0.49699398797595234</v>
      </c>
      <c r="W250">
        <f>SMALL(SimData!$E$9:$E$508,249)</f>
        <v>-4.9309490311462696</v>
      </c>
      <c r="X250">
        <f>1/(COUNT(SimData!$E$9:$E$508)-1)+$X$249</f>
        <v>0.49699398797595234</v>
      </c>
    </row>
    <row r="251" spans="1:24">
      <c r="A251">
        <v>243</v>
      </c>
      <c r="B251">
        <v>256.20315422260103</v>
      </c>
      <c r="C251">
        <v>188.20315422260103</v>
      </c>
      <c r="D251">
        <v>103.20315422260103</v>
      </c>
      <c r="E251">
        <v>41.203154222601029</v>
      </c>
      <c r="Q251">
        <f>SMALL(SimData!$B$9:$B$508,250)</f>
        <v>210.24138212314358</v>
      </c>
      <c r="R251">
        <f>1/(COUNT(SimData!$B$9:$B$508)-1)+$R$250</f>
        <v>0.49899799599198441</v>
      </c>
      <c r="S251">
        <f>SMALL(SimData!$C$9:$C$508,250)</f>
        <v>142.24138212314358</v>
      </c>
      <c r="T251">
        <f>1/(COUNT(SimData!$C$9:$C$508)-1)+$T$250</f>
        <v>0.49899799599198441</v>
      </c>
      <c r="U251">
        <f>SMALL(SimData!$D$9:$D$508,250)</f>
        <v>57.24138212314358</v>
      </c>
      <c r="V251">
        <f>1/(COUNT(SimData!$D$9:$D$508)-1)+$V$250</f>
        <v>0.49899799599198441</v>
      </c>
      <c r="W251">
        <f>SMALL(SimData!$E$9:$E$508,250)</f>
        <v>-4.7586178768564196</v>
      </c>
      <c r="X251">
        <f>1/(COUNT(SimData!$E$9:$E$508)-1)+$X$250</f>
        <v>0.49899799599198441</v>
      </c>
    </row>
    <row r="252" spans="1:24">
      <c r="A252">
        <v>244</v>
      </c>
      <c r="B252">
        <v>245.14242018362796</v>
      </c>
      <c r="C252">
        <v>177.14242018362796</v>
      </c>
      <c r="D252">
        <v>92.142420183627962</v>
      </c>
      <c r="E252">
        <v>30.142420183627962</v>
      </c>
      <c r="Q252">
        <f>SMALL(SimData!$B$9:$B$508,251)</f>
        <v>210.41674071278049</v>
      </c>
      <c r="R252">
        <f>1/(COUNT(SimData!$B$9:$B$508)-1)+$R$251</f>
        <v>0.50100200400801642</v>
      </c>
      <c r="S252">
        <f>SMALL(SimData!$C$9:$C$508,251)</f>
        <v>142.41674071278049</v>
      </c>
      <c r="T252">
        <f>1/(COUNT(SimData!$C$9:$C$508)-1)+$T$251</f>
        <v>0.50100200400801642</v>
      </c>
      <c r="U252">
        <f>SMALL(SimData!$D$9:$D$508,251)</f>
        <v>57.416740712780495</v>
      </c>
      <c r="V252">
        <f>1/(COUNT(SimData!$D$9:$D$508)-1)+$V$251</f>
        <v>0.50100200400801642</v>
      </c>
      <c r="W252">
        <f>SMALL(SimData!$E$9:$E$508,251)</f>
        <v>-4.583259287219505</v>
      </c>
      <c r="X252">
        <f>1/(COUNT(SimData!$E$9:$E$508)-1)+$X$251</f>
        <v>0.50100200400801642</v>
      </c>
    </row>
    <row r="253" spans="1:24">
      <c r="A253">
        <v>245</v>
      </c>
      <c r="B253">
        <v>191.32522761440873</v>
      </c>
      <c r="C253">
        <v>123.32522761440873</v>
      </c>
      <c r="D253">
        <v>38.325227614408732</v>
      </c>
      <c r="E253">
        <v>-23.674772385591268</v>
      </c>
      <c r="Q253">
        <f>SMALL(SimData!$B$9:$B$508,252)</f>
        <v>210.86228163805811</v>
      </c>
      <c r="R253">
        <f>1/(COUNT(SimData!$B$9:$B$508)-1)+$R$252</f>
        <v>0.50300601202404849</v>
      </c>
      <c r="S253">
        <f>SMALL(SimData!$C$9:$C$508,252)</f>
        <v>142.86228163805811</v>
      </c>
      <c r="T253">
        <f>1/(COUNT(SimData!$C$9:$C$508)-1)+$T$252</f>
        <v>0.50300601202404849</v>
      </c>
      <c r="U253">
        <f>SMALL(SimData!$D$9:$D$508,252)</f>
        <v>57.862281638058107</v>
      </c>
      <c r="V253">
        <f>1/(COUNT(SimData!$D$9:$D$508)-1)+$V$252</f>
        <v>0.50300601202404849</v>
      </c>
      <c r="W253">
        <f>SMALL(SimData!$E$9:$E$508,252)</f>
        <v>-4.1377183619418929</v>
      </c>
      <c r="X253">
        <f>1/(COUNT(SimData!$E$9:$E$508)-1)+$X$252</f>
        <v>0.50300601202404849</v>
      </c>
    </row>
    <row r="254" spans="1:24">
      <c r="A254">
        <v>246</v>
      </c>
      <c r="B254">
        <v>187.00333822539807</v>
      </c>
      <c r="C254">
        <v>119.00333822539807</v>
      </c>
      <c r="D254">
        <v>34.003338225398068</v>
      </c>
      <c r="E254">
        <v>-27.996661774601932</v>
      </c>
      <c r="Q254">
        <f>SMALL(SimData!$B$9:$B$508,253)</f>
        <v>211.05064941416833</v>
      </c>
      <c r="R254">
        <f>1/(COUNT(SimData!$B$9:$B$508)-1)+$R$253</f>
        <v>0.50501002004008055</v>
      </c>
      <c r="S254">
        <f>SMALL(SimData!$C$9:$C$508,253)</f>
        <v>143.05064941416833</v>
      </c>
      <c r="T254">
        <f>1/(COUNT(SimData!$C$9:$C$508)-1)+$T$253</f>
        <v>0.50501002004008055</v>
      </c>
      <c r="U254">
        <f>SMALL(SimData!$D$9:$D$508,253)</f>
        <v>58.050649414168333</v>
      </c>
      <c r="V254">
        <f>1/(COUNT(SimData!$D$9:$D$508)-1)+$V$253</f>
        <v>0.50501002004008055</v>
      </c>
      <c r="W254">
        <f>SMALL(SimData!$E$9:$E$508,253)</f>
        <v>-3.9493505858316666</v>
      </c>
      <c r="X254">
        <f>1/(COUNT(SimData!$E$9:$E$508)-1)+$X$253</f>
        <v>0.50501002004008055</v>
      </c>
    </row>
    <row r="255" spans="1:24">
      <c r="A255">
        <v>247</v>
      </c>
      <c r="B255">
        <v>283.9387800930777</v>
      </c>
      <c r="C255">
        <v>215.9387800930777</v>
      </c>
      <c r="D255">
        <v>130.9387800930777</v>
      </c>
      <c r="E255">
        <v>68.938780093077696</v>
      </c>
      <c r="Q255">
        <f>SMALL(SimData!$B$9:$B$508,254)</f>
        <v>211.19523456183811</v>
      </c>
      <c r="R255">
        <f>1/(COUNT(SimData!$B$9:$B$508)-1)+$R$254</f>
        <v>0.50701402805611262</v>
      </c>
      <c r="S255">
        <f>SMALL(SimData!$C$9:$C$508,254)</f>
        <v>143.19523456183811</v>
      </c>
      <c r="T255">
        <f>1/(COUNT(SimData!$C$9:$C$508)-1)+$T$254</f>
        <v>0.50701402805611262</v>
      </c>
      <c r="U255">
        <f>SMALL(SimData!$D$9:$D$508,254)</f>
        <v>58.195234561838106</v>
      </c>
      <c r="V255">
        <f>1/(COUNT(SimData!$D$9:$D$508)-1)+$V$254</f>
        <v>0.50701402805611262</v>
      </c>
      <c r="W255">
        <f>SMALL(SimData!$E$9:$E$508,254)</f>
        <v>-3.8047654381618941</v>
      </c>
      <c r="X255">
        <f>1/(COUNT(SimData!$E$9:$E$508)-1)+$X$254</f>
        <v>0.50701402805611262</v>
      </c>
    </row>
    <row r="256" spans="1:24">
      <c r="A256">
        <v>248</v>
      </c>
      <c r="B256">
        <v>155.32363983553961</v>
      </c>
      <c r="C256">
        <v>87.323639835539609</v>
      </c>
      <c r="D256">
        <v>2.3236398355396091</v>
      </c>
      <c r="E256">
        <v>-59.676360164460391</v>
      </c>
      <c r="Q256">
        <f>SMALL(SimData!$B$9:$B$508,255)</f>
        <v>211.52225327468625</v>
      </c>
      <c r="R256">
        <f>1/(COUNT(SimData!$B$9:$B$508)-1)+$R$255</f>
        <v>0.50901803607214469</v>
      </c>
      <c r="S256">
        <f>SMALL(SimData!$C$9:$C$508,255)</f>
        <v>143.52225327468625</v>
      </c>
      <c r="T256">
        <f>1/(COUNT(SimData!$C$9:$C$508)-1)+$T$255</f>
        <v>0.50901803607214469</v>
      </c>
      <c r="U256">
        <f>SMALL(SimData!$D$9:$D$508,255)</f>
        <v>58.52225327468625</v>
      </c>
      <c r="V256">
        <f>1/(COUNT(SimData!$D$9:$D$508)-1)+$V$255</f>
        <v>0.50901803607214469</v>
      </c>
      <c r="W256">
        <f>SMALL(SimData!$E$9:$E$508,255)</f>
        <v>-3.4777467253137502</v>
      </c>
      <c r="X256">
        <f>1/(COUNT(SimData!$E$9:$E$508)-1)+$X$255</f>
        <v>0.50901803607214469</v>
      </c>
    </row>
    <row r="257" spans="1:24">
      <c r="A257">
        <v>249</v>
      </c>
      <c r="B257">
        <v>170.82854979045067</v>
      </c>
      <c r="C257">
        <v>102.82854979045067</v>
      </c>
      <c r="D257">
        <v>17.828549790450666</v>
      </c>
      <c r="E257">
        <v>-44.171450209549334</v>
      </c>
      <c r="Q257">
        <f>SMALL(SimData!$B$9:$B$508,256)</f>
        <v>211.65742977895468</v>
      </c>
      <c r="R257">
        <f>1/(COUNT(SimData!$B$9:$B$508)-1)+$R$256</f>
        <v>0.51102204408817675</v>
      </c>
      <c r="S257">
        <f>SMALL(SimData!$C$9:$C$508,256)</f>
        <v>143.65742977895468</v>
      </c>
      <c r="T257">
        <f>1/(COUNT(SimData!$C$9:$C$508)-1)+$T$256</f>
        <v>0.51102204408817675</v>
      </c>
      <c r="U257">
        <f>SMALL(SimData!$D$9:$D$508,256)</f>
        <v>58.657429778954679</v>
      </c>
      <c r="V257">
        <f>1/(COUNT(SimData!$D$9:$D$508)-1)+$V$256</f>
        <v>0.51102204408817675</v>
      </c>
      <c r="W257">
        <f>SMALL(SimData!$E$9:$E$508,256)</f>
        <v>-3.342570221045321</v>
      </c>
      <c r="X257">
        <f>1/(COUNT(SimData!$E$9:$E$508)-1)+$X$256</f>
        <v>0.51102204408817675</v>
      </c>
    </row>
    <row r="258" spans="1:24">
      <c r="A258">
        <v>250</v>
      </c>
      <c r="B258">
        <v>253.09076776406221</v>
      </c>
      <c r="C258">
        <v>185.09076776406221</v>
      </c>
      <c r="D258">
        <v>100.09076776406221</v>
      </c>
      <c r="E258">
        <v>38.090767764062207</v>
      </c>
      <c r="Q258">
        <f>SMALL(SimData!$B$9:$B$508,257)</f>
        <v>211.67025472597805</v>
      </c>
      <c r="R258">
        <f>1/(COUNT(SimData!$B$9:$B$508)-1)+$R$257</f>
        <v>0.51302605210420882</v>
      </c>
      <c r="S258">
        <f>SMALL(SimData!$C$9:$C$508,257)</f>
        <v>143.67025472597805</v>
      </c>
      <c r="T258">
        <f>1/(COUNT(SimData!$C$9:$C$508)-1)+$T$257</f>
        <v>0.51302605210420882</v>
      </c>
      <c r="U258">
        <f>SMALL(SimData!$D$9:$D$508,257)</f>
        <v>58.670254725978054</v>
      </c>
      <c r="V258">
        <f>1/(COUNT(SimData!$D$9:$D$508)-1)+$V$257</f>
        <v>0.51302605210420882</v>
      </c>
      <c r="W258">
        <f>SMALL(SimData!$E$9:$E$508,257)</f>
        <v>-3.3297452740219455</v>
      </c>
      <c r="X258">
        <f>1/(COUNT(SimData!$E$9:$E$508)-1)+$X$257</f>
        <v>0.51302605210420882</v>
      </c>
    </row>
    <row r="259" spans="1:24">
      <c r="A259">
        <v>251</v>
      </c>
      <c r="B259">
        <v>260.310678268191</v>
      </c>
      <c r="C259">
        <v>192.310678268191</v>
      </c>
      <c r="D259">
        <v>107.310678268191</v>
      </c>
      <c r="E259">
        <v>45.310678268190998</v>
      </c>
      <c r="Q259">
        <f>SMALL(SimData!$B$9:$B$508,258)</f>
        <v>211.75523185618169</v>
      </c>
      <c r="R259">
        <f>1/(COUNT(SimData!$B$9:$B$508)-1)+$R$258</f>
        <v>0.51503006012024088</v>
      </c>
      <c r="S259">
        <f>SMALL(SimData!$C$9:$C$508,258)</f>
        <v>143.75523185618169</v>
      </c>
      <c r="T259">
        <f>1/(COUNT(SimData!$C$9:$C$508)-1)+$T$258</f>
        <v>0.51503006012024088</v>
      </c>
      <c r="U259">
        <f>SMALL(SimData!$D$9:$D$508,258)</f>
        <v>58.755231856181695</v>
      </c>
      <c r="V259">
        <f>1/(COUNT(SimData!$D$9:$D$508)-1)+$V$258</f>
        <v>0.51503006012024088</v>
      </c>
      <c r="W259">
        <f>SMALL(SimData!$E$9:$E$508,258)</f>
        <v>-3.2447681438183054</v>
      </c>
      <c r="X259">
        <f>1/(COUNT(SimData!$E$9:$E$508)-1)+$X$258</f>
        <v>0.51503006012024088</v>
      </c>
    </row>
    <row r="260" spans="1:24">
      <c r="A260">
        <v>252</v>
      </c>
      <c r="B260">
        <v>134.72531131744688</v>
      </c>
      <c r="C260">
        <v>66.725311317446881</v>
      </c>
      <c r="D260">
        <v>-18.274688682553119</v>
      </c>
      <c r="E260">
        <v>-80.274688682553119</v>
      </c>
      <c r="Q260">
        <f>SMALL(SimData!$B$9:$B$508,259)</f>
        <v>211.83768282753402</v>
      </c>
      <c r="R260">
        <f>1/(COUNT(SimData!$B$9:$B$508)-1)+$R$259</f>
        <v>0.51703406813627295</v>
      </c>
      <c r="S260">
        <f>SMALL(SimData!$C$9:$C$508,259)</f>
        <v>143.83768282753402</v>
      </c>
      <c r="T260">
        <f>1/(COUNT(SimData!$C$9:$C$508)-1)+$T$259</f>
        <v>0.51703406813627295</v>
      </c>
      <c r="U260">
        <f>SMALL(SimData!$D$9:$D$508,259)</f>
        <v>58.837682827534024</v>
      </c>
      <c r="V260">
        <f>1/(COUNT(SimData!$D$9:$D$508)-1)+$V$259</f>
        <v>0.51703406813627295</v>
      </c>
      <c r="W260">
        <f>SMALL(SimData!$E$9:$E$508,259)</f>
        <v>-3.1623171724659755</v>
      </c>
      <c r="X260">
        <f>1/(COUNT(SimData!$E$9:$E$508)-1)+$X$259</f>
        <v>0.51703406813627295</v>
      </c>
    </row>
    <row r="261" spans="1:24">
      <c r="A261">
        <v>253</v>
      </c>
      <c r="B261">
        <v>265.26474352769327</v>
      </c>
      <c r="C261">
        <v>197.26474352769327</v>
      </c>
      <c r="D261">
        <v>112.26474352769327</v>
      </c>
      <c r="E261">
        <v>50.26474352769327</v>
      </c>
      <c r="Q261">
        <f>SMALL(SimData!$B$9:$B$508,260)</f>
        <v>211.9298102542266</v>
      </c>
      <c r="R261">
        <f>1/(COUNT(SimData!$B$9:$B$508)-1)+$R$260</f>
        <v>0.51903807615230502</v>
      </c>
      <c r="S261">
        <f>SMALL(SimData!$C$9:$C$508,260)</f>
        <v>143.9298102542266</v>
      </c>
      <c r="T261">
        <f>1/(COUNT(SimData!$C$9:$C$508)-1)+$T$260</f>
        <v>0.51903807615230502</v>
      </c>
      <c r="U261">
        <f>SMALL(SimData!$D$9:$D$508,260)</f>
        <v>58.929810254226595</v>
      </c>
      <c r="V261">
        <f>1/(COUNT(SimData!$D$9:$D$508)-1)+$V$260</f>
        <v>0.51903807615230502</v>
      </c>
      <c r="W261">
        <f>SMALL(SimData!$E$9:$E$508,260)</f>
        <v>-3.0701897457734049</v>
      </c>
      <c r="X261">
        <f>1/(COUNT(SimData!$E$9:$E$508)-1)+$X$260</f>
        <v>0.51903807615230502</v>
      </c>
    </row>
    <row r="262" spans="1:24">
      <c r="A262">
        <v>254</v>
      </c>
      <c r="B262">
        <v>279.01464249419098</v>
      </c>
      <c r="C262">
        <v>211.01464249419098</v>
      </c>
      <c r="D262">
        <v>126.01464249419098</v>
      </c>
      <c r="E262">
        <v>64.01464249419098</v>
      </c>
      <c r="Q262">
        <f>SMALL(SimData!$B$9:$B$508,261)</f>
        <v>212.11711809214222</v>
      </c>
      <c r="R262">
        <f>1/(COUNT(SimData!$B$9:$B$508)-1)+$R$261</f>
        <v>0.52104208416833708</v>
      </c>
      <c r="S262">
        <f>SMALL(SimData!$C$9:$C$508,261)</f>
        <v>144.11711809214222</v>
      </c>
      <c r="T262">
        <f>1/(COUNT(SimData!$C$9:$C$508)-1)+$T$261</f>
        <v>0.52104208416833708</v>
      </c>
      <c r="U262">
        <f>SMALL(SimData!$D$9:$D$508,261)</f>
        <v>59.117118092142221</v>
      </c>
      <c r="V262">
        <f>1/(COUNT(SimData!$D$9:$D$508)-1)+$V$261</f>
        <v>0.52104208416833708</v>
      </c>
      <c r="W262">
        <f>SMALL(SimData!$E$9:$E$508,261)</f>
        <v>-2.8828819078577794</v>
      </c>
      <c r="X262">
        <f>1/(COUNT(SimData!$E$9:$E$508)-1)+$X$261</f>
        <v>0.52104208416833708</v>
      </c>
    </row>
    <row r="263" spans="1:24">
      <c r="A263">
        <v>255</v>
      </c>
      <c r="B263">
        <v>204.77121236161793</v>
      </c>
      <c r="C263">
        <v>136.77121236161793</v>
      </c>
      <c r="D263">
        <v>51.771212361617927</v>
      </c>
      <c r="E263">
        <v>-10.228787638382073</v>
      </c>
      <c r="Q263">
        <f>SMALL(SimData!$B$9:$B$508,262)</f>
        <v>212.20073567916569</v>
      </c>
      <c r="R263">
        <f>1/(COUNT(SimData!$B$9:$B$508)-1)+$R$262</f>
        <v>0.52304609218436915</v>
      </c>
      <c r="S263">
        <f>SMALL(SimData!$C$9:$C$508,262)</f>
        <v>144.20073567916569</v>
      </c>
      <c r="T263">
        <f>1/(COUNT(SimData!$C$9:$C$508)-1)+$T$262</f>
        <v>0.52304609218436915</v>
      </c>
      <c r="U263">
        <f>SMALL(SimData!$D$9:$D$508,262)</f>
        <v>59.200735679165689</v>
      </c>
      <c r="V263">
        <f>1/(COUNT(SimData!$D$9:$D$508)-1)+$V$262</f>
        <v>0.52304609218436915</v>
      </c>
      <c r="W263">
        <f>SMALL(SimData!$E$9:$E$508,262)</f>
        <v>-2.7992643208343111</v>
      </c>
      <c r="X263">
        <f>1/(COUNT(SimData!$E$9:$E$508)-1)+$X$262</f>
        <v>0.52304609218436915</v>
      </c>
    </row>
    <row r="264" spans="1:24">
      <c r="A264">
        <v>256</v>
      </c>
      <c r="B264">
        <v>144.93593901850824</v>
      </c>
      <c r="C264">
        <v>76.935939018508236</v>
      </c>
      <c r="D264">
        <v>-8.0640609814917639</v>
      </c>
      <c r="E264">
        <v>-70.064060981491764</v>
      </c>
      <c r="Q264">
        <f>SMALL(SimData!$B$9:$B$508,263)</f>
        <v>212.27894676566393</v>
      </c>
      <c r="R264">
        <f>1/(COUNT(SimData!$B$9:$B$508)-1)+$R$263</f>
        <v>0.52505010020040122</v>
      </c>
      <c r="S264">
        <f>SMALL(SimData!$C$9:$C$508,263)</f>
        <v>144.27894676566393</v>
      </c>
      <c r="T264">
        <f>1/(COUNT(SimData!$C$9:$C$508)-1)+$T$263</f>
        <v>0.52505010020040122</v>
      </c>
      <c r="U264">
        <f>SMALL(SimData!$D$9:$D$508,263)</f>
        <v>59.278946765663932</v>
      </c>
      <c r="V264">
        <f>1/(COUNT(SimData!$D$9:$D$508)-1)+$V$263</f>
        <v>0.52505010020040122</v>
      </c>
      <c r="W264">
        <f>SMALL(SimData!$E$9:$E$508,263)</f>
        <v>-2.7210532343360683</v>
      </c>
      <c r="X264">
        <f>1/(COUNT(SimData!$E$9:$E$508)-1)+$X$263</f>
        <v>0.52505010020040122</v>
      </c>
    </row>
    <row r="265" spans="1:24">
      <c r="A265">
        <v>257</v>
      </c>
      <c r="B265">
        <v>277.53107884676314</v>
      </c>
      <c r="C265">
        <v>209.53107884676314</v>
      </c>
      <c r="D265">
        <v>124.53107884676314</v>
      </c>
      <c r="E265">
        <v>62.531078846763137</v>
      </c>
      <c r="Q265">
        <f>SMALL(SimData!$B$9:$B$508,264)</f>
        <v>212.32317833651211</v>
      </c>
      <c r="R265">
        <f>1/(COUNT(SimData!$B$9:$B$508)-1)+$R$264</f>
        <v>0.52705410821643328</v>
      </c>
      <c r="S265">
        <f>SMALL(SimData!$C$9:$C$508,264)</f>
        <v>144.32317833651211</v>
      </c>
      <c r="T265">
        <f>1/(COUNT(SimData!$C$9:$C$508)-1)+$T$264</f>
        <v>0.52705410821643328</v>
      </c>
      <c r="U265">
        <f>SMALL(SimData!$D$9:$D$508,264)</f>
        <v>59.323178336512115</v>
      </c>
      <c r="V265">
        <f>1/(COUNT(SimData!$D$9:$D$508)-1)+$V$264</f>
        <v>0.52705410821643328</v>
      </c>
      <c r="W265">
        <f>SMALL(SimData!$E$9:$E$508,264)</f>
        <v>-2.6768216634878854</v>
      </c>
      <c r="X265">
        <f>1/(COUNT(SimData!$E$9:$E$508)-1)+$X$264</f>
        <v>0.52705410821643328</v>
      </c>
    </row>
    <row r="266" spans="1:24">
      <c r="A266">
        <v>258</v>
      </c>
      <c r="B266">
        <v>276.5120076128548</v>
      </c>
      <c r="C266">
        <v>208.5120076128548</v>
      </c>
      <c r="D266">
        <v>123.5120076128548</v>
      </c>
      <c r="E266">
        <v>61.512007612854802</v>
      </c>
      <c r="Q266">
        <f>SMALL(SimData!$B$9:$B$508,265)</f>
        <v>212.36401057575404</v>
      </c>
      <c r="R266">
        <f>1/(COUNT(SimData!$B$9:$B$508)-1)+$R$265</f>
        <v>0.52905811623246535</v>
      </c>
      <c r="S266">
        <f>SMALL(SimData!$C$9:$C$508,265)</f>
        <v>144.36401057575404</v>
      </c>
      <c r="T266">
        <f>1/(COUNT(SimData!$C$9:$C$508)-1)+$T$265</f>
        <v>0.52905811623246535</v>
      </c>
      <c r="U266">
        <f>SMALL(SimData!$D$9:$D$508,265)</f>
        <v>59.364010575754037</v>
      </c>
      <c r="V266">
        <f>1/(COUNT(SimData!$D$9:$D$508)-1)+$V$265</f>
        <v>0.52905811623246535</v>
      </c>
      <c r="W266">
        <f>SMALL(SimData!$E$9:$E$508,265)</f>
        <v>-2.6359894242459632</v>
      </c>
      <c r="X266">
        <f>1/(COUNT(SimData!$E$9:$E$508)-1)+$X$265</f>
        <v>0.52905811623246535</v>
      </c>
    </row>
    <row r="267" spans="1:24">
      <c r="A267">
        <v>259</v>
      </c>
      <c r="B267">
        <v>226.57998497724765</v>
      </c>
      <c r="C267">
        <v>158.57998497724765</v>
      </c>
      <c r="D267">
        <v>73.579984977247648</v>
      </c>
      <c r="E267">
        <v>11.579984977247648</v>
      </c>
      <c r="Q267">
        <f>SMALL(SimData!$B$9:$B$508,266)</f>
        <v>212.44707848239273</v>
      </c>
      <c r="R267">
        <f>1/(COUNT(SimData!$B$9:$B$508)-1)+$R$266</f>
        <v>0.53106212424849741</v>
      </c>
      <c r="S267">
        <f>SMALL(SimData!$C$9:$C$508,266)</f>
        <v>144.44707848239273</v>
      </c>
      <c r="T267">
        <f>1/(COUNT(SimData!$C$9:$C$508)-1)+$T$266</f>
        <v>0.53106212424849741</v>
      </c>
      <c r="U267">
        <f>SMALL(SimData!$D$9:$D$508,266)</f>
        <v>59.447078482392726</v>
      </c>
      <c r="V267">
        <f>1/(COUNT(SimData!$D$9:$D$508)-1)+$V$266</f>
        <v>0.53106212424849741</v>
      </c>
      <c r="W267">
        <f>SMALL(SimData!$E$9:$E$508,266)</f>
        <v>-2.5529215176072739</v>
      </c>
      <c r="X267">
        <f>1/(COUNT(SimData!$E$9:$E$508)-1)+$X$266</f>
        <v>0.53106212424849741</v>
      </c>
    </row>
    <row r="268" spans="1:24">
      <c r="A268">
        <v>260</v>
      </c>
      <c r="B268">
        <v>218.47022469258201</v>
      </c>
      <c r="C268">
        <v>150.47022469258201</v>
      </c>
      <c r="D268">
        <v>65.470224692582008</v>
      </c>
      <c r="E268">
        <v>3.4702246925820077</v>
      </c>
      <c r="Q268">
        <f>SMALL(SimData!$B$9:$B$508,267)</f>
        <v>212.76927694203516</v>
      </c>
      <c r="R268">
        <f>1/(COUNT(SimData!$B$9:$B$508)-1)+$R$267</f>
        <v>0.53306613226452948</v>
      </c>
      <c r="S268">
        <f>SMALL(SimData!$C$9:$C$508,267)</f>
        <v>144.76927694203516</v>
      </c>
      <c r="T268">
        <f>1/(COUNT(SimData!$C$9:$C$508)-1)+$T$267</f>
        <v>0.53306613226452948</v>
      </c>
      <c r="U268">
        <f>SMALL(SimData!$D$9:$D$508,267)</f>
        <v>59.769276942035162</v>
      </c>
      <c r="V268">
        <f>1/(COUNT(SimData!$D$9:$D$508)-1)+$V$267</f>
        <v>0.53306613226452948</v>
      </c>
      <c r="W268">
        <f>SMALL(SimData!$E$9:$E$508,267)</f>
        <v>-2.2307230579648376</v>
      </c>
      <c r="X268">
        <f>1/(COUNT(SimData!$E$9:$E$508)-1)+$X$267</f>
        <v>0.53306613226452948</v>
      </c>
    </row>
    <row r="269" spans="1:24">
      <c r="A269">
        <v>261</v>
      </c>
      <c r="B269">
        <v>210.24138212314358</v>
      </c>
      <c r="C269">
        <v>142.24138212314358</v>
      </c>
      <c r="D269">
        <v>57.24138212314358</v>
      </c>
      <c r="E269">
        <v>-4.7586178768564196</v>
      </c>
      <c r="Q269">
        <f>SMALL(SimData!$B$9:$B$508,268)</f>
        <v>212.79013843708776</v>
      </c>
      <c r="R269">
        <f>1/(COUNT(SimData!$B$9:$B$508)-1)+$R$268</f>
        <v>0.53507014028056155</v>
      </c>
      <c r="S269">
        <f>SMALL(SimData!$C$9:$C$508,268)</f>
        <v>144.79013843708776</v>
      </c>
      <c r="T269">
        <f>1/(COUNT(SimData!$C$9:$C$508)-1)+$T$268</f>
        <v>0.53507014028056155</v>
      </c>
      <c r="U269">
        <f>SMALL(SimData!$D$9:$D$508,268)</f>
        <v>59.790138437087762</v>
      </c>
      <c r="V269">
        <f>1/(COUNT(SimData!$D$9:$D$508)-1)+$V$268</f>
        <v>0.53507014028056155</v>
      </c>
      <c r="W269">
        <f>SMALL(SimData!$E$9:$E$508,268)</f>
        <v>-2.2098615629122378</v>
      </c>
      <c r="X269">
        <f>1/(COUNT(SimData!$E$9:$E$508)-1)+$X$268</f>
        <v>0.53507014028056155</v>
      </c>
    </row>
    <row r="270" spans="1:24">
      <c r="A270">
        <v>262</v>
      </c>
      <c r="B270">
        <v>254.89371909191163</v>
      </c>
      <c r="C270">
        <v>186.89371909191163</v>
      </c>
      <c r="D270">
        <v>101.89371909191163</v>
      </c>
      <c r="E270">
        <v>39.893719091911635</v>
      </c>
      <c r="Q270">
        <f>SMALL(SimData!$B$9:$B$508,269)</f>
        <v>213.53137618397346</v>
      </c>
      <c r="R270">
        <f>1/(COUNT(SimData!$B$9:$B$508)-1)+$R$269</f>
        <v>0.53707414829659361</v>
      </c>
      <c r="S270">
        <f>SMALL(SimData!$C$9:$C$508,269)</f>
        <v>145.53137618397346</v>
      </c>
      <c r="T270">
        <f>1/(COUNT(SimData!$C$9:$C$508)-1)+$T$269</f>
        <v>0.53707414829659361</v>
      </c>
      <c r="U270">
        <f>SMALL(SimData!$D$9:$D$508,269)</f>
        <v>60.531376183973464</v>
      </c>
      <c r="V270">
        <f>1/(COUNT(SimData!$D$9:$D$508)-1)+$V$269</f>
        <v>0.53707414829659361</v>
      </c>
      <c r="W270">
        <f>SMALL(SimData!$E$9:$E$508,269)</f>
        <v>-1.4686238160265361</v>
      </c>
      <c r="X270">
        <f>1/(COUNT(SimData!$E$9:$E$508)-1)+$X$269</f>
        <v>0.53707414829659361</v>
      </c>
    </row>
    <row r="271" spans="1:24">
      <c r="A271">
        <v>263</v>
      </c>
      <c r="B271">
        <v>307.76343005304273</v>
      </c>
      <c r="C271">
        <v>239.76343005304273</v>
      </c>
      <c r="D271">
        <v>154.76343005304273</v>
      </c>
      <c r="E271">
        <v>92.763430053042725</v>
      </c>
      <c r="Q271">
        <f>SMALL(SimData!$B$9:$B$508,270)</f>
        <v>213.76003560005807</v>
      </c>
      <c r="R271">
        <f>1/(COUNT(SimData!$B$9:$B$508)-1)+$R$270</f>
        <v>0.53907815631262568</v>
      </c>
      <c r="S271">
        <f>SMALL(SimData!$C$9:$C$508,270)</f>
        <v>145.76003560005807</v>
      </c>
      <c r="T271">
        <f>1/(COUNT(SimData!$C$9:$C$508)-1)+$T$270</f>
        <v>0.53907815631262568</v>
      </c>
      <c r="U271">
        <f>SMALL(SimData!$D$9:$D$508,270)</f>
        <v>60.760035600058075</v>
      </c>
      <c r="V271">
        <f>1/(COUNT(SimData!$D$9:$D$508)-1)+$V$270</f>
        <v>0.53907815631262568</v>
      </c>
      <c r="W271">
        <f>SMALL(SimData!$E$9:$E$508,270)</f>
        <v>-1.2399643999419254</v>
      </c>
      <c r="X271">
        <f>1/(COUNT(SimData!$E$9:$E$508)-1)+$X$270</f>
        <v>0.53907815631262568</v>
      </c>
    </row>
    <row r="272" spans="1:24">
      <c r="A272">
        <v>264</v>
      </c>
      <c r="B272">
        <v>189.30340469024208</v>
      </c>
      <c r="C272">
        <v>121.30340469024208</v>
      </c>
      <c r="D272">
        <v>36.303404690242076</v>
      </c>
      <c r="E272">
        <v>-25.696595309757924</v>
      </c>
      <c r="Q272">
        <f>SMALL(SimData!$B$9:$B$508,271)</f>
        <v>213.8566669003194</v>
      </c>
      <c r="R272">
        <f>1/(COUNT(SimData!$B$9:$B$508)-1)+$R$271</f>
        <v>0.54108216432865774</v>
      </c>
      <c r="S272">
        <f>SMALL(SimData!$C$9:$C$508,271)</f>
        <v>145.8566669003194</v>
      </c>
      <c r="T272">
        <f>1/(COUNT(SimData!$C$9:$C$508)-1)+$T$271</f>
        <v>0.54108216432865774</v>
      </c>
      <c r="U272">
        <f>SMALL(SimData!$D$9:$D$508,271)</f>
        <v>60.856666900319397</v>
      </c>
      <c r="V272">
        <f>1/(COUNT(SimData!$D$9:$D$508)-1)+$V$271</f>
        <v>0.54108216432865774</v>
      </c>
      <c r="W272">
        <f>SMALL(SimData!$E$9:$E$508,271)</f>
        <v>-1.1433330996806035</v>
      </c>
      <c r="X272">
        <f>1/(COUNT(SimData!$E$9:$E$508)-1)+$X$271</f>
        <v>0.54108216432865774</v>
      </c>
    </row>
    <row r="273" spans="1:24">
      <c r="A273">
        <v>265</v>
      </c>
      <c r="B273">
        <v>244.45385354053457</v>
      </c>
      <c r="C273">
        <v>176.45385354053457</v>
      </c>
      <c r="D273">
        <v>91.453853540534567</v>
      </c>
      <c r="E273">
        <v>29.453853540534567</v>
      </c>
      <c r="Q273">
        <f>SMALL(SimData!$B$9:$B$508,272)</f>
        <v>213.88618449469084</v>
      </c>
      <c r="R273">
        <f>1/(COUNT(SimData!$B$9:$B$508)-1)+$R$272</f>
        <v>0.54308617234468981</v>
      </c>
      <c r="S273">
        <f>SMALL(SimData!$C$9:$C$508,272)</f>
        <v>145.88618449469084</v>
      </c>
      <c r="T273">
        <f>1/(COUNT(SimData!$C$9:$C$508)-1)+$T$272</f>
        <v>0.54308617234468981</v>
      </c>
      <c r="U273">
        <f>SMALL(SimData!$D$9:$D$508,272)</f>
        <v>60.886184494690838</v>
      </c>
      <c r="V273">
        <f>1/(COUNT(SimData!$D$9:$D$508)-1)+$V$272</f>
        <v>0.54308617234468981</v>
      </c>
      <c r="W273">
        <f>SMALL(SimData!$E$9:$E$508,272)</f>
        <v>-1.1138155053091623</v>
      </c>
      <c r="X273">
        <f>1/(COUNT(SimData!$E$9:$E$508)-1)+$X$272</f>
        <v>0.54308617234468981</v>
      </c>
    </row>
    <row r="274" spans="1:24">
      <c r="A274">
        <v>266</v>
      </c>
      <c r="B274">
        <v>216.70952536607331</v>
      </c>
      <c r="C274">
        <v>148.70952536607331</v>
      </c>
      <c r="D274">
        <v>63.709525366073308</v>
      </c>
      <c r="E274">
        <v>1.7095253660733079</v>
      </c>
      <c r="Q274">
        <f>SMALL(SimData!$B$9:$B$508,273)</f>
        <v>213.95198787136832</v>
      </c>
      <c r="R274">
        <f>1/(COUNT(SimData!$B$9:$B$508)-1)+$R$273</f>
        <v>0.54509018036072188</v>
      </c>
      <c r="S274">
        <f>SMALL(SimData!$C$9:$C$508,273)</f>
        <v>145.95198787136832</v>
      </c>
      <c r="T274">
        <f>1/(COUNT(SimData!$C$9:$C$508)-1)+$T$273</f>
        <v>0.54509018036072188</v>
      </c>
      <c r="U274">
        <f>SMALL(SimData!$D$9:$D$508,273)</f>
        <v>60.951987871368317</v>
      </c>
      <c r="V274">
        <f>1/(COUNT(SimData!$D$9:$D$508)-1)+$V$273</f>
        <v>0.54509018036072188</v>
      </c>
      <c r="W274">
        <f>SMALL(SimData!$E$9:$E$508,273)</f>
        <v>-1.048012128631683</v>
      </c>
      <c r="X274">
        <f>1/(COUNT(SimData!$E$9:$E$508)-1)+$X$273</f>
        <v>0.54509018036072188</v>
      </c>
    </row>
    <row r="275" spans="1:24">
      <c r="A275">
        <v>267</v>
      </c>
      <c r="B275">
        <v>208.86602468526075</v>
      </c>
      <c r="C275">
        <v>140.86602468526075</v>
      </c>
      <c r="D275">
        <v>55.866024685260754</v>
      </c>
      <c r="E275">
        <v>-6.1339753147392457</v>
      </c>
      <c r="Q275">
        <f>SMALL(SimData!$B$9:$B$508,274)</f>
        <v>213.9664201301228</v>
      </c>
      <c r="R275">
        <f>1/(COUNT(SimData!$B$9:$B$508)-1)+$R$274</f>
        <v>0.54709418837675394</v>
      </c>
      <c r="S275">
        <f>SMALL(SimData!$C$9:$C$508,274)</f>
        <v>145.9664201301228</v>
      </c>
      <c r="T275">
        <f>1/(COUNT(SimData!$C$9:$C$508)-1)+$T$274</f>
        <v>0.54709418837675394</v>
      </c>
      <c r="U275">
        <f>SMALL(SimData!$D$9:$D$508,274)</f>
        <v>60.966420130122799</v>
      </c>
      <c r="V275">
        <f>1/(COUNT(SimData!$D$9:$D$508)-1)+$V$274</f>
        <v>0.54709418837675394</v>
      </c>
      <c r="W275">
        <f>SMALL(SimData!$E$9:$E$508,274)</f>
        <v>-1.033579869877201</v>
      </c>
      <c r="X275">
        <f>1/(COUNT(SimData!$E$9:$E$508)-1)+$X$274</f>
        <v>0.54709418837675394</v>
      </c>
    </row>
    <row r="276" spans="1:24">
      <c r="A276">
        <v>268</v>
      </c>
      <c r="B276">
        <v>138.53151548275878</v>
      </c>
      <c r="C276">
        <v>70.531515482758778</v>
      </c>
      <c r="D276">
        <v>-14.468484517241222</v>
      </c>
      <c r="E276">
        <v>-76.468484517241222</v>
      </c>
      <c r="Q276">
        <f>SMALL(SimData!$B$9:$B$508,275)</f>
        <v>214.30750677234306</v>
      </c>
      <c r="R276">
        <f>1/(COUNT(SimData!$B$9:$B$508)-1)+$R$275</f>
        <v>0.54909819639278601</v>
      </c>
      <c r="S276">
        <f>SMALL(SimData!$C$9:$C$508,275)</f>
        <v>146.30750677234306</v>
      </c>
      <c r="T276">
        <f>1/(COUNT(SimData!$C$9:$C$508)-1)+$T$275</f>
        <v>0.54909819639278601</v>
      </c>
      <c r="U276">
        <f>SMALL(SimData!$D$9:$D$508,275)</f>
        <v>61.307506772343061</v>
      </c>
      <c r="V276">
        <f>1/(COUNT(SimData!$D$9:$D$508)-1)+$V$275</f>
        <v>0.54909819639278601</v>
      </c>
      <c r="W276">
        <f>SMALL(SimData!$E$9:$E$508,275)</f>
        <v>-0.69249322765693933</v>
      </c>
      <c r="X276">
        <f>1/(COUNT(SimData!$E$9:$E$508)-1)+$X$275</f>
        <v>0.54909819639278601</v>
      </c>
    </row>
    <row r="277" spans="1:24">
      <c r="A277">
        <v>269</v>
      </c>
      <c r="B277">
        <v>258.48566044333796</v>
      </c>
      <c r="C277">
        <v>190.48566044333796</v>
      </c>
      <c r="D277">
        <v>105.48566044333796</v>
      </c>
      <c r="E277">
        <v>43.485660443337963</v>
      </c>
      <c r="Q277">
        <f>SMALL(SimData!$B$9:$B$508,276)</f>
        <v>214.5356596931536</v>
      </c>
      <c r="R277">
        <f>1/(COUNT(SimData!$B$9:$B$508)-1)+$R$276</f>
        <v>0.55110220440881807</v>
      </c>
      <c r="S277">
        <f>SMALL(SimData!$C$9:$C$508,276)</f>
        <v>146.5356596931536</v>
      </c>
      <c r="T277">
        <f>1/(COUNT(SimData!$C$9:$C$508)-1)+$T$276</f>
        <v>0.55110220440881807</v>
      </c>
      <c r="U277">
        <f>SMALL(SimData!$D$9:$D$508,276)</f>
        <v>61.535659693153605</v>
      </c>
      <c r="V277">
        <f>1/(COUNT(SimData!$D$9:$D$508)-1)+$V$276</f>
        <v>0.55110220440881807</v>
      </c>
      <c r="W277">
        <f>SMALL(SimData!$E$9:$E$508,276)</f>
        <v>-0.46434030684639538</v>
      </c>
      <c r="X277">
        <f>1/(COUNT(SimData!$E$9:$E$508)-1)+$X$276</f>
        <v>0.55110220440881807</v>
      </c>
    </row>
    <row r="278" spans="1:24">
      <c r="A278">
        <v>270</v>
      </c>
      <c r="B278">
        <v>218.59308548071169</v>
      </c>
      <c r="C278">
        <v>150.59308548071169</v>
      </c>
      <c r="D278">
        <v>65.593085480711693</v>
      </c>
      <c r="E278">
        <v>3.593085480711693</v>
      </c>
      <c r="Q278">
        <f>SMALL(SimData!$B$9:$B$508,277)</f>
        <v>214.83137659179533</v>
      </c>
      <c r="R278">
        <f>1/(COUNT(SimData!$B$9:$B$508)-1)+$R$277</f>
        <v>0.55310621242485014</v>
      </c>
      <c r="S278">
        <f>SMALL(SimData!$C$9:$C$508,277)</f>
        <v>146.83137659179533</v>
      </c>
      <c r="T278">
        <f>1/(COUNT(SimData!$C$9:$C$508)-1)+$T$277</f>
        <v>0.55310621242485014</v>
      </c>
      <c r="U278">
        <f>SMALL(SimData!$D$9:$D$508,277)</f>
        <v>61.831376591795333</v>
      </c>
      <c r="V278">
        <f>1/(COUNT(SimData!$D$9:$D$508)-1)+$V$277</f>
        <v>0.55310621242485014</v>
      </c>
      <c r="W278">
        <f>SMALL(SimData!$E$9:$E$508,277)</f>
        <v>-0.1686234082046667</v>
      </c>
      <c r="X278">
        <f>1/(COUNT(SimData!$E$9:$E$508)-1)+$X$277</f>
        <v>0.55310621242485014</v>
      </c>
    </row>
    <row r="279" spans="1:24">
      <c r="A279">
        <v>271</v>
      </c>
      <c r="B279">
        <v>288.66849141603501</v>
      </c>
      <c r="C279">
        <v>220.66849141603501</v>
      </c>
      <c r="D279">
        <v>135.66849141603501</v>
      </c>
      <c r="E279">
        <v>73.66849141603501</v>
      </c>
      <c r="Q279">
        <f>SMALL(SimData!$B$9:$B$508,278)</f>
        <v>214.87461458006123</v>
      </c>
      <c r="R279">
        <f>1/(COUNT(SimData!$B$9:$B$508)-1)+$R$278</f>
        <v>0.55511022044088221</v>
      </c>
      <c r="S279">
        <f>SMALL(SimData!$C$9:$C$508,278)</f>
        <v>146.87461458006123</v>
      </c>
      <c r="T279">
        <f>1/(COUNT(SimData!$C$9:$C$508)-1)+$T$278</f>
        <v>0.55511022044088221</v>
      </c>
      <c r="U279">
        <f>SMALL(SimData!$D$9:$D$508,278)</f>
        <v>61.874614580061234</v>
      </c>
      <c r="V279">
        <f>1/(COUNT(SimData!$D$9:$D$508)-1)+$V$278</f>
        <v>0.55511022044088221</v>
      </c>
      <c r="W279">
        <f>SMALL(SimData!$E$9:$E$508,278)</f>
        <v>-0.12538541993876606</v>
      </c>
      <c r="X279">
        <f>1/(COUNT(SimData!$E$9:$E$508)-1)+$X$278</f>
        <v>0.55511022044088221</v>
      </c>
    </row>
    <row r="280" spans="1:24">
      <c r="A280">
        <v>272</v>
      </c>
      <c r="B280">
        <v>245.7636582300164</v>
      </c>
      <c r="C280">
        <v>177.7636582300164</v>
      </c>
      <c r="D280">
        <v>92.763658230016404</v>
      </c>
      <c r="E280">
        <v>30.763658230016404</v>
      </c>
      <c r="Q280">
        <f>SMALL(SimData!$B$9:$B$508,279)</f>
        <v>215.00572854198123</v>
      </c>
      <c r="R280">
        <f>1/(COUNT(SimData!$B$9:$B$508)-1)+$R$279</f>
        <v>0.55711422845691427</v>
      </c>
      <c r="S280">
        <f>SMALL(SimData!$C$9:$C$508,279)</f>
        <v>147.00572854198123</v>
      </c>
      <c r="T280">
        <f>1/(COUNT(SimData!$C$9:$C$508)-1)+$T$279</f>
        <v>0.55711422845691427</v>
      </c>
      <c r="U280">
        <f>SMALL(SimData!$D$9:$D$508,279)</f>
        <v>62.005728541981227</v>
      </c>
      <c r="V280">
        <f>1/(COUNT(SimData!$D$9:$D$508)-1)+$V$279</f>
        <v>0.55711422845691427</v>
      </c>
      <c r="W280">
        <f>SMALL(SimData!$E$9:$E$508,279)</f>
        <v>5.7285419812274085E-3</v>
      </c>
      <c r="X280">
        <f>1/(COUNT(SimData!$E$9:$E$508)-1)+$X$279</f>
        <v>0.55711422845691427</v>
      </c>
    </row>
    <row r="281" spans="1:24">
      <c r="A281">
        <v>273</v>
      </c>
      <c r="B281">
        <v>292.252748719321</v>
      </c>
      <c r="C281">
        <v>224.252748719321</v>
      </c>
      <c r="D281">
        <v>139.252748719321</v>
      </c>
      <c r="E281">
        <v>77.252748719321005</v>
      </c>
      <c r="Q281">
        <f>SMALL(SimData!$B$9:$B$508,280)</f>
        <v>215.01874979265835</v>
      </c>
      <c r="R281">
        <f>1/(COUNT(SimData!$B$9:$B$508)-1)+$R$280</f>
        <v>0.55911823647294634</v>
      </c>
      <c r="S281">
        <f>SMALL(SimData!$C$9:$C$508,280)</f>
        <v>147.01874979265835</v>
      </c>
      <c r="T281">
        <f>1/(COUNT(SimData!$C$9:$C$508)-1)+$T$280</f>
        <v>0.55911823647294634</v>
      </c>
      <c r="U281">
        <f>SMALL(SimData!$D$9:$D$508,280)</f>
        <v>62.018749792658355</v>
      </c>
      <c r="V281">
        <f>1/(COUNT(SimData!$D$9:$D$508)-1)+$V$280</f>
        <v>0.55911823647294634</v>
      </c>
      <c r="W281">
        <f>SMALL(SimData!$E$9:$E$508,280)</f>
        <v>1.8749792658354636E-2</v>
      </c>
      <c r="X281">
        <f>1/(COUNT(SimData!$E$9:$E$508)-1)+$X$280</f>
        <v>0.55911823647294634</v>
      </c>
    </row>
    <row r="282" spans="1:24">
      <c r="A282">
        <v>274</v>
      </c>
      <c r="B282">
        <v>195.62428635217481</v>
      </c>
      <c r="C282">
        <v>127.62428635217481</v>
      </c>
      <c r="D282">
        <v>42.624286352174806</v>
      </c>
      <c r="E282">
        <v>-19.375713647825194</v>
      </c>
      <c r="Q282">
        <f>SMALL(SimData!$B$9:$B$508,281)</f>
        <v>215.04271209744314</v>
      </c>
      <c r="R282">
        <f>1/(COUNT(SimData!$B$9:$B$508)-1)+$R$281</f>
        <v>0.56112224448897841</v>
      </c>
      <c r="S282">
        <f>SMALL(SimData!$C$9:$C$508,281)</f>
        <v>147.04271209744314</v>
      </c>
      <c r="T282">
        <f>1/(COUNT(SimData!$C$9:$C$508)-1)+$T$281</f>
        <v>0.56112224448897841</v>
      </c>
      <c r="U282">
        <f>SMALL(SimData!$D$9:$D$508,281)</f>
        <v>62.042712097443143</v>
      </c>
      <c r="V282">
        <f>1/(COUNT(SimData!$D$9:$D$508)-1)+$V$281</f>
        <v>0.56112224448897841</v>
      </c>
      <c r="W282">
        <f>SMALL(SimData!$E$9:$E$508,281)</f>
        <v>4.2712097443143193E-2</v>
      </c>
      <c r="X282">
        <f>1/(COUNT(SimData!$E$9:$E$508)-1)+$X$281</f>
        <v>0.56112224448897841</v>
      </c>
    </row>
    <row r="283" spans="1:24">
      <c r="A283">
        <v>275</v>
      </c>
      <c r="B283">
        <v>297.57019943612045</v>
      </c>
      <c r="C283">
        <v>229.57019943612045</v>
      </c>
      <c r="D283">
        <v>144.57019943612045</v>
      </c>
      <c r="E283">
        <v>82.570199436120447</v>
      </c>
      <c r="Q283">
        <f>SMALL(SimData!$B$9:$B$508,282)</f>
        <v>215.07513153116463</v>
      </c>
      <c r="R283">
        <f>1/(COUNT(SimData!$B$9:$B$508)-1)+$R$282</f>
        <v>0.56312625250501047</v>
      </c>
      <c r="S283">
        <f>SMALL(SimData!$C$9:$C$508,282)</f>
        <v>147.07513153116463</v>
      </c>
      <c r="T283">
        <f>1/(COUNT(SimData!$C$9:$C$508)-1)+$T$282</f>
        <v>0.56312625250501047</v>
      </c>
      <c r="U283">
        <f>SMALL(SimData!$D$9:$D$508,282)</f>
        <v>62.075131531164629</v>
      </c>
      <c r="V283">
        <f>1/(COUNT(SimData!$D$9:$D$508)-1)+$V$282</f>
        <v>0.56312625250501047</v>
      </c>
      <c r="W283">
        <f>SMALL(SimData!$E$9:$E$508,282)</f>
        <v>7.513153116462945E-2</v>
      </c>
      <c r="X283">
        <f>1/(COUNT(SimData!$E$9:$E$508)-1)+$X$282</f>
        <v>0.56312625250501047</v>
      </c>
    </row>
    <row r="284" spans="1:24">
      <c r="A284">
        <v>276</v>
      </c>
      <c r="B284">
        <v>214.83137659179533</v>
      </c>
      <c r="C284">
        <v>146.83137659179533</v>
      </c>
      <c r="D284">
        <v>61.831376591795333</v>
      </c>
      <c r="E284">
        <v>-0.1686234082046667</v>
      </c>
      <c r="Q284">
        <f>SMALL(SimData!$B$9:$B$508,283)</f>
        <v>215.47921656886234</v>
      </c>
      <c r="R284">
        <f>1/(COUNT(SimData!$B$9:$B$508)-1)+$R$283</f>
        <v>0.56513026052104254</v>
      </c>
      <c r="S284">
        <f>SMALL(SimData!$C$9:$C$508,283)</f>
        <v>147.47921656886234</v>
      </c>
      <c r="T284">
        <f>1/(COUNT(SimData!$C$9:$C$508)-1)+$T$283</f>
        <v>0.56513026052104254</v>
      </c>
      <c r="U284">
        <f>SMALL(SimData!$D$9:$D$508,283)</f>
        <v>62.479216568862341</v>
      </c>
      <c r="V284">
        <f>1/(COUNT(SimData!$D$9:$D$508)-1)+$V$283</f>
        <v>0.56513026052104254</v>
      </c>
      <c r="W284">
        <f>SMALL(SimData!$E$9:$E$508,283)</f>
        <v>0.47921656886234132</v>
      </c>
      <c r="X284">
        <f>1/(COUNT(SimData!$E$9:$E$508)-1)+$X$283</f>
        <v>0.56513026052104254</v>
      </c>
    </row>
    <row r="285" spans="1:24">
      <c r="A285">
        <v>277</v>
      </c>
      <c r="B285">
        <v>196.67561172733201</v>
      </c>
      <c r="C285">
        <v>128.67561172733201</v>
      </c>
      <c r="D285">
        <v>43.675611727332011</v>
      </c>
      <c r="E285">
        <v>-18.324388272667989</v>
      </c>
      <c r="Q285">
        <f>SMALL(SimData!$B$9:$B$508,284)</f>
        <v>215.55663695301291</v>
      </c>
      <c r="R285">
        <f>1/(COUNT(SimData!$B$9:$B$508)-1)+$R$284</f>
        <v>0.5671342685370746</v>
      </c>
      <c r="S285">
        <f>SMALL(SimData!$C$9:$C$508,284)</f>
        <v>147.55663695301291</v>
      </c>
      <c r="T285">
        <f>1/(COUNT(SimData!$C$9:$C$508)-1)+$T$284</f>
        <v>0.5671342685370746</v>
      </c>
      <c r="U285">
        <f>SMALL(SimData!$D$9:$D$508,284)</f>
        <v>62.556636953012912</v>
      </c>
      <c r="V285">
        <f>1/(COUNT(SimData!$D$9:$D$508)-1)+$V$284</f>
        <v>0.5671342685370746</v>
      </c>
      <c r="W285">
        <f>SMALL(SimData!$E$9:$E$508,284)</f>
        <v>0.55663695301291227</v>
      </c>
      <c r="X285">
        <f>1/(COUNT(SimData!$E$9:$E$508)-1)+$X$284</f>
        <v>0.5671342685370746</v>
      </c>
    </row>
    <row r="286" spans="1:24">
      <c r="A286">
        <v>278</v>
      </c>
      <c r="B286">
        <v>206.38654622187579</v>
      </c>
      <c r="C286">
        <v>138.38654622187579</v>
      </c>
      <c r="D286">
        <v>53.38654622187579</v>
      </c>
      <c r="E286">
        <v>-8.6134537781242102</v>
      </c>
      <c r="Q286">
        <f>SMALL(SimData!$B$9:$B$508,285)</f>
        <v>215.66675744997991</v>
      </c>
      <c r="R286">
        <f>1/(COUNT(SimData!$B$9:$B$508)-1)+$R$285</f>
        <v>0.56913827655310667</v>
      </c>
      <c r="S286">
        <f>SMALL(SimData!$C$9:$C$508,285)</f>
        <v>147.66675744997991</v>
      </c>
      <c r="T286">
        <f>1/(COUNT(SimData!$C$9:$C$508)-1)+$T$285</f>
        <v>0.56913827655310667</v>
      </c>
      <c r="U286">
        <f>SMALL(SimData!$D$9:$D$508,285)</f>
        <v>62.666757449979912</v>
      </c>
      <c r="V286">
        <f>1/(COUNT(SimData!$D$9:$D$508)-1)+$V$285</f>
        <v>0.56913827655310667</v>
      </c>
      <c r="W286">
        <f>SMALL(SimData!$E$9:$E$508,285)</f>
        <v>0.6667574499799116</v>
      </c>
      <c r="X286">
        <f>1/(COUNT(SimData!$E$9:$E$508)-1)+$X$285</f>
        <v>0.56913827655310667</v>
      </c>
    </row>
    <row r="287" spans="1:24">
      <c r="A287">
        <v>279</v>
      </c>
      <c r="B287">
        <v>243.93345704696492</v>
      </c>
      <c r="C287">
        <v>175.93345704696492</v>
      </c>
      <c r="D287">
        <v>90.933457046964918</v>
      </c>
      <c r="E287">
        <v>28.933457046964918</v>
      </c>
      <c r="Q287">
        <f>SMALL(SimData!$B$9:$B$508,286)</f>
        <v>216.02584924367005</v>
      </c>
      <c r="R287">
        <f>1/(COUNT(SimData!$B$9:$B$508)-1)+$R$286</f>
        <v>0.57114228456913874</v>
      </c>
      <c r="S287">
        <f>SMALL(SimData!$C$9:$C$508,286)</f>
        <v>148.02584924367005</v>
      </c>
      <c r="T287">
        <f>1/(COUNT(SimData!$C$9:$C$508)-1)+$T$286</f>
        <v>0.57114228456913874</v>
      </c>
      <c r="U287">
        <f>SMALL(SimData!$D$9:$D$508,286)</f>
        <v>63.025849243670052</v>
      </c>
      <c r="V287">
        <f>1/(COUNT(SimData!$D$9:$D$508)-1)+$V$286</f>
        <v>0.57114228456913874</v>
      </c>
      <c r="W287">
        <f>SMALL(SimData!$E$9:$E$508,286)</f>
        <v>1.0258492436700521</v>
      </c>
      <c r="X287">
        <f>1/(COUNT(SimData!$E$9:$E$508)-1)+$X$286</f>
        <v>0.57114228456913874</v>
      </c>
    </row>
    <row r="288" spans="1:24">
      <c r="A288">
        <v>280</v>
      </c>
      <c r="B288">
        <v>180.15938933275345</v>
      </c>
      <c r="C288">
        <v>112.15938933275345</v>
      </c>
      <c r="D288">
        <v>27.159389332753449</v>
      </c>
      <c r="E288">
        <v>-34.840610667246551</v>
      </c>
      <c r="Q288">
        <f>SMALL(SimData!$B$9:$B$508,287)</f>
        <v>216.25615821751023</v>
      </c>
      <c r="R288">
        <f>1/(COUNT(SimData!$B$9:$B$508)-1)+$R$287</f>
        <v>0.5731462925851708</v>
      </c>
      <c r="S288">
        <f>SMALL(SimData!$C$9:$C$508,287)</f>
        <v>148.25615821751023</v>
      </c>
      <c r="T288">
        <f>1/(COUNT(SimData!$C$9:$C$508)-1)+$T$287</f>
        <v>0.5731462925851708</v>
      </c>
      <c r="U288">
        <f>SMALL(SimData!$D$9:$D$508,287)</f>
        <v>63.256158217510233</v>
      </c>
      <c r="V288">
        <f>1/(COUNT(SimData!$D$9:$D$508)-1)+$V$287</f>
        <v>0.5731462925851708</v>
      </c>
      <c r="W288">
        <f>SMALL(SimData!$E$9:$E$508,287)</f>
        <v>1.256158217510233</v>
      </c>
      <c r="X288">
        <f>1/(COUNT(SimData!$E$9:$E$508)-1)+$X$287</f>
        <v>0.5731462925851708</v>
      </c>
    </row>
    <row r="289" spans="1:24">
      <c r="A289">
        <v>281</v>
      </c>
      <c r="B289">
        <v>169.66876244386913</v>
      </c>
      <c r="C289">
        <v>101.66876244386913</v>
      </c>
      <c r="D289">
        <v>16.668762443869127</v>
      </c>
      <c r="E289">
        <v>-45.331237556130873</v>
      </c>
      <c r="Q289">
        <f>SMALL(SimData!$B$9:$B$508,288)</f>
        <v>216.47679313335766</v>
      </c>
      <c r="R289">
        <f>1/(COUNT(SimData!$B$9:$B$508)-1)+$R$288</f>
        <v>0.57515030060120287</v>
      </c>
      <c r="S289">
        <f>SMALL(SimData!$C$9:$C$508,288)</f>
        <v>148.47679313335766</v>
      </c>
      <c r="T289">
        <f>1/(COUNT(SimData!$C$9:$C$508)-1)+$T$288</f>
        <v>0.57515030060120287</v>
      </c>
      <c r="U289">
        <f>SMALL(SimData!$D$9:$D$508,288)</f>
        <v>63.47679313335766</v>
      </c>
      <c r="V289">
        <f>1/(COUNT(SimData!$D$9:$D$508)-1)+$V$288</f>
        <v>0.57515030060120287</v>
      </c>
      <c r="W289">
        <f>SMALL(SimData!$E$9:$E$508,288)</f>
        <v>1.4767931333576598</v>
      </c>
      <c r="X289">
        <f>1/(COUNT(SimData!$E$9:$E$508)-1)+$X$288</f>
        <v>0.57515030060120287</v>
      </c>
    </row>
    <row r="290" spans="1:24">
      <c r="A290">
        <v>282</v>
      </c>
      <c r="B290">
        <v>272.5829153816241</v>
      </c>
      <c r="C290">
        <v>204.5829153816241</v>
      </c>
      <c r="D290">
        <v>119.5829153816241</v>
      </c>
      <c r="E290">
        <v>57.582915381624105</v>
      </c>
      <c r="Q290">
        <f>SMALL(SimData!$B$9:$B$508,289)</f>
        <v>216.59497731604176</v>
      </c>
      <c r="R290">
        <f>1/(COUNT(SimData!$B$9:$B$508)-1)+$R$289</f>
        <v>0.57715430861723493</v>
      </c>
      <c r="S290">
        <f>SMALL(SimData!$C$9:$C$508,289)</f>
        <v>148.59497731604176</v>
      </c>
      <c r="T290">
        <f>1/(COUNT(SimData!$C$9:$C$508)-1)+$T$289</f>
        <v>0.57715430861723493</v>
      </c>
      <c r="U290">
        <f>SMALL(SimData!$D$9:$D$508,289)</f>
        <v>63.594977316041764</v>
      </c>
      <c r="V290">
        <f>1/(COUNT(SimData!$D$9:$D$508)-1)+$V$289</f>
        <v>0.57715430861723493</v>
      </c>
      <c r="W290">
        <f>SMALL(SimData!$E$9:$E$508,289)</f>
        <v>1.5949773160417635</v>
      </c>
      <c r="X290">
        <f>1/(COUNT(SimData!$E$9:$E$508)-1)+$X$289</f>
        <v>0.57715430861723493</v>
      </c>
    </row>
    <row r="291" spans="1:24">
      <c r="A291">
        <v>283</v>
      </c>
      <c r="B291">
        <v>222.52506588910302</v>
      </c>
      <c r="C291">
        <v>154.52506588910302</v>
      </c>
      <c r="D291">
        <v>69.525065889103018</v>
      </c>
      <c r="E291">
        <v>7.5250658891030184</v>
      </c>
      <c r="Q291">
        <f>SMALL(SimData!$B$9:$B$508,290)</f>
        <v>216.59803616295488</v>
      </c>
      <c r="R291">
        <f>1/(COUNT(SimData!$B$9:$B$508)-1)+$R$290</f>
        <v>0.579158316633267</v>
      </c>
      <c r="S291">
        <f>SMALL(SimData!$C$9:$C$508,290)</f>
        <v>148.59803616295488</v>
      </c>
      <c r="T291">
        <f>1/(COUNT(SimData!$C$9:$C$508)-1)+$T$290</f>
        <v>0.579158316633267</v>
      </c>
      <c r="U291">
        <f>SMALL(SimData!$D$9:$D$508,290)</f>
        <v>63.598036162954884</v>
      </c>
      <c r="V291">
        <f>1/(COUNT(SimData!$D$9:$D$508)-1)+$V$290</f>
        <v>0.579158316633267</v>
      </c>
      <c r="W291">
        <f>SMALL(SimData!$E$9:$E$508,290)</f>
        <v>1.5980361629548838</v>
      </c>
      <c r="X291">
        <f>1/(COUNT(SimData!$E$9:$E$508)-1)+$X$290</f>
        <v>0.579158316633267</v>
      </c>
    </row>
    <row r="292" spans="1:24">
      <c r="A292">
        <v>284</v>
      </c>
      <c r="B292">
        <v>221.09252157764274</v>
      </c>
      <c r="C292">
        <v>153.09252157764274</v>
      </c>
      <c r="D292">
        <v>68.092521577642742</v>
      </c>
      <c r="E292">
        <v>6.0925215776427422</v>
      </c>
      <c r="Q292">
        <f>SMALL(SimData!$B$9:$B$508,291)</f>
        <v>216.60446783121836</v>
      </c>
      <c r="R292">
        <f>1/(COUNT(SimData!$B$9:$B$508)-1)+$R$291</f>
        <v>0.58116232464929907</v>
      </c>
      <c r="S292">
        <f>SMALL(SimData!$C$9:$C$508,291)</f>
        <v>148.60446783121836</v>
      </c>
      <c r="T292">
        <f>1/(COUNT(SimData!$C$9:$C$508)-1)+$T$291</f>
        <v>0.58116232464929907</v>
      </c>
      <c r="U292">
        <f>SMALL(SimData!$D$9:$D$508,291)</f>
        <v>63.604467831218358</v>
      </c>
      <c r="V292">
        <f>1/(COUNT(SimData!$D$9:$D$508)-1)+$V$291</f>
        <v>0.58116232464929907</v>
      </c>
      <c r="W292">
        <f>SMALL(SimData!$E$9:$E$508,291)</f>
        <v>1.6044678312183578</v>
      </c>
      <c r="X292">
        <f>1/(COUNT(SimData!$E$9:$E$508)-1)+$X$291</f>
        <v>0.58116232464929907</v>
      </c>
    </row>
    <row r="293" spans="1:24">
      <c r="A293">
        <v>285</v>
      </c>
      <c r="B293">
        <v>233.11604023051285</v>
      </c>
      <c r="C293">
        <v>165.11604023051285</v>
      </c>
      <c r="D293">
        <v>80.116040230512851</v>
      </c>
      <c r="E293">
        <v>18.116040230512851</v>
      </c>
      <c r="Q293">
        <f>SMALL(SimData!$B$9:$B$508,292)</f>
        <v>216.6540513707339</v>
      </c>
      <c r="R293">
        <f>1/(COUNT(SimData!$B$9:$B$508)-1)+$R$292</f>
        <v>0.58316633266533113</v>
      </c>
      <c r="S293">
        <f>SMALL(SimData!$C$9:$C$508,292)</f>
        <v>148.6540513707339</v>
      </c>
      <c r="T293">
        <f>1/(COUNT(SimData!$C$9:$C$508)-1)+$T$292</f>
        <v>0.58316633266533113</v>
      </c>
      <c r="U293">
        <f>SMALL(SimData!$D$9:$D$508,292)</f>
        <v>63.654051370733896</v>
      </c>
      <c r="V293">
        <f>1/(COUNT(SimData!$D$9:$D$508)-1)+$V$292</f>
        <v>0.58316633266533113</v>
      </c>
      <c r="W293">
        <f>SMALL(SimData!$E$9:$E$508,292)</f>
        <v>1.654051370733896</v>
      </c>
      <c r="X293">
        <f>1/(COUNT(SimData!$E$9:$E$508)-1)+$X$292</f>
        <v>0.58316633266533113</v>
      </c>
    </row>
    <row r="294" spans="1:24">
      <c r="A294">
        <v>286</v>
      </c>
      <c r="B294">
        <v>180.42326678071453</v>
      </c>
      <c r="C294">
        <v>112.42326678071453</v>
      </c>
      <c r="D294">
        <v>27.423266780714528</v>
      </c>
      <c r="E294">
        <v>-34.576733219285472</v>
      </c>
      <c r="Q294">
        <f>SMALL(SimData!$B$9:$B$508,293)</f>
        <v>216.65915047473567</v>
      </c>
      <c r="R294">
        <f>1/(COUNT(SimData!$B$9:$B$508)-1)+$R$293</f>
        <v>0.5851703406813632</v>
      </c>
      <c r="S294">
        <f>SMALL(SimData!$C$9:$C$508,293)</f>
        <v>148.65915047473567</v>
      </c>
      <c r="T294">
        <f>1/(COUNT(SimData!$C$9:$C$508)-1)+$T$293</f>
        <v>0.5851703406813632</v>
      </c>
      <c r="U294">
        <f>SMALL(SimData!$D$9:$D$508,293)</f>
        <v>63.659150474735668</v>
      </c>
      <c r="V294">
        <f>1/(COUNT(SimData!$D$9:$D$508)-1)+$V$293</f>
        <v>0.5851703406813632</v>
      </c>
      <c r="W294">
        <f>SMALL(SimData!$E$9:$E$508,293)</f>
        <v>1.659150474735668</v>
      </c>
      <c r="X294">
        <f>1/(COUNT(SimData!$E$9:$E$508)-1)+$X$293</f>
        <v>0.5851703406813632</v>
      </c>
    </row>
    <row r="295" spans="1:24">
      <c r="A295">
        <v>287</v>
      </c>
      <c r="B295">
        <v>181.76709840038552</v>
      </c>
      <c r="C295">
        <v>113.76709840038552</v>
      </c>
      <c r="D295">
        <v>28.767098400385521</v>
      </c>
      <c r="E295">
        <v>-33.232901599614479</v>
      </c>
      <c r="Q295">
        <f>SMALL(SimData!$B$9:$B$508,294)</f>
        <v>216.70952536607331</v>
      </c>
      <c r="R295">
        <f>1/(COUNT(SimData!$B$9:$B$508)-1)+$R$294</f>
        <v>0.58717434869739527</v>
      </c>
      <c r="S295">
        <f>SMALL(SimData!$C$9:$C$508,294)</f>
        <v>148.70952536607331</v>
      </c>
      <c r="T295">
        <f>1/(COUNT(SimData!$C$9:$C$508)-1)+$T$294</f>
        <v>0.58717434869739527</v>
      </c>
      <c r="U295">
        <f>SMALL(SimData!$D$9:$D$508,294)</f>
        <v>63.709525366073308</v>
      </c>
      <c r="V295">
        <f>1/(COUNT(SimData!$D$9:$D$508)-1)+$V$294</f>
        <v>0.58717434869739527</v>
      </c>
      <c r="W295">
        <f>SMALL(SimData!$E$9:$E$508,294)</f>
        <v>1.7095253660733079</v>
      </c>
      <c r="X295">
        <f>1/(COUNT(SimData!$E$9:$E$508)-1)+$X$294</f>
        <v>0.58717434869739527</v>
      </c>
    </row>
    <row r="296" spans="1:24">
      <c r="A296">
        <v>288</v>
      </c>
      <c r="B296">
        <v>229.12776417809937</v>
      </c>
      <c r="C296">
        <v>161.12776417809937</v>
      </c>
      <c r="D296">
        <v>76.127764178099369</v>
      </c>
      <c r="E296">
        <v>14.127764178099369</v>
      </c>
      <c r="Q296">
        <f>SMALL(SimData!$B$9:$B$508,295)</f>
        <v>216.83951714847018</v>
      </c>
      <c r="R296">
        <f>1/(COUNT(SimData!$B$9:$B$508)-1)+$R$295</f>
        <v>0.58917835671342733</v>
      </c>
      <c r="S296">
        <f>SMALL(SimData!$C$9:$C$508,295)</f>
        <v>148.83951714847018</v>
      </c>
      <c r="T296">
        <f>1/(COUNT(SimData!$C$9:$C$508)-1)+$T$295</f>
        <v>0.58917835671342733</v>
      </c>
      <c r="U296">
        <f>SMALL(SimData!$D$9:$D$508,295)</f>
        <v>63.839517148470179</v>
      </c>
      <c r="V296">
        <f>1/(COUNT(SimData!$D$9:$D$508)-1)+$V$295</f>
        <v>0.58917835671342733</v>
      </c>
      <c r="W296">
        <f>SMALL(SimData!$E$9:$E$508,295)</f>
        <v>1.8395171484701791</v>
      </c>
      <c r="X296">
        <f>1/(COUNT(SimData!$E$9:$E$508)-1)+$X$295</f>
        <v>0.58917835671342733</v>
      </c>
    </row>
    <row r="297" spans="1:24">
      <c r="A297">
        <v>289</v>
      </c>
      <c r="B297">
        <v>196.04444913582171</v>
      </c>
      <c r="C297">
        <v>128.04444913582171</v>
      </c>
      <c r="D297">
        <v>43.044449135821708</v>
      </c>
      <c r="E297">
        <v>-18.955550864178292</v>
      </c>
      <c r="Q297">
        <f>SMALL(SimData!$B$9:$B$508,296)</f>
        <v>217.25090670174706</v>
      </c>
      <c r="R297">
        <f>1/(COUNT(SimData!$B$9:$B$508)-1)+$R$296</f>
        <v>0.5911823647294594</v>
      </c>
      <c r="S297">
        <f>SMALL(SimData!$C$9:$C$508,296)</f>
        <v>149.25090670174706</v>
      </c>
      <c r="T297">
        <f>1/(COUNT(SimData!$C$9:$C$508)-1)+$T$296</f>
        <v>0.5911823647294594</v>
      </c>
      <c r="U297">
        <f>SMALL(SimData!$D$9:$D$508,296)</f>
        <v>64.250906701747056</v>
      </c>
      <c r="V297">
        <f>1/(COUNT(SimData!$D$9:$D$508)-1)+$V$296</f>
        <v>0.5911823647294594</v>
      </c>
      <c r="W297">
        <f>SMALL(SimData!$E$9:$E$508,296)</f>
        <v>2.2509067017470556</v>
      </c>
      <c r="X297">
        <f>1/(COUNT(SimData!$E$9:$E$508)-1)+$X$296</f>
        <v>0.5911823647294594</v>
      </c>
    </row>
    <row r="298" spans="1:24">
      <c r="A298">
        <v>290</v>
      </c>
      <c r="B298">
        <v>327.18860502763079</v>
      </c>
      <c r="C298">
        <v>259.18860502763079</v>
      </c>
      <c r="D298">
        <v>174.18860502763079</v>
      </c>
      <c r="E298">
        <v>112.18860502763079</v>
      </c>
      <c r="Q298">
        <f>SMALL(SimData!$B$9:$B$508,297)</f>
        <v>217.3060408155431</v>
      </c>
      <c r="R298">
        <f>1/(COUNT(SimData!$B$9:$B$508)-1)+$R$297</f>
        <v>0.59318637274549146</v>
      </c>
      <c r="S298">
        <f>SMALL(SimData!$C$9:$C$508,297)</f>
        <v>149.3060408155431</v>
      </c>
      <c r="T298">
        <f>1/(COUNT(SimData!$C$9:$C$508)-1)+$T$297</f>
        <v>0.59318637274549146</v>
      </c>
      <c r="U298">
        <f>SMALL(SimData!$D$9:$D$508,297)</f>
        <v>64.306040815543099</v>
      </c>
      <c r="V298">
        <f>1/(COUNT(SimData!$D$9:$D$508)-1)+$V$297</f>
        <v>0.59318637274549146</v>
      </c>
      <c r="W298">
        <f>SMALL(SimData!$E$9:$E$508,297)</f>
        <v>2.3060408155430991</v>
      </c>
      <c r="X298">
        <f>1/(COUNT(SimData!$E$9:$E$508)-1)+$X$297</f>
        <v>0.59318637274549146</v>
      </c>
    </row>
    <row r="299" spans="1:24">
      <c r="A299">
        <v>291</v>
      </c>
      <c r="B299">
        <v>208.15477681178368</v>
      </c>
      <c r="C299">
        <v>140.15477681178368</v>
      </c>
      <c r="D299">
        <v>55.154776811783677</v>
      </c>
      <c r="E299">
        <v>-6.8452231882163233</v>
      </c>
      <c r="Q299">
        <f>SMALL(SimData!$B$9:$B$508,298)</f>
        <v>217.47470552353252</v>
      </c>
      <c r="R299">
        <f>1/(COUNT(SimData!$B$9:$B$508)-1)+$R$298</f>
        <v>0.59519038076152353</v>
      </c>
      <c r="S299">
        <f>SMALL(SimData!$C$9:$C$508,298)</f>
        <v>149.47470552353252</v>
      </c>
      <c r="T299">
        <f>1/(COUNT(SimData!$C$9:$C$508)-1)+$T$298</f>
        <v>0.59519038076152353</v>
      </c>
      <c r="U299">
        <f>SMALL(SimData!$D$9:$D$508,298)</f>
        <v>64.474705523532521</v>
      </c>
      <c r="V299">
        <f>1/(COUNT(SimData!$D$9:$D$508)-1)+$V$298</f>
        <v>0.59519038076152353</v>
      </c>
      <c r="W299">
        <f>SMALL(SimData!$E$9:$E$508,298)</f>
        <v>2.4747055235325206</v>
      </c>
      <c r="X299">
        <f>1/(COUNT(SimData!$E$9:$E$508)-1)+$X$298</f>
        <v>0.59519038076152353</v>
      </c>
    </row>
    <row r="300" spans="1:24">
      <c r="A300">
        <v>292</v>
      </c>
      <c r="B300">
        <v>170.49985402288723</v>
      </c>
      <c r="C300">
        <v>102.49985402288723</v>
      </c>
      <c r="D300">
        <v>17.499854022887234</v>
      </c>
      <c r="E300">
        <v>-44.500145977112766</v>
      </c>
      <c r="Q300">
        <f>SMALL(SimData!$B$9:$B$508,299)</f>
        <v>217.69401511897502</v>
      </c>
      <c r="R300">
        <f>1/(COUNT(SimData!$B$9:$B$508)-1)+$R$299</f>
        <v>0.5971943887775556</v>
      </c>
      <c r="S300">
        <f>SMALL(SimData!$C$9:$C$508,299)</f>
        <v>149.69401511897502</v>
      </c>
      <c r="T300">
        <f>1/(COUNT(SimData!$C$9:$C$508)-1)+$T$299</f>
        <v>0.5971943887775556</v>
      </c>
      <c r="U300">
        <f>SMALL(SimData!$D$9:$D$508,299)</f>
        <v>64.694015118975017</v>
      </c>
      <c r="V300">
        <f>1/(COUNT(SimData!$D$9:$D$508)-1)+$V$299</f>
        <v>0.5971943887775556</v>
      </c>
      <c r="W300">
        <f>SMALL(SimData!$E$9:$E$508,299)</f>
        <v>2.6940151189750168</v>
      </c>
      <c r="X300">
        <f>1/(COUNT(SimData!$E$9:$E$508)-1)+$X$299</f>
        <v>0.5971943887775556</v>
      </c>
    </row>
    <row r="301" spans="1:24">
      <c r="A301">
        <v>293</v>
      </c>
      <c r="B301">
        <v>248.90368154656818</v>
      </c>
      <c r="C301">
        <v>180.90368154656818</v>
      </c>
      <c r="D301">
        <v>95.90368154656818</v>
      </c>
      <c r="E301">
        <v>33.90368154656818</v>
      </c>
      <c r="Q301">
        <f>SMALL(SimData!$B$9:$B$508,300)</f>
        <v>217.78940670106073</v>
      </c>
      <c r="R301">
        <f>1/(COUNT(SimData!$B$9:$B$508)-1)+$R$300</f>
        <v>0.59919839679358766</v>
      </c>
      <c r="S301">
        <f>SMALL(SimData!$C$9:$C$508,300)</f>
        <v>149.78940670106073</v>
      </c>
      <c r="T301">
        <f>1/(COUNT(SimData!$C$9:$C$508)-1)+$T$300</f>
        <v>0.59919839679358766</v>
      </c>
      <c r="U301">
        <f>SMALL(SimData!$D$9:$D$508,300)</f>
        <v>64.789406701060727</v>
      </c>
      <c r="V301">
        <f>1/(COUNT(SimData!$D$9:$D$508)-1)+$V$300</f>
        <v>0.59919839679358766</v>
      </c>
      <c r="W301">
        <f>SMALL(SimData!$E$9:$E$508,300)</f>
        <v>2.7894067010607273</v>
      </c>
      <c r="X301">
        <f>1/(COUNT(SimData!$E$9:$E$508)-1)+$X$300</f>
        <v>0.59919839679358766</v>
      </c>
    </row>
    <row r="302" spans="1:24">
      <c r="A302">
        <v>294</v>
      </c>
      <c r="B302">
        <v>200.00530377291597</v>
      </c>
      <c r="C302">
        <v>132.00530377291597</v>
      </c>
      <c r="D302">
        <v>47.005303772915966</v>
      </c>
      <c r="E302">
        <v>-14.994696227084034</v>
      </c>
      <c r="Q302">
        <f>SMALL(SimData!$B$9:$B$508,301)</f>
        <v>217.80454208940876</v>
      </c>
      <c r="R302">
        <f>1/(COUNT(SimData!$B$9:$B$508)-1)+$R$301</f>
        <v>0.60120240480961973</v>
      </c>
      <c r="S302">
        <f>SMALL(SimData!$C$9:$C$508,301)</f>
        <v>149.80454208940876</v>
      </c>
      <c r="T302">
        <f>1/(COUNT(SimData!$C$9:$C$508)-1)+$T$301</f>
        <v>0.60120240480961973</v>
      </c>
      <c r="U302">
        <f>SMALL(SimData!$D$9:$D$508,301)</f>
        <v>64.804542089408756</v>
      </c>
      <c r="V302">
        <f>1/(COUNT(SimData!$D$9:$D$508)-1)+$V$301</f>
        <v>0.60120240480961973</v>
      </c>
      <c r="W302">
        <f>SMALL(SimData!$E$9:$E$508,301)</f>
        <v>2.8045420894087556</v>
      </c>
      <c r="X302">
        <f>1/(COUNT(SimData!$E$9:$E$508)-1)+$X$301</f>
        <v>0.60120240480961973</v>
      </c>
    </row>
    <row r="303" spans="1:24">
      <c r="A303">
        <v>295</v>
      </c>
      <c r="B303">
        <v>90.151142979497081</v>
      </c>
      <c r="C303">
        <v>22.151142979497081</v>
      </c>
      <c r="D303">
        <v>-62.848857020502919</v>
      </c>
      <c r="E303">
        <v>-124.84885702050292</v>
      </c>
      <c r="Q303">
        <f>SMALL(SimData!$B$9:$B$508,302)</f>
        <v>217.87229710172352</v>
      </c>
      <c r="R303">
        <f>1/(COUNT(SimData!$B$9:$B$508)-1)+$R$302</f>
        <v>0.60320641282565179</v>
      </c>
      <c r="S303">
        <f>SMALL(SimData!$C$9:$C$508,302)</f>
        <v>149.87229710172352</v>
      </c>
      <c r="T303">
        <f>1/(COUNT(SimData!$C$9:$C$508)-1)+$T$302</f>
        <v>0.60320641282565179</v>
      </c>
      <c r="U303">
        <f>SMALL(SimData!$D$9:$D$508,302)</f>
        <v>64.872297101723518</v>
      </c>
      <c r="V303">
        <f>1/(COUNT(SimData!$D$9:$D$508)-1)+$V$302</f>
        <v>0.60320641282565179</v>
      </c>
      <c r="W303">
        <f>SMALL(SimData!$E$9:$E$508,302)</f>
        <v>2.8722971017235182</v>
      </c>
      <c r="X303">
        <f>1/(COUNT(SimData!$E$9:$E$508)-1)+$X$302</f>
        <v>0.60320641282565179</v>
      </c>
    </row>
    <row r="304" spans="1:24">
      <c r="A304">
        <v>296</v>
      </c>
      <c r="B304">
        <v>240.54942257004245</v>
      </c>
      <c r="C304">
        <v>172.54942257004245</v>
      </c>
      <c r="D304">
        <v>87.549422570042452</v>
      </c>
      <c r="E304">
        <v>25.549422570042452</v>
      </c>
      <c r="Q304">
        <f>SMALL(SimData!$B$9:$B$508,303)</f>
        <v>217.89900140481097</v>
      </c>
      <c r="R304">
        <f>1/(COUNT(SimData!$B$9:$B$508)-1)+$R$303</f>
        <v>0.60521042084168386</v>
      </c>
      <c r="S304">
        <f>SMALL(SimData!$C$9:$C$508,303)</f>
        <v>149.89900140481097</v>
      </c>
      <c r="T304">
        <f>1/(COUNT(SimData!$C$9:$C$508)-1)+$T$303</f>
        <v>0.60521042084168386</v>
      </c>
      <c r="U304">
        <f>SMALL(SimData!$D$9:$D$508,303)</f>
        <v>64.899001404810974</v>
      </c>
      <c r="V304">
        <f>1/(COUNT(SimData!$D$9:$D$508)-1)+$V$303</f>
        <v>0.60521042084168386</v>
      </c>
      <c r="W304">
        <f>SMALL(SimData!$E$9:$E$508,303)</f>
        <v>2.8990014048109742</v>
      </c>
      <c r="X304">
        <f>1/(COUNT(SimData!$E$9:$E$508)-1)+$X$303</f>
        <v>0.60521042084168386</v>
      </c>
    </row>
    <row r="305" spans="1:24">
      <c r="A305">
        <v>297</v>
      </c>
      <c r="B305">
        <v>218.62801809658572</v>
      </c>
      <c r="C305">
        <v>150.62801809658572</v>
      </c>
      <c r="D305">
        <v>65.62801809658572</v>
      </c>
      <c r="E305">
        <v>3.6280180965857198</v>
      </c>
      <c r="Q305">
        <f>SMALL(SimData!$B$9:$B$508,304)</f>
        <v>218.00780383130387</v>
      </c>
      <c r="R305">
        <f>1/(COUNT(SimData!$B$9:$B$508)-1)+$R$304</f>
        <v>0.60721442885771593</v>
      </c>
      <c r="S305">
        <f>SMALL(SimData!$C$9:$C$508,304)</f>
        <v>150.00780383130387</v>
      </c>
      <c r="T305">
        <f>1/(COUNT(SimData!$C$9:$C$508)-1)+$T$304</f>
        <v>0.60721442885771593</v>
      </c>
      <c r="U305">
        <f>SMALL(SimData!$D$9:$D$508,304)</f>
        <v>65.007803831303875</v>
      </c>
      <c r="V305">
        <f>1/(COUNT(SimData!$D$9:$D$508)-1)+$V$304</f>
        <v>0.60721442885771593</v>
      </c>
      <c r="W305">
        <f>SMALL(SimData!$E$9:$E$508,304)</f>
        <v>3.0078038313038746</v>
      </c>
      <c r="X305">
        <f>1/(COUNT(SimData!$E$9:$E$508)-1)+$X$304</f>
        <v>0.60721442885771593</v>
      </c>
    </row>
    <row r="306" spans="1:24">
      <c r="A306">
        <v>298</v>
      </c>
      <c r="B306">
        <v>136.51677696210817</v>
      </c>
      <c r="C306">
        <v>68.516776962108167</v>
      </c>
      <c r="D306">
        <v>-16.483223037891833</v>
      </c>
      <c r="E306">
        <v>-78.483223037891833</v>
      </c>
      <c r="Q306">
        <f>SMALL(SimData!$B$9:$B$508,305)</f>
        <v>218.26426065482093</v>
      </c>
      <c r="R306">
        <f>1/(COUNT(SimData!$B$9:$B$508)-1)+$R$305</f>
        <v>0.60921843687374799</v>
      </c>
      <c r="S306">
        <f>SMALL(SimData!$C$9:$C$508,305)</f>
        <v>150.26426065482093</v>
      </c>
      <c r="T306">
        <f>1/(COUNT(SimData!$C$9:$C$508)-1)+$T$305</f>
        <v>0.60921843687374799</v>
      </c>
      <c r="U306">
        <f>SMALL(SimData!$D$9:$D$508,305)</f>
        <v>65.26426065482093</v>
      </c>
      <c r="V306">
        <f>1/(COUNT(SimData!$D$9:$D$508)-1)+$V$305</f>
        <v>0.60921843687374799</v>
      </c>
      <c r="W306">
        <f>SMALL(SimData!$E$9:$E$508,305)</f>
        <v>3.2642606548209301</v>
      </c>
      <c r="X306">
        <f>1/(COUNT(SimData!$E$9:$E$508)-1)+$X$305</f>
        <v>0.60921843687374799</v>
      </c>
    </row>
    <row r="307" spans="1:24">
      <c r="A307">
        <v>299</v>
      </c>
      <c r="B307">
        <v>235.51795240595834</v>
      </c>
      <c r="C307">
        <v>167.51795240595834</v>
      </c>
      <c r="D307">
        <v>82.51795240595834</v>
      </c>
      <c r="E307">
        <v>20.51795240595834</v>
      </c>
      <c r="Q307">
        <f>SMALL(SimData!$B$9:$B$508,306)</f>
        <v>218.47022469258201</v>
      </c>
      <c r="R307">
        <f>1/(COUNT(SimData!$B$9:$B$508)-1)+$R$306</f>
        <v>0.61122244488978006</v>
      </c>
      <c r="S307">
        <f>SMALL(SimData!$C$9:$C$508,306)</f>
        <v>150.47022469258201</v>
      </c>
      <c r="T307">
        <f>1/(COUNT(SimData!$C$9:$C$508)-1)+$T$306</f>
        <v>0.61122244488978006</v>
      </c>
      <c r="U307">
        <f>SMALL(SimData!$D$9:$D$508,306)</f>
        <v>65.470224692582008</v>
      </c>
      <c r="V307">
        <f>1/(COUNT(SimData!$D$9:$D$508)-1)+$V$306</f>
        <v>0.61122244488978006</v>
      </c>
      <c r="W307">
        <f>SMALL(SimData!$E$9:$E$508,306)</f>
        <v>3.4702246925820077</v>
      </c>
      <c r="X307">
        <f>1/(COUNT(SimData!$E$9:$E$508)-1)+$X$306</f>
        <v>0.61122244488978006</v>
      </c>
    </row>
    <row r="308" spans="1:24">
      <c r="A308">
        <v>300</v>
      </c>
      <c r="B308">
        <v>206.0683387279434</v>
      </c>
      <c r="C308">
        <v>138.0683387279434</v>
      </c>
      <c r="D308">
        <v>53.068338727943399</v>
      </c>
      <c r="E308">
        <v>-8.9316612720566013</v>
      </c>
      <c r="Q308">
        <f>SMALL(SimData!$B$9:$B$508,307)</f>
        <v>218.59308548071169</v>
      </c>
      <c r="R308">
        <f>1/(COUNT(SimData!$B$9:$B$508)-1)+$R$307</f>
        <v>0.61322645290581212</v>
      </c>
      <c r="S308">
        <f>SMALL(SimData!$C$9:$C$508,307)</f>
        <v>150.59308548071169</v>
      </c>
      <c r="T308">
        <f>1/(COUNT(SimData!$C$9:$C$508)-1)+$T$307</f>
        <v>0.61322645290581212</v>
      </c>
      <c r="U308">
        <f>SMALL(SimData!$D$9:$D$508,307)</f>
        <v>65.593085480711693</v>
      </c>
      <c r="V308">
        <f>1/(COUNT(SimData!$D$9:$D$508)-1)+$V$307</f>
        <v>0.61322645290581212</v>
      </c>
      <c r="W308">
        <f>SMALL(SimData!$E$9:$E$508,307)</f>
        <v>3.593085480711693</v>
      </c>
      <c r="X308">
        <f>1/(COUNT(SimData!$E$9:$E$508)-1)+$X$307</f>
        <v>0.61322645290581212</v>
      </c>
    </row>
    <row r="309" spans="1:24">
      <c r="A309">
        <v>301</v>
      </c>
      <c r="B309">
        <v>277.6429494973342</v>
      </c>
      <c r="C309">
        <v>209.6429494973342</v>
      </c>
      <c r="D309">
        <v>124.6429494973342</v>
      </c>
      <c r="E309">
        <v>62.6429494973342</v>
      </c>
      <c r="Q309">
        <f>SMALL(SimData!$B$9:$B$508,308)</f>
        <v>218.62146568059109</v>
      </c>
      <c r="R309">
        <f>1/(COUNT(SimData!$B$9:$B$508)-1)+$R$308</f>
        <v>0.61523046092184419</v>
      </c>
      <c r="S309">
        <f>SMALL(SimData!$C$9:$C$508,308)</f>
        <v>150.62146568059109</v>
      </c>
      <c r="T309">
        <f>1/(COUNT(SimData!$C$9:$C$508)-1)+$T$308</f>
        <v>0.61523046092184419</v>
      </c>
      <c r="U309">
        <f>SMALL(SimData!$D$9:$D$508,308)</f>
        <v>65.621465680591086</v>
      </c>
      <c r="V309">
        <f>1/(COUNT(SimData!$D$9:$D$508)-1)+$V$308</f>
        <v>0.61523046092184419</v>
      </c>
      <c r="W309">
        <f>SMALL(SimData!$E$9:$E$508,308)</f>
        <v>3.6214656805910863</v>
      </c>
      <c r="X309">
        <f>1/(COUNT(SimData!$E$9:$E$508)-1)+$X$308</f>
        <v>0.61523046092184419</v>
      </c>
    </row>
    <row r="310" spans="1:24">
      <c r="A310">
        <v>302</v>
      </c>
      <c r="B310">
        <v>232.40438770075951</v>
      </c>
      <c r="C310">
        <v>164.40438770075951</v>
      </c>
      <c r="D310">
        <v>79.404387700759514</v>
      </c>
      <c r="E310">
        <v>17.404387700759514</v>
      </c>
      <c r="Q310">
        <f>SMALL(SimData!$B$9:$B$508,309)</f>
        <v>218.62801809658572</v>
      </c>
      <c r="R310">
        <f>1/(COUNT(SimData!$B$9:$B$508)-1)+$R$309</f>
        <v>0.61723446893787626</v>
      </c>
      <c r="S310">
        <f>SMALL(SimData!$C$9:$C$508,309)</f>
        <v>150.62801809658572</v>
      </c>
      <c r="T310">
        <f>1/(COUNT(SimData!$C$9:$C$508)-1)+$T$309</f>
        <v>0.61723446893787626</v>
      </c>
      <c r="U310">
        <f>SMALL(SimData!$D$9:$D$508,309)</f>
        <v>65.62801809658572</v>
      </c>
      <c r="V310">
        <f>1/(COUNT(SimData!$D$9:$D$508)-1)+$V$309</f>
        <v>0.61723446893787626</v>
      </c>
      <c r="W310">
        <f>SMALL(SimData!$E$9:$E$508,309)</f>
        <v>3.6280180965857198</v>
      </c>
      <c r="X310">
        <f>1/(COUNT(SimData!$E$9:$E$508)-1)+$X$309</f>
        <v>0.61723446893787626</v>
      </c>
    </row>
    <row r="311" spans="1:24">
      <c r="A311">
        <v>303</v>
      </c>
      <c r="B311">
        <v>157.66240251813497</v>
      </c>
      <c r="C311">
        <v>89.662402518134968</v>
      </c>
      <c r="D311">
        <v>4.662402518134968</v>
      </c>
      <c r="E311">
        <v>-57.337597481865032</v>
      </c>
      <c r="Q311">
        <f>SMALL(SimData!$B$9:$B$508,310)</f>
        <v>219.88471051014619</v>
      </c>
      <c r="R311">
        <f>1/(COUNT(SimData!$B$9:$B$508)-1)+$R$310</f>
        <v>0.61923847695390832</v>
      </c>
      <c r="S311">
        <f>SMALL(SimData!$C$9:$C$508,310)</f>
        <v>151.88471051014619</v>
      </c>
      <c r="T311">
        <f>1/(COUNT(SimData!$C$9:$C$508)-1)+$T$310</f>
        <v>0.61923847695390832</v>
      </c>
      <c r="U311">
        <f>SMALL(SimData!$D$9:$D$508,310)</f>
        <v>66.884710510146192</v>
      </c>
      <c r="V311">
        <f>1/(COUNT(SimData!$D$9:$D$508)-1)+$V$310</f>
        <v>0.61923847695390832</v>
      </c>
      <c r="W311">
        <f>SMALL(SimData!$E$9:$E$508,310)</f>
        <v>4.8847105101461921</v>
      </c>
      <c r="X311">
        <f>1/(COUNT(SimData!$E$9:$E$508)-1)+$X$310</f>
        <v>0.61923847695390832</v>
      </c>
    </row>
    <row r="312" spans="1:24">
      <c r="A312">
        <v>304</v>
      </c>
      <c r="B312">
        <v>268.98923045574202</v>
      </c>
      <c r="C312">
        <v>200.98923045574202</v>
      </c>
      <c r="D312">
        <v>115.98923045574202</v>
      </c>
      <c r="E312">
        <v>53.989230455742018</v>
      </c>
      <c r="Q312">
        <f>SMALL(SimData!$B$9:$B$508,311)</f>
        <v>219.97606892657717</v>
      </c>
      <c r="R312">
        <f>1/(COUNT(SimData!$B$9:$B$508)-1)+$R$311</f>
        <v>0.62124248496994039</v>
      </c>
      <c r="S312">
        <f>SMALL(SimData!$C$9:$C$508,311)</f>
        <v>151.97606892657717</v>
      </c>
      <c r="T312">
        <f>1/(COUNT(SimData!$C$9:$C$508)-1)+$T$311</f>
        <v>0.62124248496994039</v>
      </c>
      <c r="U312">
        <f>SMALL(SimData!$D$9:$D$508,311)</f>
        <v>66.97606892657717</v>
      </c>
      <c r="V312">
        <f>1/(COUNT(SimData!$D$9:$D$508)-1)+$V$311</f>
        <v>0.62124248496994039</v>
      </c>
      <c r="W312">
        <f>SMALL(SimData!$E$9:$E$508,311)</f>
        <v>4.9760689265771703</v>
      </c>
      <c r="X312">
        <f>1/(COUNT(SimData!$E$9:$E$508)-1)+$X$311</f>
        <v>0.62124248496994039</v>
      </c>
    </row>
    <row r="313" spans="1:24">
      <c r="A313">
        <v>305</v>
      </c>
      <c r="B313">
        <v>172.38464396835241</v>
      </c>
      <c r="C313">
        <v>104.38464396835241</v>
      </c>
      <c r="D313">
        <v>19.384643968352407</v>
      </c>
      <c r="E313">
        <v>-42.615356031647593</v>
      </c>
      <c r="Q313">
        <f>SMALL(SimData!$B$9:$B$508,312)</f>
        <v>220.15321969280643</v>
      </c>
      <c r="R313">
        <f>1/(COUNT(SimData!$B$9:$B$508)-1)+$R$312</f>
        <v>0.62324649298597246</v>
      </c>
      <c r="S313">
        <f>SMALL(SimData!$C$9:$C$508,312)</f>
        <v>152.15321969280643</v>
      </c>
      <c r="T313">
        <f>1/(COUNT(SimData!$C$9:$C$508)-1)+$T$312</f>
        <v>0.62324649298597246</v>
      </c>
      <c r="U313">
        <f>SMALL(SimData!$D$9:$D$508,312)</f>
        <v>67.153219692806431</v>
      </c>
      <c r="V313">
        <f>1/(COUNT(SimData!$D$9:$D$508)-1)+$V$312</f>
        <v>0.62324649298597246</v>
      </c>
      <c r="W313">
        <f>SMALL(SimData!$E$9:$E$508,312)</f>
        <v>5.1532196928064309</v>
      </c>
      <c r="X313">
        <f>1/(COUNT(SimData!$E$9:$E$508)-1)+$X$312</f>
        <v>0.62324649298597246</v>
      </c>
    </row>
    <row r="314" spans="1:24">
      <c r="A314">
        <v>306</v>
      </c>
      <c r="B314">
        <v>144.15764478423256</v>
      </c>
      <c r="C314">
        <v>76.157644784232559</v>
      </c>
      <c r="D314">
        <v>-8.8423552157674408</v>
      </c>
      <c r="E314">
        <v>-70.842355215767441</v>
      </c>
      <c r="Q314">
        <f>SMALL(SimData!$B$9:$B$508,313)</f>
        <v>220.31799731577195</v>
      </c>
      <c r="R314">
        <f>1/(COUNT(SimData!$B$9:$B$508)-1)+$R$313</f>
        <v>0.62525050100200452</v>
      </c>
      <c r="S314">
        <f>SMALL(SimData!$C$9:$C$508,313)</f>
        <v>152.31799731577195</v>
      </c>
      <c r="T314">
        <f>1/(COUNT(SimData!$C$9:$C$508)-1)+$T$313</f>
        <v>0.62525050100200452</v>
      </c>
      <c r="U314">
        <f>SMALL(SimData!$D$9:$D$508,313)</f>
        <v>67.317997315771947</v>
      </c>
      <c r="V314">
        <f>1/(COUNT(SimData!$D$9:$D$508)-1)+$V$313</f>
        <v>0.62525050100200452</v>
      </c>
      <c r="W314">
        <f>SMALL(SimData!$E$9:$E$508,313)</f>
        <v>5.3179973157719473</v>
      </c>
      <c r="X314">
        <f>1/(COUNT(SimData!$E$9:$E$508)-1)+$X$313</f>
        <v>0.62525050100200452</v>
      </c>
    </row>
    <row r="315" spans="1:24">
      <c r="A315">
        <v>307</v>
      </c>
      <c r="B315">
        <v>206.85118244879203</v>
      </c>
      <c r="C315">
        <v>138.85118244879203</v>
      </c>
      <c r="D315">
        <v>53.851182448792031</v>
      </c>
      <c r="E315">
        <v>-8.1488175512079692</v>
      </c>
      <c r="Q315">
        <f>SMALL(SimData!$B$9:$B$508,314)</f>
        <v>220.54751314189366</v>
      </c>
      <c r="R315">
        <f>1/(COUNT(SimData!$B$9:$B$508)-1)+$R$314</f>
        <v>0.62725450901803659</v>
      </c>
      <c r="S315">
        <f>SMALL(SimData!$C$9:$C$508,314)</f>
        <v>152.54751314189366</v>
      </c>
      <c r="T315">
        <f>1/(COUNT(SimData!$C$9:$C$508)-1)+$T$314</f>
        <v>0.62725450901803659</v>
      </c>
      <c r="U315">
        <f>SMALL(SimData!$D$9:$D$508,314)</f>
        <v>67.54751314189366</v>
      </c>
      <c r="V315">
        <f>1/(COUNT(SimData!$D$9:$D$508)-1)+$V$314</f>
        <v>0.62725450901803659</v>
      </c>
      <c r="W315">
        <f>SMALL(SimData!$E$9:$E$508,314)</f>
        <v>5.5475131418936598</v>
      </c>
      <c r="X315">
        <f>1/(COUNT(SimData!$E$9:$E$508)-1)+$X$314</f>
        <v>0.62725450901803659</v>
      </c>
    </row>
    <row r="316" spans="1:24">
      <c r="A316">
        <v>308</v>
      </c>
      <c r="B316">
        <v>231.40933258955044</v>
      </c>
      <c r="C316">
        <v>163.40933258955044</v>
      </c>
      <c r="D316">
        <v>78.409332589550445</v>
      </c>
      <c r="E316">
        <v>16.409332589550445</v>
      </c>
      <c r="Q316">
        <f>SMALL(SimData!$B$9:$B$508,315)</f>
        <v>220.75074472082827</v>
      </c>
      <c r="R316">
        <f>1/(COUNT(SimData!$B$9:$B$508)-1)+$R$315</f>
        <v>0.62925851703406865</v>
      </c>
      <c r="S316">
        <f>SMALL(SimData!$C$9:$C$508,315)</f>
        <v>152.75074472082827</v>
      </c>
      <c r="T316">
        <f>1/(COUNT(SimData!$C$9:$C$508)-1)+$T$315</f>
        <v>0.62925851703406865</v>
      </c>
      <c r="U316">
        <f>SMALL(SimData!$D$9:$D$508,315)</f>
        <v>67.750744720828266</v>
      </c>
      <c r="V316">
        <f>1/(COUNT(SimData!$D$9:$D$508)-1)+$V$315</f>
        <v>0.62925851703406865</v>
      </c>
      <c r="W316">
        <f>SMALL(SimData!$E$9:$E$508,315)</f>
        <v>5.7507447208282656</v>
      </c>
      <c r="X316">
        <f>1/(COUNT(SimData!$E$9:$E$508)-1)+$X$315</f>
        <v>0.62925851703406865</v>
      </c>
    </row>
    <row r="317" spans="1:24">
      <c r="A317">
        <v>309</v>
      </c>
      <c r="B317">
        <v>215.07513153116463</v>
      </c>
      <c r="C317">
        <v>147.07513153116463</v>
      </c>
      <c r="D317">
        <v>62.075131531164629</v>
      </c>
      <c r="E317">
        <v>7.513153116462945E-2</v>
      </c>
      <c r="Q317">
        <f>SMALL(SimData!$B$9:$B$508,316)</f>
        <v>221.09252157764274</v>
      </c>
      <c r="R317">
        <f>1/(COUNT(SimData!$B$9:$B$508)-1)+$R$316</f>
        <v>0.63126252505010072</v>
      </c>
      <c r="S317">
        <f>SMALL(SimData!$C$9:$C$508,316)</f>
        <v>153.09252157764274</v>
      </c>
      <c r="T317">
        <f>1/(COUNT(SimData!$C$9:$C$508)-1)+$T$316</f>
        <v>0.63126252505010072</v>
      </c>
      <c r="U317">
        <f>SMALL(SimData!$D$9:$D$508,316)</f>
        <v>68.092521577642742</v>
      </c>
      <c r="V317">
        <f>1/(COUNT(SimData!$D$9:$D$508)-1)+$V$316</f>
        <v>0.63126252505010072</v>
      </c>
      <c r="W317">
        <f>SMALL(SimData!$E$9:$E$508,316)</f>
        <v>6.0925215776427422</v>
      </c>
      <c r="X317">
        <f>1/(COUNT(SimData!$E$9:$E$508)-1)+$X$316</f>
        <v>0.63126252505010072</v>
      </c>
    </row>
    <row r="318" spans="1:24">
      <c r="A318">
        <v>310</v>
      </c>
      <c r="B318">
        <v>316.72235258132025</v>
      </c>
      <c r="C318">
        <v>248.72235258132025</v>
      </c>
      <c r="D318">
        <v>163.72235258132025</v>
      </c>
      <c r="E318">
        <v>101.72235258132025</v>
      </c>
      <c r="Q318">
        <f>SMALL(SimData!$B$9:$B$508,317)</f>
        <v>221.24840649630414</v>
      </c>
      <c r="R318">
        <f>1/(COUNT(SimData!$B$9:$B$508)-1)+$R$317</f>
        <v>0.63326653306613279</v>
      </c>
      <c r="S318">
        <f>SMALL(SimData!$C$9:$C$508,317)</f>
        <v>153.24840649630414</v>
      </c>
      <c r="T318">
        <f>1/(COUNT(SimData!$C$9:$C$508)-1)+$T$317</f>
        <v>0.63326653306613279</v>
      </c>
      <c r="U318">
        <f>SMALL(SimData!$D$9:$D$508,317)</f>
        <v>68.248406496304142</v>
      </c>
      <c r="V318">
        <f>1/(COUNT(SimData!$D$9:$D$508)-1)+$V$317</f>
        <v>0.63326653306613279</v>
      </c>
      <c r="W318">
        <f>SMALL(SimData!$E$9:$E$508,317)</f>
        <v>6.2484064963041419</v>
      </c>
      <c r="X318">
        <f>1/(COUNT(SimData!$E$9:$E$508)-1)+$X$317</f>
        <v>0.63326653306613279</v>
      </c>
    </row>
    <row r="319" spans="1:24">
      <c r="A319">
        <v>311</v>
      </c>
      <c r="B319">
        <v>149.58156247490291</v>
      </c>
      <c r="C319">
        <v>81.58156247490291</v>
      </c>
      <c r="D319">
        <v>-3.4184375250970902</v>
      </c>
      <c r="E319">
        <v>-65.41843752509709</v>
      </c>
      <c r="Q319">
        <f>SMALL(SimData!$B$9:$B$508,318)</f>
        <v>221.38455431287809</v>
      </c>
      <c r="R319">
        <f>1/(COUNT(SimData!$B$9:$B$508)-1)+$R$318</f>
        <v>0.63527054108216485</v>
      </c>
      <c r="S319">
        <f>SMALL(SimData!$C$9:$C$508,318)</f>
        <v>153.38455431287809</v>
      </c>
      <c r="T319">
        <f>1/(COUNT(SimData!$C$9:$C$508)-1)+$T$318</f>
        <v>0.63527054108216485</v>
      </c>
      <c r="U319">
        <f>SMALL(SimData!$D$9:$D$508,318)</f>
        <v>68.384554312878095</v>
      </c>
      <c r="V319">
        <f>1/(COUNT(SimData!$D$9:$D$508)-1)+$V$318</f>
        <v>0.63527054108216485</v>
      </c>
      <c r="W319">
        <f>SMALL(SimData!$E$9:$E$508,318)</f>
        <v>6.3845543128780946</v>
      </c>
      <c r="X319">
        <f>1/(COUNT(SimData!$E$9:$E$508)-1)+$X$318</f>
        <v>0.63527054108216485</v>
      </c>
    </row>
    <row r="320" spans="1:24">
      <c r="A320">
        <v>312</v>
      </c>
      <c r="B320">
        <v>163.73461223983367</v>
      </c>
      <c r="C320">
        <v>95.734612239833666</v>
      </c>
      <c r="D320">
        <v>10.734612239833666</v>
      </c>
      <c r="E320">
        <v>-51.265387760166334</v>
      </c>
      <c r="Q320">
        <f>SMALL(SimData!$B$9:$B$508,319)</f>
        <v>221.43530657944109</v>
      </c>
      <c r="R320">
        <f>1/(COUNT(SimData!$B$9:$B$508)-1)+$R$319</f>
        <v>0.63727454909819692</v>
      </c>
      <c r="S320">
        <f>SMALL(SimData!$C$9:$C$508,319)</f>
        <v>153.43530657944109</v>
      </c>
      <c r="T320">
        <f>1/(COUNT(SimData!$C$9:$C$508)-1)+$T$319</f>
        <v>0.63727454909819692</v>
      </c>
      <c r="U320">
        <f>SMALL(SimData!$D$9:$D$508,319)</f>
        <v>68.43530657944109</v>
      </c>
      <c r="V320">
        <f>1/(COUNT(SimData!$D$9:$D$508)-1)+$V$319</f>
        <v>0.63727454909819692</v>
      </c>
      <c r="W320">
        <f>SMALL(SimData!$E$9:$E$508,319)</f>
        <v>6.4353065794410895</v>
      </c>
      <c r="X320">
        <f>1/(COUNT(SimData!$E$9:$E$508)-1)+$X$319</f>
        <v>0.63727454909819692</v>
      </c>
    </row>
    <row r="321" spans="1:24">
      <c r="A321">
        <v>313</v>
      </c>
      <c r="B321">
        <v>234.32582503211785</v>
      </c>
      <c r="C321">
        <v>166.32582503211785</v>
      </c>
      <c r="D321">
        <v>81.325825032117848</v>
      </c>
      <c r="E321">
        <v>19.325825032117848</v>
      </c>
      <c r="Q321">
        <f>SMALL(SimData!$B$9:$B$508,320)</f>
        <v>221.60395217112392</v>
      </c>
      <c r="R321">
        <f>1/(COUNT(SimData!$B$9:$B$508)-1)+$R$320</f>
        <v>0.63927855711422898</v>
      </c>
      <c r="S321">
        <f>SMALL(SimData!$C$9:$C$508,320)</f>
        <v>153.60395217112392</v>
      </c>
      <c r="T321">
        <f>1/(COUNT(SimData!$C$9:$C$508)-1)+$T$320</f>
        <v>0.63927855711422898</v>
      </c>
      <c r="U321">
        <f>SMALL(SimData!$D$9:$D$508,320)</f>
        <v>68.603952171123922</v>
      </c>
      <c r="V321">
        <f>1/(COUNT(SimData!$D$9:$D$508)-1)+$V$320</f>
        <v>0.63927855711422898</v>
      </c>
      <c r="W321">
        <f>SMALL(SimData!$E$9:$E$508,320)</f>
        <v>6.6039521711239217</v>
      </c>
      <c r="X321">
        <f>1/(COUNT(SimData!$E$9:$E$508)-1)+$X$320</f>
        <v>0.63927855711422898</v>
      </c>
    </row>
    <row r="322" spans="1:24">
      <c r="A322">
        <v>314</v>
      </c>
      <c r="B322">
        <v>218.00780383130387</v>
      </c>
      <c r="C322">
        <v>150.00780383130387</v>
      </c>
      <c r="D322">
        <v>65.007803831303875</v>
      </c>
      <c r="E322">
        <v>3.0078038313038746</v>
      </c>
      <c r="Q322">
        <f>SMALL(SimData!$B$9:$B$508,321)</f>
        <v>221.63945044613126</v>
      </c>
      <c r="R322">
        <f>1/(COUNT(SimData!$B$9:$B$508)-1)+$R$321</f>
        <v>0.64128256513026105</v>
      </c>
      <c r="S322">
        <f>SMALL(SimData!$C$9:$C$508,321)</f>
        <v>153.63945044613126</v>
      </c>
      <c r="T322">
        <f>1/(COUNT(SimData!$C$9:$C$508)-1)+$T$321</f>
        <v>0.64128256513026105</v>
      </c>
      <c r="U322">
        <f>SMALL(SimData!$D$9:$D$508,321)</f>
        <v>68.639450446131264</v>
      </c>
      <c r="V322">
        <f>1/(COUNT(SimData!$D$9:$D$508)-1)+$V$321</f>
        <v>0.64128256513026105</v>
      </c>
      <c r="W322">
        <f>SMALL(SimData!$E$9:$E$508,321)</f>
        <v>6.6394504461312636</v>
      </c>
      <c r="X322">
        <f>1/(COUNT(SimData!$E$9:$E$508)-1)+$X$321</f>
        <v>0.64128256513026105</v>
      </c>
    </row>
    <row r="323" spans="1:24">
      <c r="A323">
        <v>315</v>
      </c>
      <c r="B323">
        <v>157.49616086685023</v>
      </c>
      <c r="C323">
        <v>89.496160866850232</v>
      </c>
      <c r="D323">
        <v>4.4961608668502322</v>
      </c>
      <c r="E323">
        <v>-57.503839133149768</v>
      </c>
      <c r="Q323">
        <f>SMALL(SimData!$B$9:$B$508,322)</f>
        <v>221.65101928180468</v>
      </c>
      <c r="R323">
        <f>1/(COUNT(SimData!$B$9:$B$508)-1)+$R$322</f>
        <v>0.64328657314629312</v>
      </c>
      <c r="S323">
        <f>SMALL(SimData!$C$9:$C$508,322)</f>
        <v>153.65101928180468</v>
      </c>
      <c r="T323">
        <f>1/(COUNT(SimData!$C$9:$C$508)-1)+$T$322</f>
        <v>0.64328657314629312</v>
      </c>
      <c r="U323">
        <f>SMALL(SimData!$D$9:$D$508,322)</f>
        <v>68.651019281804679</v>
      </c>
      <c r="V323">
        <f>1/(COUNT(SimData!$D$9:$D$508)-1)+$V$322</f>
        <v>0.64328657314629312</v>
      </c>
      <c r="W323">
        <f>SMALL(SimData!$E$9:$E$508,322)</f>
        <v>6.6510192818046789</v>
      </c>
      <c r="X323">
        <f>1/(COUNT(SimData!$E$9:$E$508)-1)+$X$322</f>
        <v>0.64328657314629312</v>
      </c>
    </row>
    <row r="324" spans="1:24">
      <c r="A324">
        <v>316</v>
      </c>
      <c r="B324">
        <v>187.57829668328344</v>
      </c>
      <c r="C324">
        <v>119.57829668328344</v>
      </c>
      <c r="D324">
        <v>34.57829668328344</v>
      </c>
      <c r="E324">
        <v>-27.42170331671656</v>
      </c>
      <c r="Q324">
        <f>SMALL(SimData!$B$9:$B$508,323)</f>
        <v>221.81628185020185</v>
      </c>
      <c r="R324">
        <f>1/(COUNT(SimData!$B$9:$B$508)-1)+$R$323</f>
        <v>0.64529058116232518</v>
      </c>
      <c r="S324">
        <f>SMALL(SimData!$C$9:$C$508,323)</f>
        <v>153.81628185020185</v>
      </c>
      <c r="T324">
        <f>1/(COUNT(SimData!$C$9:$C$508)-1)+$T$323</f>
        <v>0.64529058116232518</v>
      </c>
      <c r="U324">
        <f>SMALL(SimData!$D$9:$D$508,323)</f>
        <v>68.816281850201847</v>
      </c>
      <c r="V324">
        <f>1/(COUNT(SimData!$D$9:$D$508)-1)+$V$323</f>
        <v>0.64529058116232518</v>
      </c>
      <c r="W324">
        <f>SMALL(SimData!$E$9:$E$508,323)</f>
        <v>6.8162818502018467</v>
      </c>
      <c r="X324">
        <f>1/(COUNT(SimData!$E$9:$E$508)-1)+$X$323</f>
        <v>0.64529058116232518</v>
      </c>
    </row>
    <row r="325" spans="1:24">
      <c r="A325">
        <v>317</v>
      </c>
      <c r="B325">
        <v>170.23144935987892</v>
      </c>
      <c r="C325">
        <v>102.23144935987892</v>
      </c>
      <c r="D325">
        <v>17.231449359878923</v>
      </c>
      <c r="E325">
        <v>-44.768550640121077</v>
      </c>
      <c r="Q325">
        <f>SMALL(SimData!$B$9:$B$508,324)</f>
        <v>221.9441966783553</v>
      </c>
      <c r="R325">
        <f>1/(COUNT(SimData!$B$9:$B$508)-1)+$R$324</f>
        <v>0.64729458917835725</v>
      </c>
      <c r="S325">
        <f>SMALL(SimData!$C$9:$C$508,324)</f>
        <v>153.9441966783553</v>
      </c>
      <c r="T325">
        <f>1/(COUNT(SimData!$C$9:$C$508)-1)+$T$324</f>
        <v>0.64729458917835725</v>
      </c>
      <c r="U325">
        <f>SMALL(SimData!$D$9:$D$508,324)</f>
        <v>68.944196678355297</v>
      </c>
      <c r="V325">
        <f>1/(COUNT(SimData!$D$9:$D$508)-1)+$V$324</f>
        <v>0.64729458917835725</v>
      </c>
      <c r="W325">
        <f>SMALL(SimData!$E$9:$E$508,324)</f>
        <v>6.9441966783552971</v>
      </c>
      <c r="X325">
        <f>1/(COUNT(SimData!$E$9:$E$508)-1)+$X$324</f>
        <v>0.64729458917835725</v>
      </c>
    </row>
    <row r="326" spans="1:24">
      <c r="A326">
        <v>318</v>
      </c>
      <c r="B326">
        <v>173.21513284891404</v>
      </c>
      <c r="C326">
        <v>105.21513284891404</v>
      </c>
      <c r="D326">
        <v>20.215132848914038</v>
      </c>
      <c r="E326">
        <v>-41.784867151085962</v>
      </c>
      <c r="Q326">
        <f>SMALL(SimData!$B$9:$B$508,325)</f>
        <v>222.47186229114533</v>
      </c>
      <c r="R326">
        <f>1/(COUNT(SimData!$B$9:$B$508)-1)+$R$325</f>
        <v>0.64929859719438932</v>
      </c>
      <c r="S326">
        <f>SMALL(SimData!$C$9:$C$508,325)</f>
        <v>154.47186229114533</v>
      </c>
      <c r="T326">
        <f>1/(COUNT(SimData!$C$9:$C$508)-1)+$T$325</f>
        <v>0.64929859719438932</v>
      </c>
      <c r="U326">
        <f>SMALL(SimData!$D$9:$D$508,325)</f>
        <v>69.471862291145328</v>
      </c>
      <c r="V326">
        <f>1/(COUNT(SimData!$D$9:$D$508)-1)+$V$325</f>
        <v>0.64929859719438932</v>
      </c>
      <c r="W326">
        <f>SMALL(SimData!$E$9:$E$508,325)</f>
        <v>7.4718622911453281</v>
      </c>
      <c r="X326">
        <f>1/(COUNT(SimData!$E$9:$E$508)-1)+$X$325</f>
        <v>0.64929859719438932</v>
      </c>
    </row>
    <row r="327" spans="1:24">
      <c r="A327">
        <v>319</v>
      </c>
      <c r="B327">
        <v>261.62105615693326</v>
      </c>
      <c r="C327">
        <v>193.62105615693326</v>
      </c>
      <c r="D327">
        <v>108.62105615693326</v>
      </c>
      <c r="E327">
        <v>46.621056156933264</v>
      </c>
      <c r="Q327">
        <f>SMALL(SimData!$B$9:$B$508,326)</f>
        <v>222.48270811147813</v>
      </c>
      <c r="R327">
        <f>1/(COUNT(SimData!$B$9:$B$508)-1)+$R$326</f>
        <v>0.65130260521042138</v>
      </c>
      <c r="S327">
        <f>SMALL(SimData!$C$9:$C$508,326)</f>
        <v>154.48270811147813</v>
      </c>
      <c r="T327">
        <f>1/(COUNT(SimData!$C$9:$C$508)-1)+$T$326</f>
        <v>0.65130260521042138</v>
      </c>
      <c r="U327">
        <f>SMALL(SimData!$D$9:$D$508,326)</f>
        <v>69.482708111478132</v>
      </c>
      <c r="V327">
        <f>1/(COUNT(SimData!$D$9:$D$508)-1)+$V$326</f>
        <v>0.65130260521042138</v>
      </c>
      <c r="W327">
        <f>SMALL(SimData!$E$9:$E$508,326)</f>
        <v>7.4827081114781322</v>
      </c>
      <c r="X327">
        <f>1/(COUNT(SimData!$E$9:$E$508)-1)+$X$326</f>
        <v>0.65130260521042138</v>
      </c>
    </row>
    <row r="328" spans="1:24">
      <c r="A328">
        <v>320</v>
      </c>
      <c r="B328">
        <v>265.7416084582083</v>
      </c>
      <c r="C328">
        <v>197.7416084582083</v>
      </c>
      <c r="D328">
        <v>112.7416084582083</v>
      </c>
      <c r="E328">
        <v>50.741608458208304</v>
      </c>
      <c r="Q328">
        <f>SMALL(SimData!$B$9:$B$508,327)</f>
        <v>222.48295567294082</v>
      </c>
      <c r="R328">
        <f>1/(COUNT(SimData!$B$9:$B$508)-1)+$R$327</f>
        <v>0.65330661322645345</v>
      </c>
      <c r="S328">
        <f>SMALL(SimData!$C$9:$C$508,327)</f>
        <v>154.48295567294082</v>
      </c>
      <c r="T328">
        <f>1/(COUNT(SimData!$C$9:$C$508)-1)+$T$327</f>
        <v>0.65330661322645345</v>
      </c>
      <c r="U328">
        <f>SMALL(SimData!$D$9:$D$508,327)</f>
        <v>69.482955672940818</v>
      </c>
      <c r="V328">
        <f>1/(COUNT(SimData!$D$9:$D$508)-1)+$V$327</f>
        <v>0.65330661322645345</v>
      </c>
      <c r="W328">
        <f>SMALL(SimData!$E$9:$E$508,327)</f>
        <v>7.4829556729408182</v>
      </c>
      <c r="X328">
        <f>1/(COUNT(SimData!$E$9:$E$508)-1)+$X$327</f>
        <v>0.65330661322645345</v>
      </c>
    </row>
    <row r="329" spans="1:24">
      <c r="A329">
        <v>321</v>
      </c>
      <c r="B329">
        <v>184.81585144117486</v>
      </c>
      <c r="C329">
        <v>116.81585144117486</v>
      </c>
      <c r="D329">
        <v>31.815851441174857</v>
      </c>
      <c r="E329">
        <v>-30.184148558825143</v>
      </c>
      <c r="Q329">
        <f>SMALL(SimData!$B$9:$B$508,328)</f>
        <v>222.52506588910302</v>
      </c>
      <c r="R329">
        <f>1/(COUNT(SimData!$B$9:$B$508)-1)+$R$328</f>
        <v>0.65531062124248551</v>
      </c>
      <c r="S329">
        <f>SMALL(SimData!$C$9:$C$508,328)</f>
        <v>154.52506588910302</v>
      </c>
      <c r="T329">
        <f>1/(COUNT(SimData!$C$9:$C$508)-1)+$T$328</f>
        <v>0.65531062124248551</v>
      </c>
      <c r="U329">
        <f>SMALL(SimData!$D$9:$D$508,328)</f>
        <v>69.525065889103018</v>
      </c>
      <c r="V329">
        <f>1/(COUNT(SimData!$D$9:$D$508)-1)+$V$328</f>
        <v>0.65531062124248551</v>
      </c>
      <c r="W329">
        <f>SMALL(SimData!$E$9:$E$508,328)</f>
        <v>7.5250658891030184</v>
      </c>
      <c r="X329">
        <f>1/(COUNT(SimData!$E$9:$E$508)-1)+$X$328</f>
        <v>0.65531062124248551</v>
      </c>
    </row>
    <row r="330" spans="1:24">
      <c r="A330">
        <v>322</v>
      </c>
      <c r="B330">
        <v>186.17167961015321</v>
      </c>
      <c r="C330">
        <v>118.17167961015321</v>
      </c>
      <c r="D330">
        <v>33.171679610153205</v>
      </c>
      <c r="E330">
        <v>-28.828320389846795</v>
      </c>
      <c r="Q330">
        <f>SMALL(SimData!$B$9:$B$508,329)</f>
        <v>222.72542631307289</v>
      </c>
      <c r="R330">
        <f>1/(COUNT(SimData!$B$9:$B$508)-1)+$R$329</f>
        <v>0.65731462925851758</v>
      </c>
      <c r="S330">
        <f>SMALL(SimData!$C$9:$C$508,329)</f>
        <v>154.72542631307289</v>
      </c>
      <c r="T330">
        <f>1/(COUNT(SimData!$C$9:$C$508)-1)+$T$329</f>
        <v>0.65731462925851758</v>
      </c>
      <c r="U330">
        <f>SMALL(SimData!$D$9:$D$508,329)</f>
        <v>69.725426313072887</v>
      </c>
      <c r="V330">
        <f>1/(COUNT(SimData!$D$9:$D$508)-1)+$V$329</f>
        <v>0.65731462925851758</v>
      </c>
      <c r="W330">
        <f>SMALL(SimData!$E$9:$E$508,329)</f>
        <v>7.7254263130728873</v>
      </c>
      <c r="X330">
        <f>1/(COUNT(SimData!$E$9:$E$508)-1)+$X$329</f>
        <v>0.65731462925851758</v>
      </c>
    </row>
    <row r="331" spans="1:24">
      <c r="A331">
        <v>323</v>
      </c>
      <c r="B331">
        <v>243.8586104360715</v>
      </c>
      <c r="C331">
        <v>175.8586104360715</v>
      </c>
      <c r="D331">
        <v>90.858610436071501</v>
      </c>
      <c r="E331">
        <v>28.858610436071501</v>
      </c>
      <c r="Q331">
        <f>SMALL(SimData!$B$9:$B$508,330)</f>
        <v>223.13314549515815</v>
      </c>
      <c r="R331">
        <f>1/(COUNT(SimData!$B$9:$B$508)-1)+$R$330</f>
        <v>0.65931863727454965</v>
      </c>
      <c r="S331">
        <f>SMALL(SimData!$C$9:$C$508,330)</f>
        <v>155.13314549515815</v>
      </c>
      <c r="T331">
        <f>1/(COUNT(SimData!$C$9:$C$508)-1)+$T$330</f>
        <v>0.65931863727454965</v>
      </c>
      <c r="U331">
        <f>SMALL(SimData!$D$9:$D$508,330)</f>
        <v>70.133145495158146</v>
      </c>
      <c r="V331">
        <f>1/(COUNT(SimData!$D$9:$D$508)-1)+$V$330</f>
        <v>0.65931863727454965</v>
      </c>
      <c r="W331">
        <f>SMALL(SimData!$E$9:$E$508,330)</f>
        <v>8.1331454951581463</v>
      </c>
      <c r="X331">
        <f>1/(COUNT(SimData!$E$9:$E$508)-1)+$X$330</f>
        <v>0.65931863727454965</v>
      </c>
    </row>
    <row r="332" spans="1:24">
      <c r="A332">
        <v>324</v>
      </c>
      <c r="B332">
        <v>130.8161816465115</v>
      </c>
      <c r="C332">
        <v>62.816181646511495</v>
      </c>
      <c r="D332">
        <v>-22.183818353488505</v>
      </c>
      <c r="E332">
        <v>-84.183818353488505</v>
      </c>
      <c r="Q332">
        <f>SMALL(SimData!$B$9:$B$508,331)</f>
        <v>223.31991445353037</v>
      </c>
      <c r="R332">
        <f>1/(COUNT(SimData!$B$9:$B$508)-1)+$R$331</f>
        <v>0.66132264529058171</v>
      </c>
      <c r="S332">
        <f>SMALL(SimData!$C$9:$C$508,331)</f>
        <v>155.31991445353037</v>
      </c>
      <c r="T332">
        <f>1/(COUNT(SimData!$C$9:$C$508)-1)+$T$331</f>
        <v>0.66132264529058171</v>
      </c>
      <c r="U332">
        <f>SMALL(SimData!$D$9:$D$508,331)</f>
        <v>70.319914453530373</v>
      </c>
      <c r="V332">
        <f>1/(COUNT(SimData!$D$9:$D$508)-1)+$V$331</f>
        <v>0.66132264529058171</v>
      </c>
      <c r="W332">
        <f>SMALL(SimData!$E$9:$E$508,331)</f>
        <v>8.3199144535303731</v>
      </c>
      <c r="X332">
        <f>1/(COUNT(SimData!$E$9:$E$508)-1)+$X$331</f>
        <v>0.66132264529058171</v>
      </c>
    </row>
    <row r="333" spans="1:24">
      <c r="A333">
        <v>325</v>
      </c>
      <c r="B333">
        <v>160.42547481706168</v>
      </c>
      <c r="C333">
        <v>92.425474817061684</v>
      </c>
      <c r="D333">
        <v>7.4254748170616836</v>
      </c>
      <c r="E333">
        <v>-54.574525182938316</v>
      </c>
      <c r="Q333">
        <f>SMALL(SimData!$B$9:$B$508,332)</f>
        <v>223.35700194699734</v>
      </c>
      <c r="R333">
        <f>1/(COUNT(SimData!$B$9:$B$508)-1)+$R$332</f>
        <v>0.66332665330661378</v>
      </c>
      <c r="S333">
        <f>SMALL(SimData!$C$9:$C$508,332)</f>
        <v>155.35700194699734</v>
      </c>
      <c r="T333">
        <f>1/(COUNT(SimData!$C$9:$C$508)-1)+$T$332</f>
        <v>0.66332665330661378</v>
      </c>
      <c r="U333">
        <f>SMALL(SimData!$D$9:$D$508,332)</f>
        <v>70.357001946997343</v>
      </c>
      <c r="V333">
        <f>1/(COUNT(SimData!$D$9:$D$508)-1)+$V$332</f>
        <v>0.66332665330661378</v>
      </c>
      <c r="W333">
        <f>SMALL(SimData!$E$9:$E$508,332)</f>
        <v>8.3570019469973431</v>
      </c>
      <c r="X333">
        <f>1/(COUNT(SimData!$E$9:$E$508)-1)+$X$332</f>
        <v>0.66332665330661378</v>
      </c>
    </row>
    <row r="334" spans="1:24">
      <c r="A334">
        <v>326</v>
      </c>
      <c r="B334">
        <v>211.52225327468625</v>
      </c>
      <c r="C334">
        <v>143.52225327468625</v>
      </c>
      <c r="D334">
        <v>58.52225327468625</v>
      </c>
      <c r="E334">
        <v>-3.4777467253137502</v>
      </c>
      <c r="Q334">
        <f>SMALL(SimData!$B$9:$B$508,333)</f>
        <v>224.24090219194488</v>
      </c>
      <c r="R334">
        <f>1/(COUNT(SimData!$B$9:$B$508)-1)+$R$333</f>
        <v>0.66533066132264584</v>
      </c>
      <c r="S334">
        <f>SMALL(SimData!$C$9:$C$508,333)</f>
        <v>156.24090219194488</v>
      </c>
      <c r="T334">
        <f>1/(COUNT(SimData!$C$9:$C$508)-1)+$T$333</f>
        <v>0.66533066132264584</v>
      </c>
      <c r="U334">
        <f>SMALL(SimData!$D$9:$D$508,333)</f>
        <v>71.240902191944883</v>
      </c>
      <c r="V334">
        <f>1/(COUNT(SimData!$D$9:$D$508)-1)+$V$333</f>
        <v>0.66533066132264584</v>
      </c>
      <c r="W334">
        <f>SMALL(SimData!$E$9:$E$508,333)</f>
        <v>9.2409021919448833</v>
      </c>
      <c r="X334">
        <f>1/(COUNT(SimData!$E$9:$E$508)-1)+$X$333</f>
        <v>0.66533066132264584</v>
      </c>
    </row>
    <row r="335" spans="1:24">
      <c r="A335">
        <v>327</v>
      </c>
      <c r="B335">
        <v>176.27388728816771</v>
      </c>
      <c r="C335">
        <v>108.27388728816771</v>
      </c>
      <c r="D335">
        <v>23.273887288167714</v>
      </c>
      <c r="E335">
        <v>-38.726112711832286</v>
      </c>
      <c r="Q335">
        <f>SMALL(SimData!$B$9:$B$508,334)</f>
        <v>224.53852752704216</v>
      </c>
      <c r="R335">
        <f>1/(COUNT(SimData!$B$9:$B$508)-1)+$R$334</f>
        <v>0.66733466933867791</v>
      </c>
      <c r="S335">
        <f>SMALL(SimData!$C$9:$C$508,334)</f>
        <v>156.53852752704216</v>
      </c>
      <c r="T335">
        <f>1/(COUNT(SimData!$C$9:$C$508)-1)+$T$334</f>
        <v>0.66733466933867791</v>
      </c>
      <c r="U335">
        <f>SMALL(SimData!$D$9:$D$508,334)</f>
        <v>71.538527527042163</v>
      </c>
      <c r="V335">
        <f>1/(COUNT(SimData!$D$9:$D$508)-1)+$V$334</f>
        <v>0.66733466933867791</v>
      </c>
      <c r="W335">
        <f>SMALL(SimData!$E$9:$E$508,334)</f>
        <v>9.538527527042163</v>
      </c>
      <c r="X335">
        <f>1/(COUNT(SimData!$E$9:$E$508)-1)+$X$334</f>
        <v>0.66733466933867791</v>
      </c>
    </row>
    <row r="336" spans="1:24">
      <c r="A336">
        <v>328</v>
      </c>
      <c r="B336">
        <v>197.51994735123355</v>
      </c>
      <c r="C336">
        <v>129.51994735123355</v>
      </c>
      <c r="D336">
        <v>44.519947351233554</v>
      </c>
      <c r="E336">
        <v>-17.480052648766446</v>
      </c>
      <c r="Q336">
        <f>SMALL(SimData!$B$9:$B$508,335)</f>
        <v>224.67447637427284</v>
      </c>
      <c r="R336">
        <f>1/(COUNT(SimData!$B$9:$B$508)-1)+$R$335</f>
        <v>0.66933867735470998</v>
      </c>
      <c r="S336">
        <f>SMALL(SimData!$C$9:$C$508,335)</f>
        <v>156.67447637427284</v>
      </c>
      <c r="T336">
        <f>1/(COUNT(SimData!$C$9:$C$508)-1)+$T$335</f>
        <v>0.66933867735470998</v>
      </c>
      <c r="U336">
        <f>SMALL(SimData!$D$9:$D$508,335)</f>
        <v>71.674476374272842</v>
      </c>
      <c r="V336">
        <f>1/(COUNT(SimData!$D$9:$D$508)-1)+$V$335</f>
        <v>0.66933867735470998</v>
      </c>
      <c r="W336">
        <f>SMALL(SimData!$E$9:$E$508,335)</f>
        <v>9.6744763742728423</v>
      </c>
      <c r="X336">
        <f>1/(COUNT(SimData!$E$9:$E$508)-1)+$X$335</f>
        <v>0.66933867735470998</v>
      </c>
    </row>
    <row r="337" spans="1:24">
      <c r="A337">
        <v>329</v>
      </c>
      <c r="B337">
        <v>185.19578901561158</v>
      </c>
      <c r="C337">
        <v>117.19578901561158</v>
      </c>
      <c r="D337">
        <v>32.195789015611581</v>
      </c>
      <c r="E337">
        <v>-29.804210984388419</v>
      </c>
      <c r="Q337">
        <f>SMALL(SimData!$B$9:$B$508,336)</f>
        <v>224.73708301771501</v>
      </c>
      <c r="R337">
        <f>1/(COUNT(SimData!$B$9:$B$508)-1)+$R$336</f>
        <v>0.67134268537074204</v>
      </c>
      <c r="S337">
        <f>SMALL(SimData!$C$9:$C$508,336)</f>
        <v>156.73708301771501</v>
      </c>
      <c r="T337">
        <f>1/(COUNT(SimData!$C$9:$C$508)-1)+$T$336</f>
        <v>0.67134268537074204</v>
      </c>
      <c r="U337">
        <f>SMALL(SimData!$D$9:$D$508,336)</f>
        <v>71.737083017715008</v>
      </c>
      <c r="V337">
        <f>1/(COUNT(SimData!$D$9:$D$508)-1)+$V$336</f>
        <v>0.67134268537074204</v>
      </c>
      <c r="W337">
        <f>SMALL(SimData!$E$9:$E$508,336)</f>
        <v>9.7370830177150083</v>
      </c>
      <c r="X337">
        <f>1/(COUNT(SimData!$E$9:$E$508)-1)+$X$336</f>
        <v>0.67134268537074204</v>
      </c>
    </row>
    <row r="338" spans="1:24">
      <c r="A338">
        <v>330</v>
      </c>
      <c r="B338">
        <v>217.87229710172352</v>
      </c>
      <c r="C338">
        <v>149.87229710172352</v>
      </c>
      <c r="D338">
        <v>64.872297101723518</v>
      </c>
      <c r="E338">
        <v>2.8722971017235182</v>
      </c>
      <c r="Q338">
        <f>SMALL(SimData!$B$9:$B$508,337)</f>
        <v>224.76045892199227</v>
      </c>
      <c r="R338">
        <f>1/(COUNT(SimData!$B$9:$B$508)-1)+$R$337</f>
        <v>0.67334669338677411</v>
      </c>
      <c r="S338">
        <f>SMALL(SimData!$C$9:$C$508,337)</f>
        <v>156.76045892199227</v>
      </c>
      <c r="T338">
        <f>1/(COUNT(SimData!$C$9:$C$508)-1)+$T$337</f>
        <v>0.67334669338677411</v>
      </c>
      <c r="U338">
        <f>SMALL(SimData!$D$9:$D$508,337)</f>
        <v>71.760458921992267</v>
      </c>
      <c r="V338">
        <f>1/(COUNT(SimData!$D$9:$D$508)-1)+$V$337</f>
        <v>0.67334669338677411</v>
      </c>
      <c r="W338">
        <f>SMALL(SimData!$E$9:$E$508,337)</f>
        <v>9.7604589219922673</v>
      </c>
      <c r="X338">
        <f>1/(COUNT(SimData!$E$9:$E$508)-1)+$X$337</f>
        <v>0.67334669338677411</v>
      </c>
    </row>
    <row r="339" spans="1:24">
      <c r="A339">
        <v>331</v>
      </c>
      <c r="B339">
        <v>247.96181226713492</v>
      </c>
      <c r="C339">
        <v>179.96181226713492</v>
      </c>
      <c r="D339">
        <v>94.961812267134917</v>
      </c>
      <c r="E339">
        <v>32.961812267134917</v>
      </c>
      <c r="Q339">
        <f>SMALL(SimData!$B$9:$B$508,338)</f>
        <v>224.78388741905587</v>
      </c>
      <c r="R339">
        <f>1/(COUNT(SimData!$B$9:$B$508)-1)+$R$338</f>
        <v>0.67535070140280618</v>
      </c>
      <c r="S339">
        <f>SMALL(SimData!$C$9:$C$508,338)</f>
        <v>156.78388741905587</v>
      </c>
      <c r="T339">
        <f>1/(COUNT(SimData!$C$9:$C$508)-1)+$T$338</f>
        <v>0.67535070140280618</v>
      </c>
      <c r="U339">
        <f>SMALL(SimData!$D$9:$D$508,338)</f>
        <v>71.783887419055873</v>
      </c>
      <c r="V339">
        <f>1/(COUNT(SimData!$D$9:$D$508)-1)+$V$338</f>
        <v>0.67535070140280618</v>
      </c>
      <c r="W339">
        <f>SMALL(SimData!$E$9:$E$508,338)</f>
        <v>9.7838874190558727</v>
      </c>
      <c r="X339">
        <f>1/(COUNT(SimData!$E$9:$E$508)-1)+$X$338</f>
        <v>0.67535070140280618</v>
      </c>
    </row>
    <row r="340" spans="1:24">
      <c r="A340">
        <v>332</v>
      </c>
      <c r="B340">
        <v>317.4142729527818</v>
      </c>
      <c r="C340">
        <v>249.4142729527818</v>
      </c>
      <c r="D340">
        <v>164.4142729527818</v>
      </c>
      <c r="E340">
        <v>102.4142729527818</v>
      </c>
      <c r="Q340">
        <f>SMALL(SimData!$B$9:$B$508,339)</f>
        <v>224.88577138574601</v>
      </c>
      <c r="R340">
        <f>1/(COUNT(SimData!$B$9:$B$508)-1)+$R$339</f>
        <v>0.67735470941883824</v>
      </c>
      <c r="S340">
        <f>SMALL(SimData!$C$9:$C$508,339)</f>
        <v>156.88577138574601</v>
      </c>
      <c r="T340">
        <f>1/(COUNT(SimData!$C$9:$C$508)-1)+$T$339</f>
        <v>0.67735470941883824</v>
      </c>
      <c r="U340">
        <f>SMALL(SimData!$D$9:$D$508,339)</f>
        <v>71.885771385746011</v>
      </c>
      <c r="V340">
        <f>1/(COUNT(SimData!$D$9:$D$508)-1)+$V$339</f>
        <v>0.67735470941883824</v>
      </c>
      <c r="W340">
        <f>SMALL(SimData!$E$9:$E$508,339)</f>
        <v>9.8857713857460112</v>
      </c>
      <c r="X340">
        <f>1/(COUNT(SimData!$E$9:$E$508)-1)+$X$339</f>
        <v>0.67735470941883824</v>
      </c>
    </row>
    <row r="341" spans="1:24">
      <c r="A341">
        <v>333</v>
      </c>
      <c r="B341">
        <v>296.48876960614695</v>
      </c>
      <c r="C341">
        <v>228.48876960614695</v>
      </c>
      <c r="D341">
        <v>143.48876960614695</v>
      </c>
      <c r="E341">
        <v>81.488769606146946</v>
      </c>
      <c r="Q341">
        <f>SMALL(SimData!$B$9:$B$508,340)</f>
        <v>225.57772480915173</v>
      </c>
      <c r="R341">
        <f>1/(COUNT(SimData!$B$9:$B$508)-1)+$R$340</f>
        <v>0.67935871743487031</v>
      </c>
      <c r="S341">
        <f>SMALL(SimData!$C$9:$C$508,340)</f>
        <v>157.57772480915173</v>
      </c>
      <c r="T341">
        <f>1/(COUNT(SimData!$C$9:$C$508)-1)+$T$340</f>
        <v>0.67935871743487031</v>
      </c>
      <c r="U341">
        <f>SMALL(SimData!$D$9:$D$508,340)</f>
        <v>72.577724809151732</v>
      </c>
      <c r="V341">
        <f>1/(COUNT(SimData!$D$9:$D$508)-1)+$V$340</f>
        <v>0.67935871743487031</v>
      </c>
      <c r="W341">
        <f>SMALL(SimData!$E$9:$E$508,340)</f>
        <v>10.577724809151732</v>
      </c>
      <c r="X341">
        <f>1/(COUNT(SimData!$E$9:$E$508)-1)+$X$340</f>
        <v>0.67935871743487031</v>
      </c>
    </row>
    <row r="342" spans="1:24">
      <c r="A342">
        <v>334</v>
      </c>
      <c r="B342">
        <v>133.90565962148128</v>
      </c>
      <c r="C342">
        <v>65.905659621481277</v>
      </c>
      <c r="D342">
        <v>-19.094340378518723</v>
      </c>
      <c r="E342">
        <v>-81.094340378518723</v>
      </c>
      <c r="Q342">
        <f>SMALL(SimData!$B$9:$B$508,341)</f>
        <v>225.71463225833594</v>
      </c>
      <c r="R342">
        <f>1/(COUNT(SimData!$B$9:$B$508)-1)+$R$341</f>
        <v>0.68136272545090237</v>
      </c>
      <c r="S342">
        <f>SMALL(SimData!$C$9:$C$508,341)</f>
        <v>157.71463225833594</v>
      </c>
      <c r="T342">
        <f>1/(COUNT(SimData!$C$9:$C$508)-1)+$T$341</f>
        <v>0.68136272545090237</v>
      </c>
      <c r="U342">
        <f>SMALL(SimData!$D$9:$D$508,341)</f>
        <v>72.714632258335939</v>
      </c>
      <c r="V342">
        <f>1/(COUNT(SimData!$D$9:$D$508)-1)+$V$341</f>
        <v>0.68136272545090237</v>
      </c>
      <c r="W342">
        <f>SMALL(SimData!$E$9:$E$508,341)</f>
        <v>10.714632258335939</v>
      </c>
      <c r="X342">
        <f>1/(COUNT(SimData!$E$9:$E$508)-1)+$X$341</f>
        <v>0.68136272545090237</v>
      </c>
    </row>
    <row r="343" spans="1:24">
      <c r="A343">
        <v>335</v>
      </c>
      <c r="B343">
        <v>149.41561558726931</v>
      </c>
      <c r="C343">
        <v>81.415615587269315</v>
      </c>
      <c r="D343">
        <v>-3.5843844127306852</v>
      </c>
      <c r="E343">
        <v>-65.584384412730685</v>
      </c>
      <c r="Q343">
        <f>SMALL(SimData!$B$9:$B$508,342)</f>
        <v>225.74401277310795</v>
      </c>
      <c r="R343">
        <f>1/(COUNT(SimData!$B$9:$B$508)-1)+$R$342</f>
        <v>0.68336673346693444</v>
      </c>
      <c r="S343">
        <f>SMALL(SimData!$C$9:$C$508,342)</f>
        <v>157.74401277310795</v>
      </c>
      <c r="T343">
        <f>1/(COUNT(SimData!$C$9:$C$508)-1)+$T$342</f>
        <v>0.68336673346693444</v>
      </c>
      <c r="U343">
        <f>SMALL(SimData!$D$9:$D$508,342)</f>
        <v>72.744012773107954</v>
      </c>
      <c r="V343">
        <f>1/(COUNT(SimData!$D$9:$D$508)-1)+$V$342</f>
        <v>0.68336673346693444</v>
      </c>
      <c r="W343">
        <f>SMALL(SimData!$E$9:$E$508,342)</f>
        <v>10.744012773107954</v>
      </c>
      <c r="X343">
        <f>1/(COUNT(SimData!$E$9:$E$508)-1)+$X$342</f>
        <v>0.68336673346693444</v>
      </c>
    </row>
    <row r="344" spans="1:24">
      <c r="A344">
        <v>336</v>
      </c>
      <c r="B344">
        <v>278.42263942240356</v>
      </c>
      <c r="C344">
        <v>210.42263942240356</v>
      </c>
      <c r="D344">
        <v>125.42263942240356</v>
      </c>
      <c r="E344">
        <v>63.422639422403563</v>
      </c>
      <c r="Q344">
        <f>SMALL(SimData!$B$9:$B$508,343)</f>
        <v>226.05672694782118</v>
      </c>
      <c r="R344">
        <f>1/(COUNT(SimData!$B$9:$B$508)-1)+$R$343</f>
        <v>0.68537074148296651</v>
      </c>
      <c r="S344">
        <f>SMALL(SimData!$C$9:$C$508,343)</f>
        <v>158.05672694782118</v>
      </c>
      <c r="T344">
        <f>1/(COUNT(SimData!$C$9:$C$508)-1)+$T$343</f>
        <v>0.68537074148296651</v>
      </c>
      <c r="U344">
        <f>SMALL(SimData!$D$9:$D$508,343)</f>
        <v>73.056726947821176</v>
      </c>
      <c r="V344">
        <f>1/(COUNT(SimData!$D$9:$D$508)-1)+$V$343</f>
        <v>0.68537074148296651</v>
      </c>
      <c r="W344">
        <f>SMALL(SimData!$E$9:$E$508,343)</f>
        <v>11.056726947821176</v>
      </c>
      <c r="X344">
        <f>1/(COUNT(SimData!$E$9:$E$508)-1)+$X$343</f>
        <v>0.68537074148296651</v>
      </c>
    </row>
    <row r="345" spans="1:24">
      <c r="A345">
        <v>337</v>
      </c>
      <c r="B345">
        <v>218.62146568059109</v>
      </c>
      <c r="C345">
        <v>150.62146568059109</v>
      </c>
      <c r="D345">
        <v>65.621465680591086</v>
      </c>
      <c r="E345">
        <v>3.6214656805910863</v>
      </c>
      <c r="Q345">
        <f>SMALL(SimData!$B$9:$B$508,344)</f>
        <v>226.13694265369423</v>
      </c>
      <c r="R345">
        <f>1/(COUNT(SimData!$B$9:$B$508)-1)+$R$344</f>
        <v>0.68737474949899857</v>
      </c>
      <c r="S345">
        <f>SMALL(SimData!$C$9:$C$508,344)</f>
        <v>158.13694265369423</v>
      </c>
      <c r="T345">
        <f>1/(COUNT(SimData!$C$9:$C$508)-1)+$T$344</f>
        <v>0.68737474949899857</v>
      </c>
      <c r="U345">
        <f>SMALL(SimData!$D$9:$D$508,344)</f>
        <v>73.136942653694234</v>
      </c>
      <c r="V345">
        <f>1/(COUNT(SimData!$D$9:$D$508)-1)+$V$344</f>
        <v>0.68737474949899857</v>
      </c>
      <c r="W345">
        <f>SMALL(SimData!$E$9:$E$508,344)</f>
        <v>11.136942653694234</v>
      </c>
      <c r="X345">
        <f>1/(COUNT(SimData!$E$9:$E$508)-1)+$X$344</f>
        <v>0.68737474949899857</v>
      </c>
    </row>
    <row r="346" spans="1:24">
      <c r="A346">
        <v>338</v>
      </c>
      <c r="B346">
        <v>222.48270811147813</v>
      </c>
      <c r="C346">
        <v>154.48270811147813</v>
      </c>
      <c r="D346">
        <v>69.482708111478132</v>
      </c>
      <c r="E346">
        <v>7.4827081114781322</v>
      </c>
      <c r="Q346">
        <f>SMALL(SimData!$B$9:$B$508,345)</f>
        <v>226.36371447620411</v>
      </c>
      <c r="R346">
        <f>1/(COUNT(SimData!$B$9:$B$508)-1)+$R$345</f>
        <v>0.68937875751503064</v>
      </c>
      <c r="S346">
        <f>SMALL(SimData!$C$9:$C$508,345)</f>
        <v>158.36371447620411</v>
      </c>
      <c r="T346">
        <f>1/(COUNT(SimData!$C$9:$C$508)-1)+$T$345</f>
        <v>0.68937875751503064</v>
      </c>
      <c r="U346">
        <f>SMALL(SimData!$D$9:$D$508,345)</f>
        <v>73.363714476204109</v>
      </c>
      <c r="V346">
        <f>1/(COUNT(SimData!$D$9:$D$508)-1)+$V$345</f>
        <v>0.68937875751503064</v>
      </c>
      <c r="W346">
        <f>SMALL(SimData!$E$9:$E$508,345)</f>
        <v>11.363714476204109</v>
      </c>
      <c r="X346">
        <f>1/(COUNT(SimData!$E$9:$E$508)-1)+$X$345</f>
        <v>0.68937875751503064</v>
      </c>
    </row>
    <row r="347" spans="1:24">
      <c r="A347">
        <v>339</v>
      </c>
      <c r="B347">
        <v>285.20713597799158</v>
      </c>
      <c r="C347">
        <v>217.20713597799158</v>
      </c>
      <c r="D347">
        <v>132.20713597799158</v>
      </c>
      <c r="E347">
        <v>70.207135977991584</v>
      </c>
      <c r="Q347">
        <f>SMALL(SimData!$B$9:$B$508,346)</f>
        <v>226.57998497724765</v>
      </c>
      <c r="R347">
        <f>1/(COUNT(SimData!$B$9:$B$508)-1)+$R$346</f>
        <v>0.6913827655310627</v>
      </c>
      <c r="S347">
        <f>SMALL(SimData!$C$9:$C$508,346)</f>
        <v>158.57998497724765</v>
      </c>
      <c r="T347">
        <f>1/(COUNT(SimData!$C$9:$C$508)-1)+$T$346</f>
        <v>0.6913827655310627</v>
      </c>
      <c r="U347">
        <f>SMALL(SimData!$D$9:$D$508,346)</f>
        <v>73.579984977247648</v>
      </c>
      <c r="V347">
        <f>1/(COUNT(SimData!$D$9:$D$508)-1)+$V$346</f>
        <v>0.6913827655310627</v>
      </c>
      <c r="W347">
        <f>SMALL(SimData!$E$9:$E$508,346)</f>
        <v>11.579984977247648</v>
      </c>
      <c r="X347">
        <f>1/(COUNT(SimData!$E$9:$E$508)-1)+$X$346</f>
        <v>0.6913827655310627</v>
      </c>
    </row>
    <row r="348" spans="1:24">
      <c r="A348">
        <v>340</v>
      </c>
      <c r="B348">
        <v>170.49371016100969</v>
      </c>
      <c r="C348">
        <v>102.49371016100969</v>
      </c>
      <c r="D348">
        <v>17.493710161009687</v>
      </c>
      <c r="E348">
        <v>-44.506289838990313</v>
      </c>
      <c r="Q348">
        <f>SMALL(SimData!$B$9:$B$508,347)</f>
        <v>227.09996359889129</v>
      </c>
      <c r="R348">
        <f>1/(COUNT(SimData!$B$9:$B$508)-1)+$R$347</f>
        <v>0.69338677354709477</v>
      </c>
      <c r="S348">
        <f>SMALL(SimData!$C$9:$C$508,347)</f>
        <v>159.09996359889129</v>
      </c>
      <c r="T348">
        <f>1/(COUNT(SimData!$C$9:$C$508)-1)+$T$347</f>
        <v>0.69338677354709477</v>
      </c>
      <c r="U348">
        <f>SMALL(SimData!$D$9:$D$508,347)</f>
        <v>74.099963598891293</v>
      </c>
      <c r="V348">
        <f>1/(COUNT(SimData!$D$9:$D$508)-1)+$V$347</f>
        <v>0.69338677354709477</v>
      </c>
      <c r="W348">
        <f>SMALL(SimData!$E$9:$E$508,347)</f>
        <v>12.099963598891293</v>
      </c>
      <c r="X348">
        <f>1/(COUNT(SimData!$E$9:$E$508)-1)+$X$347</f>
        <v>0.69338677354709477</v>
      </c>
    </row>
    <row r="349" spans="1:24">
      <c r="A349">
        <v>341</v>
      </c>
      <c r="B349">
        <v>225.57772480915173</v>
      </c>
      <c r="C349">
        <v>157.57772480915173</v>
      </c>
      <c r="D349">
        <v>72.577724809151732</v>
      </c>
      <c r="E349">
        <v>10.577724809151732</v>
      </c>
      <c r="Q349">
        <f>SMALL(SimData!$B$9:$B$508,348)</f>
        <v>227.54858859703938</v>
      </c>
      <c r="R349">
        <f>1/(COUNT(SimData!$B$9:$B$508)-1)+$R$348</f>
        <v>0.69539078156312684</v>
      </c>
      <c r="S349">
        <f>SMALL(SimData!$C$9:$C$508,348)</f>
        <v>159.54858859703938</v>
      </c>
      <c r="T349">
        <f>1/(COUNT(SimData!$C$9:$C$508)-1)+$T$348</f>
        <v>0.69539078156312684</v>
      </c>
      <c r="U349">
        <f>SMALL(SimData!$D$9:$D$508,348)</f>
        <v>74.548588597039384</v>
      </c>
      <c r="V349">
        <f>1/(COUNT(SimData!$D$9:$D$508)-1)+$V$348</f>
        <v>0.69539078156312684</v>
      </c>
      <c r="W349">
        <f>SMALL(SimData!$E$9:$E$508,348)</f>
        <v>12.548588597039384</v>
      </c>
      <c r="X349">
        <f>1/(COUNT(SimData!$E$9:$E$508)-1)+$X$348</f>
        <v>0.69539078156312684</v>
      </c>
    </row>
    <row r="350" spans="1:24">
      <c r="A350">
        <v>342</v>
      </c>
      <c r="B350">
        <v>196.34142298368556</v>
      </c>
      <c r="C350">
        <v>128.34142298368556</v>
      </c>
      <c r="D350">
        <v>43.341422983685561</v>
      </c>
      <c r="E350">
        <v>-18.658577016314439</v>
      </c>
      <c r="Q350">
        <f>SMALL(SimData!$B$9:$B$508,349)</f>
        <v>227.6469700524014</v>
      </c>
      <c r="R350">
        <f>1/(COUNT(SimData!$B$9:$B$508)-1)+$R$349</f>
        <v>0.6973947895791589</v>
      </c>
      <c r="S350">
        <f>SMALL(SimData!$C$9:$C$508,349)</f>
        <v>159.6469700524014</v>
      </c>
      <c r="T350">
        <f>1/(COUNT(SimData!$C$9:$C$508)-1)+$T$349</f>
        <v>0.6973947895791589</v>
      </c>
      <c r="U350">
        <f>SMALL(SimData!$D$9:$D$508,349)</f>
        <v>74.6469700524014</v>
      </c>
      <c r="V350">
        <f>1/(COUNT(SimData!$D$9:$D$508)-1)+$V$349</f>
        <v>0.6973947895791589</v>
      </c>
      <c r="W350">
        <f>SMALL(SimData!$E$9:$E$508,349)</f>
        <v>12.6469700524014</v>
      </c>
      <c r="X350">
        <f>1/(COUNT(SimData!$E$9:$E$508)-1)+$X$349</f>
        <v>0.6973947895791589</v>
      </c>
    </row>
    <row r="351" spans="1:24">
      <c r="A351">
        <v>343</v>
      </c>
      <c r="B351">
        <v>151.98457865901878</v>
      </c>
      <c r="C351">
        <v>83.98457865901878</v>
      </c>
      <c r="D351">
        <v>-1.0154213409812201</v>
      </c>
      <c r="E351">
        <v>-63.01542134098122</v>
      </c>
      <c r="Q351">
        <f>SMALL(SimData!$B$9:$B$508,350)</f>
        <v>227.75982080180609</v>
      </c>
      <c r="R351">
        <f>1/(COUNT(SimData!$B$9:$B$508)-1)+$R$350</f>
        <v>0.69939879759519097</v>
      </c>
      <c r="S351">
        <f>SMALL(SimData!$C$9:$C$508,350)</f>
        <v>159.75982080180609</v>
      </c>
      <c r="T351">
        <f>1/(COUNT(SimData!$C$9:$C$508)-1)+$T$350</f>
        <v>0.69939879759519097</v>
      </c>
      <c r="U351">
        <f>SMALL(SimData!$D$9:$D$508,350)</f>
        <v>74.759820801806086</v>
      </c>
      <c r="V351">
        <f>1/(COUNT(SimData!$D$9:$D$508)-1)+$V$350</f>
        <v>0.69939879759519097</v>
      </c>
      <c r="W351">
        <f>SMALL(SimData!$E$9:$E$508,350)</f>
        <v>12.759820801806086</v>
      </c>
      <c r="X351">
        <f>1/(COUNT(SimData!$E$9:$E$508)-1)+$X$350</f>
        <v>0.69939879759519097</v>
      </c>
    </row>
    <row r="352" spans="1:24">
      <c r="A352">
        <v>344</v>
      </c>
      <c r="B352">
        <v>178.88995994832084</v>
      </c>
      <c r="C352">
        <v>110.88995994832084</v>
      </c>
      <c r="D352">
        <v>25.889959948320836</v>
      </c>
      <c r="E352">
        <v>-36.110040051679164</v>
      </c>
      <c r="Q352">
        <f>SMALL(SimData!$B$9:$B$508,351)</f>
        <v>228.27519635471862</v>
      </c>
      <c r="R352">
        <f>1/(COUNT(SimData!$B$9:$B$508)-1)+$R$351</f>
        <v>0.70140280561122303</v>
      </c>
      <c r="S352">
        <f>SMALL(SimData!$C$9:$C$508,351)</f>
        <v>160.27519635471862</v>
      </c>
      <c r="T352">
        <f>1/(COUNT(SimData!$C$9:$C$508)-1)+$T$351</f>
        <v>0.70140280561122303</v>
      </c>
      <c r="U352">
        <f>SMALL(SimData!$D$9:$D$508,351)</f>
        <v>75.275196354718616</v>
      </c>
      <c r="V352">
        <f>1/(COUNT(SimData!$D$9:$D$508)-1)+$V$351</f>
        <v>0.70140280561122303</v>
      </c>
      <c r="W352">
        <f>SMALL(SimData!$E$9:$E$508,351)</f>
        <v>13.275196354718616</v>
      </c>
      <c r="X352">
        <f>1/(COUNT(SimData!$E$9:$E$508)-1)+$X$351</f>
        <v>0.70140280561122303</v>
      </c>
    </row>
    <row r="353" spans="1:24">
      <c r="A353">
        <v>345</v>
      </c>
      <c r="B353">
        <v>288.90102473271571</v>
      </c>
      <c r="C353">
        <v>220.90102473271571</v>
      </c>
      <c r="D353">
        <v>135.90102473271571</v>
      </c>
      <c r="E353">
        <v>73.901024732715712</v>
      </c>
      <c r="Q353">
        <f>SMALL(SimData!$B$9:$B$508,352)</f>
        <v>228.99967768757921</v>
      </c>
      <c r="R353">
        <f>1/(COUNT(SimData!$B$9:$B$508)-1)+$R$352</f>
        <v>0.7034068136272551</v>
      </c>
      <c r="S353">
        <f>SMALL(SimData!$C$9:$C$508,352)</f>
        <v>160.99967768757921</v>
      </c>
      <c r="T353">
        <f>1/(COUNT(SimData!$C$9:$C$508)-1)+$T$352</f>
        <v>0.7034068136272551</v>
      </c>
      <c r="U353">
        <f>SMALL(SimData!$D$9:$D$508,352)</f>
        <v>75.999677687579208</v>
      </c>
      <c r="V353">
        <f>1/(COUNT(SimData!$D$9:$D$508)-1)+$V$352</f>
        <v>0.7034068136272551</v>
      </c>
      <c r="W353">
        <f>SMALL(SimData!$E$9:$E$508,352)</f>
        <v>13.999677687579208</v>
      </c>
      <c r="X353">
        <f>1/(COUNT(SimData!$E$9:$E$508)-1)+$X$352</f>
        <v>0.7034068136272551</v>
      </c>
    </row>
    <row r="354" spans="1:24">
      <c r="A354">
        <v>346</v>
      </c>
      <c r="B354">
        <v>190.71149403959089</v>
      </c>
      <c r="C354">
        <v>122.71149403959089</v>
      </c>
      <c r="D354">
        <v>37.711494039590889</v>
      </c>
      <c r="E354">
        <v>-24.288505960409111</v>
      </c>
      <c r="Q354">
        <f>SMALL(SimData!$B$9:$B$508,353)</f>
        <v>229.12776417809937</v>
      </c>
      <c r="R354">
        <f>1/(COUNT(SimData!$B$9:$B$508)-1)+$R$353</f>
        <v>0.70541082164328717</v>
      </c>
      <c r="S354">
        <f>SMALL(SimData!$C$9:$C$508,353)</f>
        <v>161.12776417809937</v>
      </c>
      <c r="T354">
        <f>1/(COUNT(SimData!$C$9:$C$508)-1)+$T$353</f>
        <v>0.70541082164328717</v>
      </c>
      <c r="U354">
        <f>SMALL(SimData!$D$9:$D$508,353)</f>
        <v>76.127764178099369</v>
      </c>
      <c r="V354">
        <f>1/(COUNT(SimData!$D$9:$D$508)-1)+$V$353</f>
        <v>0.70541082164328717</v>
      </c>
      <c r="W354">
        <f>SMALL(SimData!$E$9:$E$508,353)</f>
        <v>14.127764178099369</v>
      </c>
      <c r="X354">
        <f>1/(COUNT(SimData!$E$9:$E$508)-1)+$X$353</f>
        <v>0.70541082164328717</v>
      </c>
    </row>
    <row r="355" spans="1:24">
      <c r="A355">
        <v>347</v>
      </c>
      <c r="B355">
        <v>182.45666602290544</v>
      </c>
      <c r="C355">
        <v>114.45666602290544</v>
      </c>
      <c r="D355">
        <v>29.456666022905438</v>
      </c>
      <c r="E355">
        <v>-32.543333977094562</v>
      </c>
      <c r="Q355">
        <f>SMALL(SimData!$B$9:$B$508,354)</f>
        <v>229.18152506894319</v>
      </c>
      <c r="R355">
        <f>1/(COUNT(SimData!$B$9:$B$508)-1)+$R$354</f>
        <v>0.70741482965931923</v>
      </c>
      <c r="S355">
        <f>SMALL(SimData!$C$9:$C$508,354)</f>
        <v>161.18152506894319</v>
      </c>
      <c r="T355">
        <f>1/(COUNT(SimData!$C$9:$C$508)-1)+$T$354</f>
        <v>0.70741482965931923</v>
      </c>
      <c r="U355">
        <f>SMALL(SimData!$D$9:$D$508,354)</f>
        <v>76.181525068943188</v>
      </c>
      <c r="V355">
        <f>1/(COUNT(SimData!$D$9:$D$508)-1)+$V$354</f>
        <v>0.70741482965931923</v>
      </c>
      <c r="W355">
        <f>SMALL(SimData!$E$9:$E$508,354)</f>
        <v>14.181525068943188</v>
      </c>
      <c r="X355">
        <f>1/(COUNT(SimData!$E$9:$E$508)-1)+$X$354</f>
        <v>0.70741482965931923</v>
      </c>
    </row>
    <row r="356" spans="1:24">
      <c r="A356">
        <v>348</v>
      </c>
      <c r="B356">
        <v>209.61619679694417</v>
      </c>
      <c r="C356">
        <v>141.61619679694417</v>
      </c>
      <c r="D356">
        <v>56.616196796944166</v>
      </c>
      <c r="E356">
        <v>-5.3838032030558338</v>
      </c>
      <c r="Q356">
        <f>SMALL(SimData!$B$9:$B$508,355)</f>
        <v>229.24866800085914</v>
      </c>
      <c r="R356">
        <f>1/(COUNT(SimData!$B$9:$B$508)-1)+$R$355</f>
        <v>0.7094188376753513</v>
      </c>
      <c r="S356">
        <f>SMALL(SimData!$C$9:$C$508,355)</f>
        <v>161.24866800085914</v>
      </c>
      <c r="T356">
        <f>1/(COUNT(SimData!$C$9:$C$508)-1)+$T$355</f>
        <v>0.7094188376753513</v>
      </c>
      <c r="U356">
        <f>SMALL(SimData!$D$9:$D$508,355)</f>
        <v>76.248668000859141</v>
      </c>
      <c r="V356">
        <f>1/(COUNT(SimData!$D$9:$D$508)-1)+$V$355</f>
        <v>0.7094188376753513</v>
      </c>
      <c r="W356">
        <f>SMALL(SimData!$E$9:$E$508,355)</f>
        <v>14.248668000859141</v>
      </c>
      <c r="X356">
        <f>1/(COUNT(SimData!$E$9:$E$508)-1)+$X$355</f>
        <v>0.7094188376753513</v>
      </c>
    </row>
    <row r="357" spans="1:24">
      <c r="A357">
        <v>349</v>
      </c>
      <c r="B357">
        <v>301.46968216619501</v>
      </c>
      <c r="C357">
        <v>233.46968216619501</v>
      </c>
      <c r="D357">
        <v>148.46968216619501</v>
      </c>
      <c r="E357">
        <v>86.469682166195014</v>
      </c>
      <c r="Q357">
        <f>SMALL(SimData!$B$9:$B$508,356)</f>
        <v>229.5736217053128</v>
      </c>
      <c r="R357">
        <f>1/(COUNT(SimData!$B$9:$B$508)-1)+$R$356</f>
        <v>0.71142284569138337</v>
      </c>
      <c r="S357">
        <f>SMALL(SimData!$C$9:$C$508,356)</f>
        <v>161.5736217053128</v>
      </c>
      <c r="T357">
        <f>1/(COUNT(SimData!$C$9:$C$508)-1)+$T$356</f>
        <v>0.71142284569138337</v>
      </c>
      <c r="U357">
        <f>SMALL(SimData!$D$9:$D$508,356)</f>
        <v>76.573621705312803</v>
      </c>
      <c r="V357">
        <f>1/(COUNT(SimData!$D$9:$D$508)-1)+$V$356</f>
        <v>0.71142284569138337</v>
      </c>
      <c r="W357">
        <f>SMALL(SimData!$E$9:$E$508,356)</f>
        <v>14.573621705312803</v>
      </c>
      <c r="X357">
        <f>1/(COUNT(SimData!$E$9:$E$508)-1)+$X$356</f>
        <v>0.71142284569138337</v>
      </c>
    </row>
    <row r="358" spans="1:24">
      <c r="A358">
        <v>350</v>
      </c>
      <c r="B358">
        <v>255.4669329431764</v>
      </c>
      <c r="C358">
        <v>187.4669329431764</v>
      </c>
      <c r="D358">
        <v>102.4669329431764</v>
      </c>
      <c r="E358">
        <v>40.466932943176403</v>
      </c>
      <c r="Q358">
        <f>SMALL(SimData!$B$9:$B$508,357)</f>
        <v>229.71823189716088</v>
      </c>
      <c r="R358">
        <f>1/(COUNT(SimData!$B$9:$B$508)-1)+$R$357</f>
        <v>0.71342685370741543</v>
      </c>
      <c r="S358">
        <f>SMALL(SimData!$C$9:$C$508,357)</f>
        <v>161.71823189716088</v>
      </c>
      <c r="T358">
        <f>1/(COUNT(SimData!$C$9:$C$508)-1)+$T$357</f>
        <v>0.71342685370741543</v>
      </c>
      <c r="U358">
        <f>SMALL(SimData!$D$9:$D$508,357)</f>
        <v>76.718231897160877</v>
      </c>
      <c r="V358">
        <f>1/(COUNT(SimData!$D$9:$D$508)-1)+$V$357</f>
        <v>0.71342685370741543</v>
      </c>
      <c r="W358">
        <f>SMALL(SimData!$E$9:$E$508,357)</f>
        <v>14.718231897160877</v>
      </c>
      <c r="X358">
        <f>1/(COUNT(SimData!$E$9:$E$508)-1)+$X$357</f>
        <v>0.71342685370741543</v>
      </c>
    </row>
    <row r="359" spans="1:24">
      <c r="A359">
        <v>351</v>
      </c>
      <c r="B359">
        <v>170.75358544431737</v>
      </c>
      <c r="C359">
        <v>102.75358544431737</v>
      </c>
      <c r="D359">
        <v>17.753585444317366</v>
      </c>
      <c r="E359">
        <v>-44.246414555682634</v>
      </c>
      <c r="Q359">
        <f>SMALL(SimData!$B$9:$B$508,358)</f>
        <v>229.82925573427747</v>
      </c>
      <c r="R359">
        <f>1/(COUNT(SimData!$B$9:$B$508)-1)+$R$358</f>
        <v>0.7154308617234475</v>
      </c>
      <c r="S359">
        <f>SMALL(SimData!$C$9:$C$508,358)</f>
        <v>161.82925573427747</v>
      </c>
      <c r="T359">
        <f>1/(COUNT(SimData!$C$9:$C$508)-1)+$T$358</f>
        <v>0.7154308617234475</v>
      </c>
      <c r="U359">
        <f>SMALL(SimData!$D$9:$D$508,358)</f>
        <v>76.829255734277467</v>
      </c>
      <c r="V359">
        <f>1/(COUNT(SimData!$D$9:$D$508)-1)+$V$358</f>
        <v>0.7154308617234475</v>
      </c>
      <c r="W359">
        <f>SMALL(SimData!$E$9:$E$508,358)</f>
        <v>14.829255734277467</v>
      </c>
      <c r="X359">
        <f>1/(COUNT(SimData!$E$9:$E$508)-1)+$X$358</f>
        <v>0.7154308617234475</v>
      </c>
    </row>
    <row r="360" spans="1:24">
      <c r="A360">
        <v>352</v>
      </c>
      <c r="B360">
        <v>192.4088742827567</v>
      </c>
      <c r="C360">
        <v>124.4088742827567</v>
      </c>
      <c r="D360">
        <v>39.408874282756699</v>
      </c>
      <c r="E360">
        <v>-22.591125717243301</v>
      </c>
      <c r="Q360">
        <f>SMALL(SimData!$B$9:$B$508,359)</f>
        <v>229.99476458732596</v>
      </c>
      <c r="R360">
        <f>1/(COUNT(SimData!$B$9:$B$508)-1)+$R$359</f>
        <v>0.71743486973947956</v>
      </c>
      <c r="S360">
        <f>SMALL(SimData!$C$9:$C$508,359)</f>
        <v>161.99476458732596</v>
      </c>
      <c r="T360">
        <f>1/(COUNT(SimData!$C$9:$C$508)-1)+$T$359</f>
        <v>0.71743486973947956</v>
      </c>
      <c r="U360">
        <f>SMALL(SimData!$D$9:$D$508,359)</f>
        <v>76.99476458732596</v>
      </c>
      <c r="V360">
        <f>1/(COUNT(SimData!$D$9:$D$508)-1)+$V$359</f>
        <v>0.71743486973947956</v>
      </c>
      <c r="W360">
        <f>SMALL(SimData!$E$9:$E$508,359)</f>
        <v>14.99476458732596</v>
      </c>
      <c r="X360">
        <f>1/(COUNT(SimData!$E$9:$E$508)-1)+$X$359</f>
        <v>0.71743486973947956</v>
      </c>
    </row>
    <row r="361" spans="1:24">
      <c r="A361">
        <v>353</v>
      </c>
      <c r="B361">
        <v>309.00103978372886</v>
      </c>
      <c r="C361">
        <v>241.00103978372886</v>
      </c>
      <c r="D361">
        <v>156.00103978372886</v>
      </c>
      <c r="E361">
        <v>94.001039783728856</v>
      </c>
      <c r="Q361">
        <f>SMALL(SimData!$B$9:$B$508,360)</f>
        <v>229.99661986614944</v>
      </c>
      <c r="R361">
        <f>1/(COUNT(SimData!$B$9:$B$508)-1)+$R$360</f>
        <v>0.71943887775551163</v>
      </c>
      <c r="S361">
        <f>SMALL(SimData!$C$9:$C$508,360)</f>
        <v>161.99661986614944</v>
      </c>
      <c r="T361">
        <f>1/(COUNT(SimData!$C$9:$C$508)-1)+$T$360</f>
        <v>0.71943887775551163</v>
      </c>
      <c r="U361">
        <f>SMALL(SimData!$D$9:$D$508,360)</f>
        <v>76.996619866149445</v>
      </c>
      <c r="V361">
        <f>1/(COUNT(SimData!$D$9:$D$508)-1)+$V$360</f>
        <v>0.71943887775551163</v>
      </c>
      <c r="W361">
        <f>SMALL(SimData!$E$9:$E$508,360)</f>
        <v>14.996619866149445</v>
      </c>
      <c r="X361">
        <f>1/(COUNT(SimData!$E$9:$E$508)-1)+$X$360</f>
        <v>0.71943887775551163</v>
      </c>
    </row>
    <row r="362" spans="1:24">
      <c r="A362">
        <v>354</v>
      </c>
      <c r="B362">
        <v>199.8821428309119</v>
      </c>
      <c r="C362">
        <v>131.8821428309119</v>
      </c>
      <c r="D362">
        <v>46.882142830911903</v>
      </c>
      <c r="E362">
        <v>-15.117857169088097</v>
      </c>
      <c r="Q362">
        <f>SMALL(SimData!$B$9:$B$508,361)</f>
        <v>230.46881197018877</v>
      </c>
      <c r="R362">
        <f>1/(COUNT(SimData!$B$9:$B$508)-1)+$R$361</f>
        <v>0.7214428857715437</v>
      </c>
      <c r="S362">
        <f>SMALL(SimData!$C$9:$C$508,361)</f>
        <v>162.46881197018877</v>
      </c>
      <c r="T362">
        <f>1/(COUNT(SimData!$C$9:$C$508)-1)+$T$361</f>
        <v>0.7214428857715437</v>
      </c>
      <c r="U362">
        <f>SMALL(SimData!$D$9:$D$508,361)</f>
        <v>77.468811970188767</v>
      </c>
      <c r="V362">
        <f>1/(COUNT(SimData!$D$9:$D$508)-1)+$V$361</f>
        <v>0.7214428857715437</v>
      </c>
      <c r="W362">
        <f>SMALL(SimData!$E$9:$E$508,361)</f>
        <v>15.468811970188767</v>
      </c>
      <c r="X362">
        <f>1/(COUNT(SimData!$E$9:$E$508)-1)+$X$361</f>
        <v>0.7214428857715437</v>
      </c>
    </row>
    <row r="363" spans="1:24">
      <c r="A363">
        <v>355</v>
      </c>
      <c r="B363">
        <v>140.75799679070803</v>
      </c>
      <c r="C363">
        <v>72.757996790708034</v>
      </c>
      <c r="D363">
        <v>-12.242003209291966</v>
      </c>
      <c r="E363">
        <v>-74.242003209291966</v>
      </c>
      <c r="Q363">
        <f>SMALL(SimData!$B$9:$B$508,362)</f>
        <v>230.51995020370885</v>
      </c>
      <c r="R363">
        <f>1/(COUNT(SimData!$B$9:$B$508)-1)+$R$362</f>
        <v>0.72344689378757576</v>
      </c>
      <c r="S363">
        <f>SMALL(SimData!$C$9:$C$508,362)</f>
        <v>162.51995020370885</v>
      </c>
      <c r="T363">
        <f>1/(COUNT(SimData!$C$9:$C$508)-1)+$T$362</f>
        <v>0.72344689378757576</v>
      </c>
      <c r="U363">
        <f>SMALL(SimData!$D$9:$D$508,362)</f>
        <v>77.519950203708845</v>
      </c>
      <c r="V363">
        <f>1/(COUNT(SimData!$D$9:$D$508)-1)+$V$362</f>
        <v>0.72344689378757576</v>
      </c>
      <c r="W363">
        <f>SMALL(SimData!$E$9:$E$508,362)</f>
        <v>15.519950203708845</v>
      </c>
      <c r="X363">
        <f>1/(COUNT(SimData!$E$9:$E$508)-1)+$X$362</f>
        <v>0.72344689378757576</v>
      </c>
    </row>
    <row r="364" spans="1:24">
      <c r="A364">
        <v>356</v>
      </c>
      <c r="B364">
        <v>152.66554387652644</v>
      </c>
      <c r="C364">
        <v>84.665543876526442</v>
      </c>
      <c r="D364">
        <v>-0.33445612347355791</v>
      </c>
      <c r="E364">
        <v>-62.334456123473558</v>
      </c>
      <c r="Q364">
        <f>SMALL(SimData!$B$9:$B$508,363)</f>
        <v>230.68247709760368</v>
      </c>
      <c r="R364">
        <f>1/(COUNT(SimData!$B$9:$B$508)-1)+$R$363</f>
        <v>0.72545090180360783</v>
      </c>
      <c r="S364">
        <f>SMALL(SimData!$C$9:$C$508,363)</f>
        <v>162.68247709760368</v>
      </c>
      <c r="T364">
        <f>1/(COUNT(SimData!$C$9:$C$508)-1)+$T$363</f>
        <v>0.72545090180360783</v>
      </c>
      <c r="U364">
        <f>SMALL(SimData!$D$9:$D$508,363)</f>
        <v>77.68247709760368</v>
      </c>
      <c r="V364">
        <f>1/(COUNT(SimData!$D$9:$D$508)-1)+$V$363</f>
        <v>0.72545090180360783</v>
      </c>
      <c r="W364">
        <f>SMALL(SimData!$E$9:$E$508,363)</f>
        <v>15.68247709760368</v>
      </c>
      <c r="X364">
        <f>1/(COUNT(SimData!$E$9:$E$508)-1)+$X$363</f>
        <v>0.72545090180360783</v>
      </c>
    </row>
    <row r="365" spans="1:24">
      <c r="A365">
        <v>357</v>
      </c>
      <c r="B365">
        <v>220.54751314189366</v>
      </c>
      <c r="C365">
        <v>152.54751314189366</v>
      </c>
      <c r="D365">
        <v>67.54751314189366</v>
      </c>
      <c r="E365">
        <v>5.5475131418936598</v>
      </c>
      <c r="Q365">
        <f>SMALL(SimData!$B$9:$B$508,364)</f>
        <v>230.74703186089295</v>
      </c>
      <c r="R365">
        <f>1/(COUNT(SimData!$B$9:$B$508)-1)+$R$364</f>
        <v>0.72745490981963989</v>
      </c>
      <c r="S365">
        <f>SMALL(SimData!$C$9:$C$508,364)</f>
        <v>162.74703186089295</v>
      </c>
      <c r="T365">
        <f>1/(COUNT(SimData!$C$9:$C$508)-1)+$T$364</f>
        <v>0.72745490981963989</v>
      </c>
      <c r="U365">
        <f>SMALL(SimData!$D$9:$D$508,364)</f>
        <v>77.747031860892946</v>
      </c>
      <c r="V365">
        <f>1/(COUNT(SimData!$D$9:$D$508)-1)+$V$364</f>
        <v>0.72745490981963989</v>
      </c>
      <c r="W365">
        <f>SMALL(SimData!$E$9:$E$508,364)</f>
        <v>15.747031860892946</v>
      </c>
      <c r="X365">
        <f>1/(COUNT(SimData!$E$9:$E$508)-1)+$X$364</f>
        <v>0.72745490981963989</v>
      </c>
    </row>
    <row r="366" spans="1:24">
      <c r="A366">
        <v>358</v>
      </c>
      <c r="B366">
        <v>264.59235900088788</v>
      </c>
      <c r="C366">
        <v>196.59235900088788</v>
      </c>
      <c r="D366">
        <v>111.59235900088788</v>
      </c>
      <c r="E366">
        <v>49.592359000887882</v>
      </c>
      <c r="Q366">
        <f>SMALL(SimData!$B$9:$B$508,365)</f>
        <v>231.01643565338429</v>
      </c>
      <c r="R366">
        <f>1/(COUNT(SimData!$B$9:$B$508)-1)+$R$365</f>
        <v>0.72945891783567196</v>
      </c>
      <c r="S366">
        <f>SMALL(SimData!$C$9:$C$508,365)</f>
        <v>163.01643565338429</v>
      </c>
      <c r="T366">
        <f>1/(COUNT(SimData!$C$9:$C$508)-1)+$T$365</f>
        <v>0.72945891783567196</v>
      </c>
      <c r="U366">
        <f>SMALL(SimData!$D$9:$D$508,365)</f>
        <v>78.016435653384292</v>
      </c>
      <c r="V366">
        <f>1/(COUNT(SimData!$D$9:$D$508)-1)+$V$365</f>
        <v>0.72945891783567196</v>
      </c>
      <c r="W366">
        <f>SMALL(SimData!$E$9:$E$508,365)</f>
        <v>16.016435653384292</v>
      </c>
      <c r="X366">
        <f>1/(COUNT(SimData!$E$9:$E$508)-1)+$X$365</f>
        <v>0.72945891783567196</v>
      </c>
    </row>
    <row r="367" spans="1:24">
      <c r="A367">
        <v>359</v>
      </c>
      <c r="B367">
        <v>170.89321800495532</v>
      </c>
      <c r="C367">
        <v>102.89321800495532</v>
      </c>
      <c r="D367">
        <v>17.893218004955315</v>
      </c>
      <c r="E367">
        <v>-44.106781995044685</v>
      </c>
      <c r="Q367">
        <f>SMALL(SimData!$B$9:$B$508,366)</f>
        <v>231.40933258955044</v>
      </c>
      <c r="R367">
        <f>1/(COUNT(SimData!$B$9:$B$508)-1)+$R$366</f>
        <v>0.73146292585170403</v>
      </c>
      <c r="S367">
        <f>SMALL(SimData!$C$9:$C$508,366)</f>
        <v>163.40933258955044</v>
      </c>
      <c r="T367">
        <f>1/(COUNT(SimData!$C$9:$C$508)-1)+$T$366</f>
        <v>0.73146292585170403</v>
      </c>
      <c r="U367">
        <f>SMALL(SimData!$D$9:$D$508,366)</f>
        <v>78.409332589550445</v>
      </c>
      <c r="V367">
        <f>1/(COUNT(SimData!$D$9:$D$508)-1)+$V$366</f>
        <v>0.73146292585170403</v>
      </c>
      <c r="W367">
        <f>SMALL(SimData!$E$9:$E$508,366)</f>
        <v>16.409332589550445</v>
      </c>
      <c r="X367">
        <f>1/(COUNT(SimData!$E$9:$E$508)-1)+$X$366</f>
        <v>0.73146292585170403</v>
      </c>
    </row>
    <row r="368" spans="1:24">
      <c r="A368">
        <v>360</v>
      </c>
      <c r="B368">
        <v>180.64006415865543</v>
      </c>
      <c r="C368">
        <v>112.64006415865543</v>
      </c>
      <c r="D368">
        <v>27.640064158655434</v>
      </c>
      <c r="E368">
        <v>-34.359935841344566</v>
      </c>
      <c r="Q368">
        <f>SMALL(SimData!$B$9:$B$508,367)</f>
        <v>231.71812824487279</v>
      </c>
      <c r="R368">
        <f>1/(COUNT(SimData!$B$9:$B$508)-1)+$R$367</f>
        <v>0.73346693386773609</v>
      </c>
      <c r="S368">
        <f>SMALL(SimData!$C$9:$C$508,367)</f>
        <v>163.71812824487279</v>
      </c>
      <c r="T368">
        <f>1/(COUNT(SimData!$C$9:$C$508)-1)+$T$367</f>
        <v>0.73346693386773609</v>
      </c>
      <c r="U368">
        <f>SMALL(SimData!$D$9:$D$508,367)</f>
        <v>78.718128244872787</v>
      </c>
      <c r="V368">
        <f>1/(COUNT(SimData!$D$9:$D$508)-1)+$V$367</f>
        <v>0.73346693386773609</v>
      </c>
      <c r="W368">
        <f>SMALL(SimData!$E$9:$E$508,367)</f>
        <v>16.718128244872787</v>
      </c>
      <c r="X368">
        <f>1/(COUNT(SimData!$E$9:$E$508)-1)+$X$367</f>
        <v>0.73346693386773609</v>
      </c>
    </row>
    <row r="369" spans="1:24">
      <c r="A369">
        <v>361</v>
      </c>
      <c r="B369">
        <v>244.99922543954551</v>
      </c>
      <c r="C369">
        <v>176.99922543954551</v>
      </c>
      <c r="D369">
        <v>91.999225439545512</v>
      </c>
      <c r="E369">
        <v>29.999225439545512</v>
      </c>
      <c r="Q369">
        <f>SMALL(SimData!$B$9:$B$508,368)</f>
        <v>232.06781961923338</v>
      </c>
      <c r="R369">
        <f>1/(COUNT(SimData!$B$9:$B$508)-1)+$R$368</f>
        <v>0.73547094188376816</v>
      </c>
      <c r="S369">
        <f>SMALL(SimData!$C$9:$C$508,368)</f>
        <v>164.06781961923338</v>
      </c>
      <c r="T369">
        <f>1/(COUNT(SimData!$C$9:$C$508)-1)+$T$368</f>
        <v>0.73547094188376816</v>
      </c>
      <c r="U369">
        <f>SMALL(SimData!$D$9:$D$508,368)</f>
        <v>79.067819619233376</v>
      </c>
      <c r="V369">
        <f>1/(COUNT(SimData!$D$9:$D$508)-1)+$V$368</f>
        <v>0.73547094188376816</v>
      </c>
      <c r="W369">
        <f>SMALL(SimData!$E$9:$E$508,368)</f>
        <v>17.067819619233376</v>
      </c>
      <c r="X369">
        <f>1/(COUNT(SimData!$E$9:$E$508)-1)+$X$368</f>
        <v>0.73547094188376816</v>
      </c>
    </row>
    <row r="370" spans="1:24">
      <c r="A370">
        <v>362</v>
      </c>
      <c r="B370">
        <v>261.32779496106104</v>
      </c>
      <c r="C370">
        <v>193.32779496106104</v>
      </c>
      <c r="D370">
        <v>108.32779496106104</v>
      </c>
      <c r="E370">
        <v>46.327794961061045</v>
      </c>
      <c r="Q370">
        <f>SMALL(SimData!$B$9:$B$508,369)</f>
        <v>232.16032703990561</v>
      </c>
      <c r="R370">
        <f>1/(COUNT(SimData!$B$9:$B$508)-1)+$R$369</f>
        <v>0.73747494989980023</v>
      </c>
      <c r="S370">
        <f>SMALL(SimData!$C$9:$C$508,369)</f>
        <v>164.16032703990561</v>
      </c>
      <c r="T370">
        <f>1/(COUNT(SimData!$C$9:$C$508)-1)+$T$369</f>
        <v>0.73747494989980023</v>
      </c>
      <c r="U370">
        <f>SMALL(SimData!$D$9:$D$508,369)</f>
        <v>79.16032703990561</v>
      </c>
      <c r="V370">
        <f>1/(COUNT(SimData!$D$9:$D$508)-1)+$V$369</f>
        <v>0.73747494989980023</v>
      </c>
      <c r="W370">
        <f>SMALL(SimData!$E$9:$E$508,369)</f>
        <v>17.16032703990561</v>
      </c>
      <c r="X370">
        <f>1/(COUNT(SimData!$E$9:$E$508)-1)+$X$369</f>
        <v>0.73747494989980023</v>
      </c>
    </row>
    <row r="371" spans="1:24">
      <c r="A371">
        <v>363</v>
      </c>
      <c r="B371">
        <v>231.01643565338429</v>
      </c>
      <c r="C371">
        <v>163.01643565338429</v>
      </c>
      <c r="D371">
        <v>78.016435653384292</v>
      </c>
      <c r="E371">
        <v>16.016435653384292</v>
      </c>
      <c r="Q371">
        <f>SMALL(SimData!$B$9:$B$508,370)</f>
        <v>232.36343357005461</v>
      </c>
      <c r="R371">
        <f>1/(COUNT(SimData!$B$9:$B$508)-1)+$R$370</f>
        <v>0.73947895791583229</v>
      </c>
      <c r="S371">
        <f>SMALL(SimData!$C$9:$C$508,370)</f>
        <v>164.36343357005461</v>
      </c>
      <c r="T371">
        <f>1/(COUNT(SimData!$C$9:$C$508)-1)+$T$370</f>
        <v>0.73947895791583229</v>
      </c>
      <c r="U371">
        <f>SMALL(SimData!$D$9:$D$508,370)</f>
        <v>79.36343357005461</v>
      </c>
      <c r="V371">
        <f>1/(COUNT(SimData!$D$9:$D$508)-1)+$V$370</f>
        <v>0.73947895791583229</v>
      </c>
      <c r="W371">
        <f>SMALL(SimData!$E$9:$E$508,370)</f>
        <v>17.36343357005461</v>
      </c>
      <c r="X371">
        <f>1/(COUNT(SimData!$E$9:$E$508)-1)+$X$370</f>
        <v>0.73947895791583229</v>
      </c>
    </row>
    <row r="372" spans="1:24">
      <c r="A372">
        <v>364</v>
      </c>
      <c r="B372">
        <v>206.57661540917377</v>
      </c>
      <c r="C372">
        <v>138.57661540917377</v>
      </c>
      <c r="D372">
        <v>53.576615409173769</v>
      </c>
      <c r="E372">
        <v>-8.423384590826231</v>
      </c>
      <c r="Q372">
        <f>SMALL(SimData!$B$9:$B$508,371)</f>
        <v>232.40438770075951</v>
      </c>
      <c r="R372">
        <f>1/(COUNT(SimData!$B$9:$B$508)-1)+$R$371</f>
        <v>0.74148296593186436</v>
      </c>
      <c r="S372">
        <f>SMALL(SimData!$C$9:$C$508,371)</f>
        <v>164.40438770075951</v>
      </c>
      <c r="T372">
        <f>1/(COUNT(SimData!$C$9:$C$508)-1)+$T$371</f>
        <v>0.74148296593186436</v>
      </c>
      <c r="U372">
        <f>SMALL(SimData!$D$9:$D$508,371)</f>
        <v>79.404387700759514</v>
      </c>
      <c r="V372">
        <f>1/(COUNT(SimData!$D$9:$D$508)-1)+$V$371</f>
        <v>0.74148296593186436</v>
      </c>
      <c r="W372">
        <f>SMALL(SimData!$E$9:$E$508,371)</f>
        <v>17.404387700759514</v>
      </c>
      <c r="X372">
        <f>1/(COUNT(SimData!$E$9:$E$508)-1)+$X$371</f>
        <v>0.74148296593186436</v>
      </c>
    </row>
    <row r="373" spans="1:24">
      <c r="A373">
        <v>365</v>
      </c>
      <c r="B373">
        <v>187.0719440669115</v>
      </c>
      <c r="C373">
        <v>119.0719440669115</v>
      </c>
      <c r="D373">
        <v>34.071944066911499</v>
      </c>
      <c r="E373">
        <v>-27.928055933088501</v>
      </c>
      <c r="Q373">
        <f>SMALL(SimData!$B$9:$B$508,372)</f>
        <v>233.11604023051285</v>
      </c>
      <c r="R373">
        <f>1/(COUNT(SimData!$B$9:$B$508)-1)+$R$372</f>
        <v>0.74348697394789642</v>
      </c>
      <c r="S373">
        <f>SMALL(SimData!$C$9:$C$508,372)</f>
        <v>165.11604023051285</v>
      </c>
      <c r="T373">
        <f>1/(COUNT(SimData!$C$9:$C$508)-1)+$T$372</f>
        <v>0.74348697394789642</v>
      </c>
      <c r="U373">
        <f>SMALL(SimData!$D$9:$D$508,372)</f>
        <v>80.116040230512851</v>
      </c>
      <c r="V373">
        <f>1/(COUNT(SimData!$D$9:$D$508)-1)+$V$372</f>
        <v>0.74348697394789642</v>
      </c>
      <c r="W373">
        <f>SMALL(SimData!$E$9:$E$508,372)</f>
        <v>18.116040230512851</v>
      </c>
      <c r="X373">
        <f>1/(COUNT(SimData!$E$9:$E$508)-1)+$X$372</f>
        <v>0.74348697394789642</v>
      </c>
    </row>
    <row r="374" spans="1:24">
      <c r="A374">
        <v>366</v>
      </c>
      <c r="B374">
        <v>208.69348658878397</v>
      </c>
      <c r="C374">
        <v>140.69348658878397</v>
      </c>
      <c r="D374">
        <v>55.693486588783969</v>
      </c>
      <c r="E374">
        <v>-6.3065134112160308</v>
      </c>
      <c r="Q374">
        <f>SMALL(SimData!$B$9:$B$508,373)</f>
        <v>233.19394702845455</v>
      </c>
      <c r="R374">
        <f>1/(COUNT(SimData!$B$9:$B$508)-1)+$R$373</f>
        <v>0.74549098196392849</v>
      </c>
      <c r="S374">
        <f>SMALL(SimData!$C$9:$C$508,373)</f>
        <v>165.19394702845455</v>
      </c>
      <c r="T374">
        <f>1/(COUNT(SimData!$C$9:$C$508)-1)+$T$373</f>
        <v>0.74549098196392849</v>
      </c>
      <c r="U374">
        <f>SMALL(SimData!$D$9:$D$508,373)</f>
        <v>80.193947028454545</v>
      </c>
      <c r="V374">
        <f>1/(COUNT(SimData!$D$9:$D$508)-1)+$V$373</f>
        <v>0.74549098196392849</v>
      </c>
      <c r="W374">
        <f>SMALL(SimData!$E$9:$E$508,373)</f>
        <v>18.193947028454545</v>
      </c>
      <c r="X374">
        <f>1/(COUNT(SimData!$E$9:$E$508)-1)+$X$373</f>
        <v>0.74549098196392849</v>
      </c>
    </row>
    <row r="375" spans="1:24">
      <c r="A375">
        <v>367</v>
      </c>
      <c r="B375">
        <v>159.82572745624782</v>
      </c>
      <c r="C375">
        <v>91.825727456247819</v>
      </c>
      <c r="D375">
        <v>6.8257274562478187</v>
      </c>
      <c r="E375">
        <v>-55.174272543752181</v>
      </c>
      <c r="Q375">
        <f>SMALL(SimData!$B$9:$B$508,374)</f>
        <v>233.21450521639031</v>
      </c>
      <c r="R375">
        <f>1/(COUNT(SimData!$B$9:$B$508)-1)+$R$374</f>
        <v>0.74749498997996056</v>
      </c>
      <c r="S375">
        <f>SMALL(SimData!$C$9:$C$508,374)</f>
        <v>165.21450521639031</v>
      </c>
      <c r="T375">
        <f>1/(COUNT(SimData!$C$9:$C$508)-1)+$T$374</f>
        <v>0.74749498997996056</v>
      </c>
      <c r="U375">
        <f>SMALL(SimData!$D$9:$D$508,374)</f>
        <v>80.214505216390307</v>
      </c>
      <c r="V375">
        <f>1/(COUNT(SimData!$D$9:$D$508)-1)+$V$374</f>
        <v>0.74749498997996056</v>
      </c>
      <c r="W375">
        <f>SMALL(SimData!$E$9:$E$508,374)</f>
        <v>18.214505216390307</v>
      </c>
      <c r="X375">
        <f>1/(COUNT(SimData!$E$9:$E$508)-1)+$X$374</f>
        <v>0.74749498997996056</v>
      </c>
    </row>
    <row r="376" spans="1:24">
      <c r="A376">
        <v>368</v>
      </c>
      <c r="B376">
        <v>202.12985185965783</v>
      </c>
      <c r="C376">
        <v>134.12985185965783</v>
      </c>
      <c r="D376">
        <v>49.129851859657833</v>
      </c>
      <c r="E376">
        <v>-12.870148140342167</v>
      </c>
      <c r="Q376">
        <f>SMALL(SimData!$B$9:$B$508,375)</f>
        <v>233.58541379717065</v>
      </c>
      <c r="R376">
        <f>1/(COUNT(SimData!$B$9:$B$508)-1)+$R$375</f>
        <v>0.74949899799599262</v>
      </c>
      <c r="S376">
        <f>SMALL(SimData!$C$9:$C$508,375)</f>
        <v>165.58541379717065</v>
      </c>
      <c r="T376">
        <f>1/(COUNT(SimData!$C$9:$C$508)-1)+$T$375</f>
        <v>0.74949899799599262</v>
      </c>
      <c r="U376">
        <f>SMALL(SimData!$D$9:$D$508,375)</f>
        <v>80.585413797170645</v>
      </c>
      <c r="V376">
        <f>1/(COUNT(SimData!$D$9:$D$508)-1)+$V$375</f>
        <v>0.74949899799599262</v>
      </c>
      <c r="W376">
        <f>SMALL(SimData!$E$9:$E$508,375)</f>
        <v>18.585413797170645</v>
      </c>
      <c r="X376">
        <f>1/(COUNT(SimData!$E$9:$E$508)-1)+$X$375</f>
        <v>0.74949899799599262</v>
      </c>
    </row>
    <row r="377" spans="1:24">
      <c r="A377">
        <v>369</v>
      </c>
      <c r="B377">
        <v>300.53654823106484</v>
      </c>
      <c r="C377">
        <v>232.53654823106484</v>
      </c>
      <c r="D377">
        <v>147.53654823106484</v>
      </c>
      <c r="E377">
        <v>85.536548231064842</v>
      </c>
      <c r="Q377">
        <f>SMALL(SimData!$B$9:$B$508,376)</f>
        <v>234.32582503211785</v>
      </c>
      <c r="R377">
        <f>1/(COUNT(SimData!$B$9:$B$508)-1)+$R$376</f>
        <v>0.75150300601202469</v>
      </c>
      <c r="S377">
        <f>SMALL(SimData!$C$9:$C$508,376)</f>
        <v>166.32582503211785</v>
      </c>
      <c r="T377">
        <f>1/(COUNT(SimData!$C$9:$C$508)-1)+$T$376</f>
        <v>0.75150300601202469</v>
      </c>
      <c r="U377">
        <f>SMALL(SimData!$D$9:$D$508,376)</f>
        <v>81.325825032117848</v>
      </c>
      <c r="V377">
        <f>1/(COUNT(SimData!$D$9:$D$508)-1)+$V$376</f>
        <v>0.75150300601202469</v>
      </c>
      <c r="W377">
        <f>SMALL(SimData!$E$9:$E$508,376)</f>
        <v>19.325825032117848</v>
      </c>
      <c r="X377">
        <f>1/(COUNT(SimData!$E$9:$E$508)-1)+$X$376</f>
        <v>0.75150300601202469</v>
      </c>
    </row>
    <row r="378" spans="1:24">
      <c r="A378">
        <v>370</v>
      </c>
      <c r="B378">
        <v>181.76638912783591</v>
      </c>
      <c r="C378">
        <v>113.76638912783591</v>
      </c>
      <c r="D378">
        <v>28.766389127835907</v>
      </c>
      <c r="E378">
        <v>-33.233610872164093</v>
      </c>
      <c r="Q378">
        <f>SMALL(SimData!$B$9:$B$508,377)</f>
        <v>234.8216697764525</v>
      </c>
      <c r="R378">
        <f>1/(COUNT(SimData!$B$9:$B$508)-1)+$R$377</f>
        <v>0.75350701402805675</v>
      </c>
      <c r="S378">
        <f>SMALL(SimData!$C$9:$C$508,377)</f>
        <v>166.8216697764525</v>
      </c>
      <c r="T378">
        <f>1/(COUNT(SimData!$C$9:$C$508)-1)+$T$377</f>
        <v>0.75350701402805675</v>
      </c>
      <c r="U378">
        <f>SMALL(SimData!$D$9:$D$508,377)</f>
        <v>81.821669776452495</v>
      </c>
      <c r="V378">
        <f>1/(COUNT(SimData!$D$9:$D$508)-1)+$V$377</f>
        <v>0.75350701402805675</v>
      </c>
      <c r="W378">
        <f>SMALL(SimData!$E$9:$E$508,377)</f>
        <v>19.821669776452495</v>
      </c>
      <c r="X378">
        <f>1/(COUNT(SimData!$E$9:$E$508)-1)+$X$377</f>
        <v>0.75350701402805675</v>
      </c>
    </row>
    <row r="379" spans="1:24">
      <c r="A379">
        <v>371</v>
      </c>
      <c r="B379">
        <v>272.63631670187414</v>
      </c>
      <c r="C379">
        <v>204.63631670187414</v>
      </c>
      <c r="D379">
        <v>119.63631670187414</v>
      </c>
      <c r="E379">
        <v>57.636316701874136</v>
      </c>
      <c r="Q379">
        <f>SMALL(SimData!$B$9:$B$508,378)</f>
        <v>235.51795240595834</v>
      </c>
      <c r="R379">
        <f>1/(COUNT(SimData!$B$9:$B$508)-1)+$R$378</f>
        <v>0.75551102204408882</v>
      </c>
      <c r="S379">
        <f>SMALL(SimData!$C$9:$C$508,378)</f>
        <v>167.51795240595834</v>
      </c>
      <c r="T379">
        <f>1/(COUNT(SimData!$C$9:$C$508)-1)+$T$378</f>
        <v>0.75551102204408882</v>
      </c>
      <c r="U379">
        <f>SMALL(SimData!$D$9:$D$508,378)</f>
        <v>82.51795240595834</v>
      </c>
      <c r="V379">
        <f>1/(COUNT(SimData!$D$9:$D$508)-1)+$V$378</f>
        <v>0.75551102204408882</v>
      </c>
      <c r="W379">
        <f>SMALL(SimData!$E$9:$E$508,378)</f>
        <v>20.51795240595834</v>
      </c>
      <c r="X379">
        <f>1/(COUNT(SimData!$E$9:$E$508)-1)+$X$378</f>
        <v>0.75551102204408882</v>
      </c>
    </row>
    <row r="380" spans="1:24">
      <c r="A380">
        <v>372</v>
      </c>
      <c r="B380">
        <v>257.24804747743184</v>
      </c>
      <c r="C380">
        <v>189.24804747743184</v>
      </c>
      <c r="D380">
        <v>104.24804747743184</v>
      </c>
      <c r="E380">
        <v>42.24804747743184</v>
      </c>
      <c r="Q380">
        <f>SMALL(SimData!$B$9:$B$508,379)</f>
        <v>237.24987787733073</v>
      </c>
      <c r="R380">
        <f>1/(COUNT(SimData!$B$9:$B$508)-1)+$R$379</f>
        <v>0.75751503006012089</v>
      </c>
      <c r="S380">
        <f>SMALL(SimData!$C$9:$C$508,379)</f>
        <v>169.24987787733073</v>
      </c>
      <c r="T380">
        <f>1/(COUNT(SimData!$C$9:$C$508)-1)+$T$379</f>
        <v>0.75751503006012089</v>
      </c>
      <c r="U380">
        <f>SMALL(SimData!$D$9:$D$508,379)</f>
        <v>84.249877877330732</v>
      </c>
      <c r="V380">
        <f>1/(COUNT(SimData!$D$9:$D$508)-1)+$V$379</f>
        <v>0.75751503006012089</v>
      </c>
      <c r="W380">
        <f>SMALL(SimData!$E$9:$E$508,379)</f>
        <v>22.249877877330732</v>
      </c>
      <c r="X380">
        <f>1/(COUNT(SimData!$E$9:$E$508)-1)+$X$379</f>
        <v>0.75751503006012089</v>
      </c>
    </row>
    <row r="381" spans="1:24">
      <c r="A381">
        <v>373</v>
      </c>
      <c r="B381">
        <v>165.99584859552135</v>
      </c>
      <c r="C381">
        <v>97.995848595521352</v>
      </c>
      <c r="D381">
        <v>12.995848595521352</v>
      </c>
      <c r="E381">
        <v>-49.004151404478648</v>
      </c>
      <c r="Q381">
        <f>SMALL(SimData!$B$9:$B$508,380)</f>
        <v>237.26105658436313</v>
      </c>
      <c r="R381">
        <f>1/(COUNT(SimData!$B$9:$B$508)-1)+$R$380</f>
        <v>0.75951903807615295</v>
      </c>
      <c r="S381">
        <f>SMALL(SimData!$C$9:$C$508,380)</f>
        <v>169.26105658436313</v>
      </c>
      <c r="T381">
        <f>1/(COUNT(SimData!$C$9:$C$508)-1)+$T$380</f>
        <v>0.75951903807615295</v>
      </c>
      <c r="U381">
        <f>SMALL(SimData!$D$9:$D$508,380)</f>
        <v>84.261056584363132</v>
      </c>
      <c r="V381">
        <f>1/(COUNT(SimData!$D$9:$D$508)-1)+$V$380</f>
        <v>0.75951903807615295</v>
      </c>
      <c r="W381">
        <f>SMALL(SimData!$E$9:$E$508,380)</f>
        <v>22.261056584363132</v>
      </c>
      <c r="X381">
        <f>1/(COUNT(SimData!$E$9:$E$508)-1)+$X$380</f>
        <v>0.75951903807615295</v>
      </c>
    </row>
    <row r="382" spans="1:24">
      <c r="A382">
        <v>374</v>
      </c>
      <c r="B382">
        <v>180.39271267262376</v>
      </c>
      <c r="C382">
        <v>112.39271267262376</v>
      </c>
      <c r="D382">
        <v>27.392712672623759</v>
      </c>
      <c r="E382">
        <v>-34.607287327376241</v>
      </c>
      <c r="Q382">
        <f>SMALL(SimData!$B$9:$B$508,381)</f>
        <v>238.47022230664942</v>
      </c>
      <c r="R382">
        <f>1/(COUNT(SimData!$B$9:$B$508)-1)+$R$381</f>
        <v>0.76152304609218502</v>
      </c>
      <c r="S382">
        <f>SMALL(SimData!$C$9:$C$508,381)</f>
        <v>170.47022230664942</v>
      </c>
      <c r="T382">
        <f>1/(COUNT(SimData!$C$9:$C$508)-1)+$T$381</f>
        <v>0.76152304609218502</v>
      </c>
      <c r="U382">
        <f>SMALL(SimData!$D$9:$D$508,381)</f>
        <v>85.470222306649418</v>
      </c>
      <c r="V382">
        <f>1/(COUNT(SimData!$D$9:$D$508)-1)+$V$381</f>
        <v>0.76152304609218502</v>
      </c>
      <c r="W382">
        <f>SMALL(SimData!$E$9:$E$508,381)</f>
        <v>23.470222306649418</v>
      </c>
      <c r="X382">
        <f>1/(COUNT(SimData!$E$9:$E$508)-1)+$X$381</f>
        <v>0.76152304609218502</v>
      </c>
    </row>
    <row r="383" spans="1:24">
      <c r="A383">
        <v>375</v>
      </c>
      <c r="B383">
        <v>145.37733109060298</v>
      </c>
      <c r="C383">
        <v>77.377331090602979</v>
      </c>
      <c r="D383">
        <v>-7.6226689093970208</v>
      </c>
      <c r="E383">
        <v>-69.622668909397021</v>
      </c>
      <c r="Q383">
        <f>SMALL(SimData!$B$9:$B$508,382)</f>
        <v>239.21986471700831</v>
      </c>
      <c r="R383">
        <f>1/(COUNT(SimData!$B$9:$B$508)-1)+$R$382</f>
        <v>0.76352705410821708</v>
      </c>
      <c r="S383">
        <f>SMALL(SimData!$C$9:$C$508,382)</f>
        <v>171.21986471700831</v>
      </c>
      <c r="T383">
        <f>1/(COUNT(SimData!$C$9:$C$508)-1)+$T$382</f>
        <v>0.76352705410821708</v>
      </c>
      <c r="U383">
        <f>SMALL(SimData!$D$9:$D$508,382)</f>
        <v>86.219864717008306</v>
      </c>
      <c r="V383">
        <f>1/(COUNT(SimData!$D$9:$D$508)-1)+$V$382</f>
        <v>0.76352705410821708</v>
      </c>
      <c r="W383">
        <f>SMALL(SimData!$E$9:$E$508,382)</f>
        <v>24.219864717008306</v>
      </c>
      <c r="X383">
        <f>1/(COUNT(SimData!$E$9:$E$508)-1)+$X$382</f>
        <v>0.76352705410821708</v>
      </c>
    </row>
    <row r="384" spans="1:24">
      <c r="A384">
        <v>376</v>
      </c>
      <c r="B384">
        <v>168.50655650901206</v>
      </c>
      <c r="C384">
        <v>100.50655650901206</v>
      </c>
      <c r="D384">
        <v>15.506556509012057</v>
      </c>
      <c r="E384">
        <v>-46.493443490987943</v>
      </c>
      <c r="Q384">
        <f>SMALL(SimData!$B$9:$B$508,383)</f>
        <v>239.44835076207607</v>
      </c>
      <c r="R384">
        <f>1/(COUNT(SimData!$B$9:$B$508)-1)+$R$383</f>
        <v>0.76553106212424915</v>
      </c>
      <c r="S384">
        <f>SMALL(SimData!$C$9:$C$508,383)</f>
        <v>171.44835076207607</v>
      </c>
      <c r="T384">
        <f>1/(COUNT(SimData!$C$9:$C$508)-1)+$T$383</f>
        <v>0.76553106212424915</v>
      </c>
      <c r="U384">
        <f>SMALL(SimData!$D$9:$D$508,383)</f>
        <v>86.448350762076075</v>
      </c>
      <c r="V384">
        <f>1/(COUNT(SimData!$D$9:$D$508)-1)+$V$383</f>
        <v>0.76553106212424915</v>
      </c>
      <c r="W384">
        <f>SMALL(SimData!$E$9:$E$508,383)</f>
        <v>24.448350762076075</v>
      </c>
      <c r="X384">
        <f>1/(COUNT(SimData!$E$9:$E$508)-1)+$X$383</f>
        <v>0.76553106212424915</v>
      </c>
    </row>
    <row r="385" spans="1:24">
      <c r="A385">
        <v>377</v>
      </c>
      <c r="B385">
        <v>210.41674071278049</v>
      </c>
      <c r="C385">
        <v>142.41674071278049</v>
      </c>
      <c r="D385">
        <v>57.416740712780495</v>
      </c>
      <c r="E385">
        <v>-4.583259287219505</v>
      </c>
      <c r="Q385">
        <f>SMALL(SimData!$B$9:$B$508,384)</f>
        <v>239.57274909820495</v>
      </c>
      <c r="R385">
        <f>1/(COUNT(SimData!$B$9:$B$508)-1)+$R$384</f>
        <v>0.76753507014028122</v>
      </c>
      <c r="S385">
        <f>SMALL(SimData!$C$9:$C$508,384)</f>
        <v>171.57274909820495</v>
      </c>
      <c r="T385">
        <f>1/(COUNT(SimData!$C$9:$C$508)-1)+$T$384</f>
        <v>0.76753507014028122</v>
      </c>
      <c r="U385">
        <f>SMALL(SimData!$D$9:$D$508,384)</f>
        <v>86.572749098204952</v>
      </c>
      <c r="V385">
        <f>1/(COUNT(SimData!$D$9:$D$508)-1)+$V$384</f>
        <v>0.76753507014028122</v>
      </c>
      <c r="W385">
        <f>SMALL(SimData!$E$9:$E$508,384)</f>
        <v>24.572749098204952</v>
      </c>
      <c r="X385">
        <f>1/(COUNT(SimData!$E$9:$E$508)-1)+$X$384</f>
        <v>0.76753507014028122</v>
      </c>
    </row>
    <row r="386" spans="1:24">
      <c r="A386">
        <v>378</v>
      </c>
      <c r="B386">
        <v>281.88248821430733</v>
      </c>
      <c r="C386">
        <v>213.88248821430733</v>
      </c>
      <c r="D386">
        <v>128.88248821430733</v>
      </c>
      <c r="E386">
        <v>66.88248821430733</v>
      </c>
      <c r="Q386">
        <f>SMALL(SimData!$B$9:$B$508,385)</f>
        <v>239.79150377164649</v>
      </c>
      <c r="R386">
        <f>1/(COUNT(SimData!$B$9:$B$508)-1)+$R$385</f>
        <v>0.76953907815631328</v>
      </c>
      <c r="S386">
        <f>SMALL(SimData!$C$9:$C$508,385)</f>
        <v>171.79150377164649</v>
      </c>
      <c r="T386">
        <f>1/(COUNT(SimData!$C$9:$C$508)-1)+$T$385</f>
        <v>0.76953907815631328</v>
      </c>
      <c r="U386">
        <f>SMALL(SimData!$D$9:$D$508,385)</f>
        <v>86.791503771646489</v>
      </c>
      <c r="V386">
        <f>1/(COUNT(SimData!$D$9:$D$508)-1)+$V$385</f>
        <v>0.76953907815631328</v>
      </c>
      <c r="W386">
        <f>SMALL(SimData!$E$9:$E$508,385)</f>
        <v>24.791503771646489</v>
      </c>
      <c r="X386">
        <f>1/(COUNT(SimData!$E$9:$E$508)-1)+$X$385</f>
        <v>0.76953907815631328</v>
      </c>
    </row>
    <row r="387" spans="1:24">
      <c r="A387">
        <v>379</v>
      </c>
      <c r="B387">
        <v>174.58552941307067</v>
      </c>
      <c r="C387">
        <v>106.58552941307067</v>
      </c>
      <c r="D387">
        <v>21.585529413070674</v>
      </c>
      <c r="E387">
        <v>-40.414470586929326</v>
      </c>
      <c r="Q387">
        <f>SMALL(SimData!$B$9:$B$508,386)</f>
        <v>239.87519522672994</v>
      </c>
      <c r="R387">
        <f>1/(COUNT(SimData!$B$9:$B$508)-1)+$R$386</f>
        <v>0.77154308617234535</v>
      </c>
      <c r="S387">
        <f>SMALL(SimData!$C$9:$C$508,386)</f>
        <v>171.87519522672994</v>
      </c>
      <c r="T387">
        <f>1/(COUNT(SimData!$C$9:$C$508)-1)+$T$386</f>
        <v>0.77154308617234535</v>
      </c>
      <c r="U387">
        <f>SMALL(SimData!$D$9:$D$508,386)</f>
        <v>86.875195226729943</v>
      </c>
      <c r="V387">
        <f>1/(COUNT(SimData!$D$9:$D$508)-1)+$V$386</f>
        <v>0.77154308617234535</v>
      </c>
      <c r="W387">
        <f>SMALL(SimData!$E$9:$E$508,386)</f>
        <v>24.875195226729943</v>
      </c>
      <c r="X387">
        <f>1/(COUNT(SimData!$E$9:$E$508)-1)+$X$386</f>
        <v>0.77154308617234535</v>
      </c>
    </row>
    <row r="388" spans="1:24">
      <c r="A388">
        <v>380</v>
      </c>
      <c r="B388">
        <v>200.87603204589004</v>
      </c>
      <c r="C388">
        <v>132.87603204589004</v>
      </c>
      <c r="D388">
        <v>47.876032045890042</v>
      </c>
      <c r="E388">
        <v>-14.123967954109958</v>
      </c>
      <c r="Q388">
        <f>SMALL(SimData!$B$9:$B$508,387)</f>
        <v>240.34645239075667</v>
      </c>
      <c r="R388">
        <f>1/(COUNT(SimData!$B$9:$B$508)-1)+$R$387</f>
        <v>0.77354709418837742</v>
      </c>
      <c r="S388">
        <f>SMALL(SimData!$C$9:$C$508,387)</f>
        <v>172.34645239075667</v>
      </c>
      <c r="T388">
        <f>1/(COUNT(SimData!$C$9:$C$508)-1)+$T$387</f>
        <v>0.77354709418837742</v>
      </c>
      <c r="U388">
        <f>SMALL(SimData!$D$9:$D$508,387)</f>
        <v>87.346452390756667</v>
      </c>
      <c r="V388">
        <f>1/(COUNT(SimData!$D$9:$D$508)-1)+$V$387</f>
        <v>0.77354709418837742</v>
      </c>
      <c r="W388">
        <f>SMALL(SimData!$E$9:$E$508,387)</f>
        <v>25.346452390756667</v>
      </c>
      <c r="X388">
        <f>1/(COUNT(SimData!$E$9:$E$508)-1)+$X$387</f>
        <v>0.77354709418837742</v>
      </c>
    </row>
    <row r="389" spans="1:24">
      <c r="A389">
        <v>381</v>
      </c>
      <c r="B389">
        <v>251.76049140700923</v>
      </c>
      <c r="C389">
        <v>183.76049140700923</v>
      </c>
      <c r="D389">
        <v>98.760491407009226</v>
      </c>
      <c r="E389">
        <v>36.760491407009226</v>
      </c>
      <c r="Q389">
        <f>SMALL(SimData!$B$9:$B$508,388)</f>
        <v>240.54942257004245</v>
      </c>
      <c r="R389">
        <f>1/(COUNT(SimData!$B$9:$B$508)-1)+$R$388</f>
        <v>0.77555110220440948</v>
      </c>
      <c r="S389">
        <f>SMALL(SimData!$C$9:$C$508,388)</f>
        <v>172.54942257004245</v>
      </c>
      <c r="T389">
        <f>1/(COUNT(SimData!$C$9:$C$508)-1)+$T$388</f>
        <v>0.77555110220440948</v>
      </c>
      <c r="U389">
        <f>SMALL(SimData!$D$9:$D$508,388)</f>
        <v>87.549422570042452</v>
      </c>
      <c r="V389">
        <f>1/(COUNT(SimData!$D$9:$D$508)-1)+$V$388</f>
        <v>0.77555110220440948</v>
      </c>
      <c r="W389">
        <f>SMALL(SimData!$E$9:$E$508,388)</f>
        <v>25.549422570042452</v>
      </c>
      <c r="X389">
        <f>1/(COUNT(SimData!$E$9:$E$508)-1)+$X$388</f>
        <v>0.77555110220440948</v>
      </c>
    </row>
    <row r="390" spans="1:24">
      <c r="A390">
        <v>382</v>
      </c>
      <c r="B390">
        <v>204.92974965441999</v>
      </c>
      <c r="C390">
        <v>136.92974965441999</v>
      </c>
      <c r="D390">
        <v>51.929749654419993</v>
      </c>
      <c r="E390">
        <v>-10.070250345580007</v>
      </c>
      <c r="Q390">
        <f>SMALL(SimData!$B$9:$B$508,389)</f>
        <v>241.12011080096221</v>
      </c>
      <c r="R390">
        <f>1/(COUNT(SimData!$B$9:$B$508)-1)+$R$389</f>
        <v>0.77755511022044155</v>
      </c>
      <c r="S390">
        <f>SMALL(SimData!$C$9:$C$508,389)</f>
        <v>173.12011080096221</v>
      </c>
      <c r="T390">
        <f>1/(COUNT(SimData!$C$9:$C$508)-1)+$T$389</f>
        <v>0.77755511022044155</v>
      </c>
      <c r="U390">
        <f>SMALL(SimData!$D$9:$D$508,389)</f>
        <v>88.120110800962209</v>
      </c>
      <c r="V390">
        <f>1/(COUNT(SimData!$D$9:$D$508)-1)+$V$389</f>
        <v>0.77755511022044155</v>
      </c>
      <c r="W390">
        <f>SMALL(SimData!$E$9:$E$508,389)</f>
        <v>26.120110800962209</v>
      </c>
      <c r="X390">
        <f>1/(COUNT(SimData!$E$9:$E$508)-1)+$X$389</f>
        <v>0.77755511022044155</v>
      </c>
    </row>
    <row r="391" spans="1:24">
      <c r="A391">
        <v>383</v>
      </c>
      <c r="B391">
        <v>151.84496040912404</v>
      </c>
      <c r="C391">
        <v>83.844960409124042</v>
      </c>
      <c r="D391">
        <v>-1.1550395908759583</v>
      </c>
      <c r="E391">
        <v>-63.155039590875958</v>
      </c>
      <c r="Q391">
        <f>SMALL(SimData!$B$9:$B$508,390)</f>
        <v>241.74925240584304</v>
      </c>
      <c r="R391">
        <f>1/(COUNT(SimData!$B$9:$B$508)-1)+$R$390</f>
        <v>0.77955911823647361</v>
      </c>
      <c r="S391">
        <f>SMALL(SimData!$C$9:$C$508,390)</f>
        <v>173.74925240584304</v>
      </c>
      <c r="T391">
        <f>1/(COUNT(SimData!$C$9:$C$508)-1)+$T$390</f>
        <v>0.77955911823647361</v>
      </c>
      <c r="U391">
        <f>SMALL(SimData!$D$9:$D$508,390)</f>
        <v>88.749252405843038</v>
      </c>
      <c r="V391">
        <f>1/(COUNT(SimData!$D$9:$D$508)-1)+$V$390</f>
        <v>0.77955911823647361</v>
      </c>
      <c r="W391">
        <f>SMALL(SimData!$E$9:$E$508,390)</f>
        <v>26.749252405843038</v>
      </c>
      <c r="X391">
        <f>1/(COUNT(SimData!$E$9:$E$508)-1)+$X$390</f>
        <v>0.77955911823647361</v>
      </c>
    </row>
    <row r="392" spans="1:24">
      <c r="A392">
        <v>384</v>
      </c>
      <c r="B392">
        <v>168.35127419908832</v>
      </c>
      <c r="C392">
        <v>100.35127419908832</v>
      </c>
      <c r="D392">
        <v>15.351274199088323</v>
      </c>
      <c r="E392">
        <v>-46.648725800911677</v>
      </c>
      <c r="Q392">
        <f>SMALL(SimData!$B$9:$B$508,391)</f>
        <v>242.34196124137094</v>
      </c>
      <c r="R392">
        <f>1/(COUNT(SimData!$B$9:$B$508)-1)+$R$391</f>
        <v>0.78156312625250568</v>
      </c>
      <c r="S392">
        <f>SMALL(SimData!$C$9:$C$508,391)</f>
        <v>174.34196124137094</v>
      </c>
      <c r="T392">
        <f>1/(COUNT(SimData!$C$9:$C$508)-1)+$T$391</f>
        <v>0.78156312625250568</v>
      </c>
      <c r="U392">
        <f>SMALL(SimData!$D$9:$D$508,391)</f>
        <v>89.341961241370939</v>
      </c>
      <c r="V392">
        <f>1/(COUNT(SimData!$D$9:$D$508)-1)+$V$391</f>
        <v>0.78156312625250568</v>
      </c>
      <c r="W392">
        <f>SMALL(SimData!$E$9:$E$508,391)</f>
        <v>27.341961241370939</v>
      </c>
      <c r="X392">
        <f>1/(COUNT(SimData!$E$9:$E$508)-1)+$X$391</f>
        <v>0.78156312625250568</v>
      </c>
    </row>
    <row r="393" spans="1:24">
      <c r="A393">
        <v>385</v>
      </c>
      <c r="B393">
        <v>335.09852188567618</v>
      </c>
      <c r="C393">
        <v>267.09852188567618</v>
      </c>
      <c r="D393">
        <v>182.09852188567618</v>
      </c>
      <c r="E393">
        <v>120.09852188567618</v>
      </c>
      <c r="Q393">
        <f>SMALL(SimData!$B$9:$B$508,392)</f>
        <v>242.67647512764989</v>
      </c>
      <c r="R393">
        <f>1/(COUNT(SimData!$B$9:$B$508)-1)+$R$392</f>
        <v>0.78356713426853775</v>
      </c>
      <c r="S393">
        <f>SMALL(SimData!$C$9:$C$508,392)</f>
        <v>174.67647512764989</v>
      </c>
      <c r="T393">
        <f>1/(COUNT(SimData!$C$9:$C$508)-1)+$T$392</f>
        <v>0.78356713426853775</v>
      </c>
      <c r="U393">
        <f>SMALL(SimData!$D$9:$D$508,392)</f>
        <v>89.676475127649894</v>
      </c>
      <c r="V393">
        <f>1/(COUNT(SimData!$D$9:$D$508)-1)+$V$392</f>
        <v>0.78356713426853775</v>
      </c>
      <c r="W393">
        <f>SMALL(SimData!$E$9:$E$508,392)</f>
        <v>27.676475127649894</v>
      </c>
      <c r="X393">
        <f>1/(COUNT(SimData!$E$9:$E$508)-1)+$X$392</f>
        <v>0.78356713426853775</v>
      </c>
    </row>
    <row r="394" spans="1:24">
      <c r="A394">
        <v>386</v>
      </c>
      <c r="B394">
        <v>286.32817867440542</v>
      </c>
      <c r="C394">
        <v>218.32817867440542</v>
      </c>
      <c r="D394">
        <v>133.32817867440542</v>
      </c>
      <c r="E394">
        <v>71.328178674405422</v>
      </c>
      <c r="Q394">
        <f>SMALL(SimData!$B$9:$B$508,393)</f>
        <v>243.57098614267551</v>
      </c>
      <c r="R394">
        <f>1/(COUNT(SimData!$B$9:$B$508)-1)+$R$393</f>
        <v>0.78557114228456981</v>
      </c>
      <c r="S394">
        <f>SMALL(SimData!$C$9:$C$508,393)</f>
        <v>175.57098614267551</v>
      </c>
      <c r="T394">
        <f>1/(COUNT(SimData!$C$9:$C$508)-1)+$T$393</f>
        <v>0.78557114228456981</v>
      </c>
      <c r="U394">
        <f>SMALL(SimData!$D$9:$D$508,393)</f>
        <v>90.570986142675508</v>
      </c>
      <c r="V394">
        <f>1/(COUNT(SimData!$D$9:$D$508)-1)+$V$393</f>
        <v>0.78557114228456981</v>
      </c>
      <c r="W394">
        <f>SMALL(SimData!$E$9:$E$508,393)</f>
        <v>28.570986142675508</v>
      </c>
      <c r="X394">
        <f>1/(COUNT(SimData!$E$9:$E$508)-1)+$X$393</f>
        <v>0.78557114228456981</v>
      </c>
    </row>
    <row r="395" spans="1:24">
      <c r="A395">
        <v>387</v>
      </c>
      <c r="B395">
        <v>207.61015049090781</v>
      </c>
      <c r="C395">
        <v>139.61015049090781</v>
      </c>
      <c r="D395">
        <v>54.610150490907813</v>
      </c>
      <c r="E395">
        <v>-7.389849509092187</v>
      </c>
      <c r="Q395">
        <f>SMALL(SimData!$B$9:$B$508,394)</f>
        <v>243.8586104360715</v>
      </c>
      <c r="R395">
        <f>1/(COUNT(SimData!$B$9:$B$508)-1)+$R$394</f>
        <v>0.78757515030060188</v>
      </c>
      <c r="S395">
        <f>SMALL(SimData!$C$9:$C$508,394)</f>
        <v>175.8586104360715</v>
      </c>
      <c r="T395">
        <f>1/(COUNT(SimData!$C$9:$C$508)-1)+$T$394</f>
        <v>0.78757515030060188</v>
      </c>
      <c r="U395">
        <f>SMALL(SimData!$D$9:$D$508,394)</f>
        <v>90.858610436071501</v>
      </c>
      <c r="V395">
        <f>1/(COUNT(SimData!$D$9:$D$508)-1)+$V$394</f>
        <v>0.78757515030060188</v>
      </c>
      <c r="W395">
        <f>SMALL(SimData!$E$9:$E$508,394)</f>
        <v>28.858610436071501</v>
      </c>
      <c r="X395">
        <f>1/(COUNT(SimData!$E$9:$E$508)-1)+$X$394</f>
        <v>0.78757515030060188</v>
      </c>
    </row>
    <row r="396" spans="1:24">
      <c r="A396">
        <v>388</v>
      </c>
      <c r="B396">
        <v>246.80140029801134</v>
      </c>
      <c r="C396">
        <v>178.80140029801134</v>
      </c>
      <c r="D396">
        <v>93.801400298011345</v>
      </c>
      <c r="E396">
        <v>31.801400298011345</v>
      </c>
      <c r="Q396">
        <f>SMALL(SimData!$B$9:$B$508,395)</f>
        <v>243.90270122411204</v>
      </c>
      <c r="R396">
        <f>1/(COUNT(SimData!$B$9:$B$508)-1)+$R$395</f>
        <v>0.78957915831663394</v>
      </c>
      <c r="S396">
        <f>SMALL(SimData!$C$9:$C$508,395)</f>
        <v>175.90270122411204</v>
      </c>
      <c r="T396">
        <f>1/(COUNT(SimData!$C$9:$C$508)-1)+$T$395</f>
        <v>0.78957915831663394</v>
      </c>
      <c r="U396">
        <f>SMALL(SimData!$D$9:$D$508,395)</f>
        <v>90.902701224112036</v>
      </c>
      <c r="V396">
        <f>1/(COUNT(SimData!$D$9:$D$508)-1)+$V$395</f>
        <v>0.78957915831663394</v>
      </c>
      <c r="W396">
        <f>SMALL(SimData!$E$9:$E$508,395)</f>
        <v>28.902701224112036</v>
      </c>
      <c r="X396">
        <f>1/(COUNT(SimData!$E$9:$E$508)-1)+$X$395</f>
        <v>0.78957915831663394</v>
      </c>
    </row>
    <row r="397" spans="1:24">
      <c r="A397">
        <v>389</v>
      </c>
      <c r="B397">
        <v>223.35700194699734</v>
      </c>
      <c r="C397">
        <v>155.35700194699734</v>
      </c>
      <c r="D397">
        <v>70.357001946997343</v>
      </c>
      <c r="E397">
        <v>8.3570019469973431</v>
      </c>
      <c r="Q397">
        <f>SMALL(SimData!$B$9:$B$508,396)</f>
        <v>243.93345704696492</v>
      </c>
      <c r="R397">
        <f>1/(COUNT(SimData!$B$9:$B$508)-1)+$R$396</f>
        <v>0.79158316633266601</v>
      </c>
      <c r="S397">
        <f>SMALL(SimData!$C$9:$C$508,396)</f>
        <v>175.93345704696492</v>
      </c>
      <c r="T397">
        <f>1/(COUNT(SimData!$C$9:$C$508)-1)+$T$396</f>
        <v>0.79158316633266601</v>
      </c>
      <c r="U397">
        <f>SMALL(SimData!$D$9:$D$508,396)</f>
        <v>90.933457046964918</v>
      </c>
      <c r="V397">
        <f>1/(COUNT(SimData!$D$9:$D$508)-1)+$V$396</f>
        <v>0.79158316633266601</v>
      </c>
      <c r="W397">
        <f>SMALL(SimData!$E$9:$E$508,396)</f>
        <v>28.933457046964918</v>
      </c>
      <c r="X397">
        <f>1/(COUNT(SimData!$E$9:$E$508)-1)+$X$396</f>
        <v>0.79158316633266601</v>
      </c>
    </row>
    <row r="398" spans="1:24">
      <c r="A398">
        <v>390</v>
      </c>
      <c r="B398">
        <v>257.97573264934636</v>
      </c>
      <c r="C398">
        <v>189.97573264934636</v>
      </c>
      <c r="D398">
        <v>104.97573264934636</v>
      </c>
      <c r="E398">
        <v>42.975732649346355</v>
      </c>
      <c r="Q398">
        <f>SMALL(SimData!$B$9:$B$508,397)</f>
        <v>244.127281363924</v>
      </c>
      <c r="R398">
        <f>1/(COUNT(SimData!$B$9:$B$508)-1)+$R$397</f>
        <v>0.79358717434869808</v>
      </c>
      <c r="S398">
        <f>SMALL(SimData!$C$9:$C$508,397)</f>
        <v>176.127281363924</v>
      </c>
      <c r="T398">
        <f>1/(COUNT(SimData!$C$9:$C$508)-1)+$T$397</f>
        <v>0.79358717434869808</v>
      </c>
      <c r="U398">
        <f>SMALL(SimData!$D$9:$D$508,397)</f>
        <v>91.127281363923998</v>
      </c>
      <c r="V398">
        <f>1/(COUNT(SimData!$D$9:$D$508)-1)+$V$397</f>
        <v>0.79358717434869808</v>
      </c>
      <c r="W398">
        <f>SMALL(SimData!$E$9:$E$508,397)</f>
        <v>29.127281363923998</v>
      </c>
      <c r="X398">
        <f>1/(COUNT(SimData!$E$9:$E$508)-1)+$X$397</f>
        <v>0.79358717434869808</v>
      </c>
    </row>
    <row r="399" spans="1:24">
      <c r="A399">
        <v>391</v>
      </c>
      <c r="B399">
        <v>211.65742977895468</v>
      </c>
      <c r="C399">
        <v>143.65742977895468</v>
      </c>
      <c r="D399">
        <v>58.657429778954679</v>
      </c>
      <c r="E399">
        <v>-3.342570221045321</v>
      </c>
      <c r="Q399">
        <f>SMALL(SimData!$B$9:$B$508,398)</f>
        <v>244.41540791014035</v>
      </c>
      <c r="R399">
        <f>1/(COUNT(SimData!$B$9:$B$508)-1)+$R$398</f>
        <v>0.79559118236473014</v>
      </c>
      <c r="S399">
        <f>SMALL(SimData!$C$9:$C$508,398)</f>
        <v>176.41540791014035</v>
      </c>
      <c r="T399">
        <f>1/(COUNT(SimData!$C$9:$C$508)-1)+$T$398</f>
        <v>0.79559118236473014</v>
      </c>
      <c r="U399">
        <f>SMALL(SimData!$D$9:$D$508,398)</f>
        <v>91.415407910140345</v>
      </c>
      <c r="V399">
        <f>1/(COUNT(SimData!$D$9:$D$508)-1)+$V$398</f>
        <v>0.79559118236473014</v>
      </c>
      <c r="W399">
        <f>SMALL(SimData!$E$9:$E$508,398)</f>
        <v>29.415407910140345</v>
      </c>
      <c r="X399">
        <f>1/(COUNT(SimData!$E$9:$E$508)-1)+$X$398</f>
        <v>0.79559118236473014</v>
      </c>
    </row>
    <row r="400" spans="1:24">
      <c r="A400">
        <v>392</v>
      </c>
      <c r="B400">
        <v>196.60694100419414</v>
      </c>
      <c r="C400">
        <v>128.60694100419414</v>
      </c>
      <c r="D400">
        <v>43.606941004194141</v>
      </c>
      <c r="E400">
        <v>-18.393058995805859</v>
      </c>
      <c r="Q400">
        <f>SMALL(SimData!$B$9:$B$508,399)</f>
        <v>244.45385354053457</v>
      </c>
      <c r="R400">
        <f>1/(COUNT(SimData!$B$9:$B$508)-1)+$R$399</f>
        <v>0.79759519038076221</v>
      </c>
      <c r="S400">
        <f>SMALL(SimData!$C$9:$C$508,399)</f>
        <v>176.45385354053457</v>
      </c>
      <c r="T400">
        <f>1/(COUNT(SimData!$C$9:$C$508)-1)+$T$399</f>
        <v>0.79759519038076221</v>
      </c>
      <c r="U400">
        <f>SMALL(SimData!$D$9:$D$508,399)</f>
        <v>91.453853540534567</v>
      </c>
      <c r="V400">
        <f>1/(COUNT(SimData!$D$9:$D$508)-1)+$V$399</f>
        <v>0.79759519038076221</v>
      </c>
      <c r="W400">
        <f>SMALL(SimData!$E$9:$E$508,399)</f>
        <v>29.453853540534567</v>
      </c>
      <c r="X400">
        <f>1/(COUNT(SimData!$E$9:$E$508)-1)+$X$399</f>
        <v>0.79759519038076221</v>
      </c>
    </row>
    <row r="401" spans="1:24">
      <c r="A401">
        <v>393</v>
      </c>
      <c r="B401">
        <v>183.9310331296154</v>
      </c>
      <c r="C401">
        <v>115.9310331296154</v>
      </c>
      <c r="D401">
        <v>30.9310331296154</v>
      </c>
      <c r="E401">
        <v>-31.0689668703846</v>
      </c>
      <c r="Q401">
        <f>SMALL(SimData!$B$9:$B$508,400)</f>
        <v>244.62464387152716</v>
      </c>
      <c r="R401">
        <f>1/(COUNT(SimData!$B$9:$B$508)-1)+$R$400</f>
        <v>0.79959919839679428</v>
      </c>
      <c r="S401">
        <f>SMALL(SimData!$C$9:$C$508,400)</f>
        <v>176.62464387152716</v>
      </c>
      <c r="T401">
        <f>1/(COUNT(SimData!$C$9:$C$508)-1)+$T$400</f>
        <v>0.79959919839679428</v>
      </c>
      <c r="U401">
        <f>SMALL(SimData!$D$9:$D$508,400)</f>
        <v>91.624643871527155</v>
      </c>
      <c r="V401">
        <f>1/(COUNT(SimData!$D$9:$D$508)-1)+$V$400</f>
        <v>0.79959919839679428</v>
      </c>
      <c r="W401">
        <f>SMALL(SimData!$E$9:$E$508,400)</f>
        <v>29.624643871527155</v>
      </c>
      <c r="X401">
        <f>1/(COUNT(SimData!$E$9:$E$508)-1)+$X$400</f>
        <v>0.79959919839679428</v>
      </c>
    </row>
    <row r="402" spans="1:24">
      <c r="A402">
        <v>394</v>
      </c>
      <c r="B402">
        <v>246.04647633494437</v>
      </c>
      <c r="C402">
        <v>178.04647633494437</v>
      </c>
      <c r="D402">
        <v>93.046476334944373</v>
      </c>
      <c r="E402">
        <v>31.046476334944373</v>
      </c>
      <c r="Q402">
        <f>SMALL(SimData!$B$9:$B$508,401)</f>
        <v>244.85866526284883</v>
      </c>
      <c r="R402">
        <f>1/(COUNT(SimData!$B$9:$B$508)-1)+$R$401</f>
        <v>0.80160320641282634</v>
      </c>
      <c r="S402">
        <f>SMALL(SimData!$C$9:$C$508,401)</f>
        <v>176.85866526284883</v>
      </c>
      <c r="T402">
        <f>1/(COUNT(SimData!$C$9:$C$508)-1)+$T$401</f>
        <v>0.80160320641282634</v>
      </c>
      <c r="U402">
        <f>SMALL(SimData!$D$9:$D$508,401)</f>
        <v>91.858665262848831</v>
      </c>
      <c r="V402">
        <f>1/(COUNT(SimData!$D$9:$D$508)-1)+$V$401</f>
        <v>0.80160320641282634</v>
      </c>
      <c r="W402">
        <f>SMALL(SimData!$E$9:$E$508,401)</f>
        <v>29.858665262848831</v>
      </c>
      <c r="X402">
        <f>1/(COUNT(SimData!$E$9:$E$508)-1)+$X$401</f>
        <v>0.80160320641282634</v>
      </c>
    </row>
    <row r="403" spans="1:24">
      <c r="A403">
        <v>395</v>
      </c>
      <c r="B403">
        <v>191.65486701462385</v>
      </c>
      <c r="C403">
        <v>123.65486701462385</v>
      </c>
      <c r="D403">
        <v>38.654867014623846</v>
      </c>
      <c r="E403">
        <v>-23.345132985376154</v>
      </c>
      <c r="Q403">
        <f>SMALL(SimData!$B$9:$B$508,402)</f>
        <v>244.99922543954551</v>
      </c>
      <c r="R403">
        <f>1/(COUNT(SimData!$B$9:$B$508)-1)+$R$402</f>
        <v>0.80360721442885841</v>
      </c>
      <c r="S403">
        <f>SMALL(SimData!$C$9:$C$508,402)</f>
        <v>176.99922543954551</v>
      </c>
      <c r="T403">
        <f>1/(COUNT(SimData!$C$9:$C$508)-1)+$T$402</f>
        <v>0.80360721442885841</v>
      </c>
      <c r="U403">
        <f>SMALL(SimData!$D$9:$D$508,402)</f>
        <v>91.999225439545512</v>
      </c>
      <c r="V403">
        <f>1/(COUNT(SimData!$D$9:$D$508)-1)+$V$402</f>
        <v>0.80360721442885841</v>
      </c>
      <c r="W403">
        <f>SMALL(SimData!$E$9:$E$508,402)</f>
        <v>29.999225439545512</v>
      </c>
      <c r="X403">
        <f>1/(COUNT(SimData!$E$9:$E$508)-1)+$X$402</f>
        <v>0.80360721442885841</v>
      </c>
    </row>
    <row r="404" spans="1:24">
      <c r="A404">
        <v>396</v>
      </c>
      <c r="B404">
        <v>146.58438207198208</v>
      </c>
      <c r="C404">
        <v>78.584382071982077</v>
      </c>
      <c r="D404">
        <v>-6.4156179280179231</v>
      </c>
      <c r="E404">
        <v>-68.415617928017923</v>
      </c>
      <c r="Q404">
        <f>SMALL(SimData!$B$9:$B$508,403)</f>
        <v>245.14242018362796</v>
      </c>
      <c r="R404">
        <f>1/(COUNT(SimData!$B$9:$B$508)-1)+$R$403</f>
        <v>0.80561122244489047</v>
      </c>
      <c r="S404">
        <f>SMALL(SimData!$C$9:$C$508,403)</f>
        <v>177.14242018362796</v>
      </c>
      <c r="T404">
        <f>1/(COUNT(SimData!$C$9:$C$508)-1)+$T$403</f>
        <v>0.80561122244489047</v>
      </c>
      <c r="U404">
        <f>SMALL(SimData!$D$9:$D$508,403)</f>
        <v>92.142420183627962</v>
      </c>
      <c r="V404">
        <f>1/(COUNT(SimData!$D$9:$D$508)-1)+$V$403</f>
        <v>0.80561122244489047</v>
      </c>
      <c r="W404">
        <f>SMALL(SimData!$E$9:$E$508,403)</f>
        <v>30.142420183627962</v>
      </c>
      <c r="X404">
        <f>1/(COUNT(SimData!$E$9:$E$508)-1)+$X$403</f>
        <v>0.80561122244489047</v>
      </c>
    </row>
    <row r="405" spans="1:24">
      <c r="A405">
        <v>397</v>
      </c>
      <c r="B405">
        <v>195.64911911537519</v>
      </c>
      <c r="C405">
        <v>127.64911911537519</v>
      </c>
      <c r="D405">
        <v>42.649119115375186</v>
      </c>
      <c r="E405">
        <v>-19.350880884624814</v>
      </c>
      <c r="Q405">
        <f>SMALL(SimData!$B$9:$B$508,404)</f>
        <v>245.7636582300164</v>
      </c>
      <c r="R405">
        <f>1/(COUNT(SimData!$B$9:$B$508)-1)+$R$404</f>
        <v>0.80761523046092254</v>
      </c>
      <c r="S405">
        <f>SMALL(SimData!$C$9:$C$508,404)</f>
        <v>177.7636582300164</v>
      </c>
      <c r="T405">
        <f>1/(COUNT(SimData!$C$9:$C$508)-1)+$T$404</f>
        <v>0.80761523046092254</v>
      </c>
      <c r="U405">
        <f>SMALL(SimData!$D$9:$D$508,404)</f>
        <v>92.763658230016404</v>
      </c>
      <c r="V405">
        <f>1/(COUNT(SimData!$D$9:$D$508)-1)+$V$404</f>
        <v>0.80761523046092254</v>
      </c>
      <c r="W405">
        <f>SMALL(SimData!$E$9:$E$508,404)</f>
        <v>30.763658230016404</v>
      </c>
      <c r="X405">
        <f>1/(COUNT(SimData!$E$9:$E$508)-1)+$X$404</f>
        <v>0.80761523046092254</v>
      </c>
    </row>
    <row r="406" spans="1:24">
      <c r="A406">
        <v>398</v>
      </c>
      <c r="B406">
        <v>216.6540513707339</v>
      </c>
      <c r="C406">
        <v>148.6540513707339</v>
      </c>
      <c r="D406">
        <v>63.654051370733896</v>
      </c>
      <c r="E406">
        <v>1.654051370733896</v>
      </c>
      <c r="Q406">
        <f>SMALL(SimData!$B$9:$B$508,405)</f>
        <v>246.04647633494437</v>
      </c>
      <c r="R406">
        <f>1/(COUNT(SimData!$B$9:$B$508)-1)+$R$405</f>
        <v>0.80961923847695461</v>
      </c>
      <c r="S406">
        <f>SMALL(SimData!$C$9:$C$508,405)</f>
        <v>178.04647633494437</v>
      </c>
      <c r="T406">
        <f>1/(COUNT(SimData!$C$9:$C$508)-1)+$T$405</f>
        <v>0.80961923847695461</v>
      </c>
      <c r="U406">
        <f>SMALL(SimData!$D$9:$D$508,405)</f>
        <v>93.046476334944373</v>
      </c>
      <c r="V406">
        <f>1/(COUNT(SimData!$D$9:$D$508)-1)+$V$405</f>
        <v>0.80961923847695461</v>
      </c>
      <c r="W406">
        <f>SMALL(SimData!$E$9:$E$508,405)</f>
        <v>31.046476334944373</v>
      </c>
      <c r="X406">
        <f>1/(COUNT(SimData!$E$9:$E$508)-1)+$X$405</f>
        <v>0.80961923847695461</v>
      </c>
    </row>
    <row r="407" spans="1:24">
      <c r="A407">
        <v>399</v>
      </c>
      <c r="B407">
        <v>205.69624683035755</v>
      </c>
      <c r="C407">
        <v>137.69624683035755</v>
      </c>
      <c r="D407">
        <v>52.696246830357552</v>
      </c>
      <c r="E407">
        <v>-9.303753169642448</v>
      </c>
      <c r="Q407">
        <f>SMALL(SimData!$B$9:$B$508,406)</f>
        <v>246.76071375290286</v>
      </c>
      <c r="R407">
        <f>1/(COUNT(SimData!$B$9:$B$508)-1)+$R$406</f>
        <v>0.81162324649298667</v>
      </c>
      <c r="S407">
        <f>SMALL(SimData!$C$9:$C$508,406)</f>
        <v>178.76071375290286</v>
      </c>
      <c r="T407">
        <f>1/(COUNT(SimData!$C$9:$C$508)-1)+$T$406</f>
        <v>0.81162324649298667</v>
      </c>
      <c r="U407">
        <f>SMALL(SimData!$D$9:$D$508,406)</f>
        <v>93.760713752902859</v>
      </c>
      <c r="V407">
        <f>1/(COUNT(SimData!$D$9:$D$508)-1)+$V$406</f>
        <v>0.81162324649298667</v>
      </c>
      <c r="W407">
        <f>SMALL(SimData!$E$9:$E$508,406)</f>
        <v>31.760713752902859</v>
      </c>
      <c r="X407">
        <f>1/(COUNT(SimData!$E$9:$E$508)-1)+$X$406</f>
        <v>0.81162324649298667</v>
      </c>
    </row>
    <row r="408" spans="1:24">
      <c r="A408">
        <v>400</v>
      </c>
      <c r="B408">
        <v>160.81217891968839</v>
      </c>
      <c r="C408">
        <v>92.812178919688392</v>
      </c>
      <c r="D408">
        <v>7.8121789196883924</v>
      </c>
      <c r="E408">
        <v>-54.187821080311608</v>
      </c>
      <c r="Q408">
        <f>SMALL(SimData!$B$9:$B$508,407)</f>
        <v>246.80140029801134</v>
      </c>
      <c r="R408">
        <f>1/(COUNT(SimData!$B$9:$B$508)-1)+$R$407</f>
        <v>0.81362725450901874</v>
      </c>
      <c r="S408">
        <f>SMALL(SimData!$C$9:$C$508,407)</f>
        <v>178.80140029801134</v>
      </c>
      <c r="T408">
        <f>1/(COUNT(SimData!$C$9:$C$508)-1)+$T$407</f>
        <v>0.81362725450901874</v>
      </c>
      <c r="U408">
        <f>SMALL(SimData!$D$9:$D$508,407)</f>
        <v>93.801400298011345</v>
      </c>
      <c r="V408">
        <f>1/(COUNT(SimData!$D$9:$D$508)-1)+$V$407</f>
        <v>0.81362725450901874</v>
      </c>
      <c r="W408">
        <f>SMALL(SimData!$E$9:$E$508,407)</f>
        <v>31.801400298011345</v>
      </c>
      <c r="X408">
        <f>1/(COUNT(SimData!$E$9:$E$508)-1)+$X$407</f>
        <v>0.81362725450901874</v>
      </c>
    </row>
    <row r="409" spans="1:24">
      <c r="A409">
        <v>401</v>
      </c>
      <c r="B409">
        <v>189.87045284744937</v>
      </c>
      <c r="C409">
        <v>121.87045284744937</v>
      </c>
      <c r="D409">
        <v>36.870452847449371</v>
      </c>
      <c r="E409">
        <v>-25.129547152550629</v>
      </c>
      <c r="Q409">
        <f>SMALL(SimData!$B$9:$B$508,408)</f>
        <v>247.96181226713492</v>
      </c>
      <c r="R409">
        <f>1/(COUNT(SimData!$B$9:$B$508)-1)+$R$408</f>
        <v>0.8156312625250508</v>
      </c>
      <c r="S409">
        <f>SMALL(SimData!$C$9:$C$508,408)</f>
        <v>179.96181226713492</v>
      </c>
      <c r="T409">
        <f>1/(COUNT(SimData!$C$9:$C$508)-1)+$T$408</f>
        <v>0.8156312625250508</v>
      </c>
      <c r="U409">
        <f>SMALL(SimData!$D$9:$D$508,408)</f>
        <v>94.961812267134917</v>
      </c>
      <c r="V409">
        <f>1/(COUNT(SimData!$D$9:$D$508)-1)+$V$408</f>
        <v>0.8156312625250508</v>
      </c>
      <c r="W409">
        <f>SMALL(SimData!$E$9:$E$508,408)</f>
        <v>32.961812267134917</v>
      </c>
      <c r="X409">
        <f>1/(COUNT(SimData!$E$9:$E$508)-1)+$X$408</f>
        <v>0.8156312625250508</v>
      </c>
    </row>
    <row r="410" spans="1:24">
      <c r="A410">
        <v>402</v>
      </c>
      <c r="B410">
        <v>208.32021854685127</v>
      </c>
      <c r="C410">
        <v>140.32021854685127</v>
      </c>
      <c r="D410">
        <v>55.320218546851265</v>
      </c>
      <c r="E410">
        <v>-6.6797814531487347</v>
      </c>
      <c r="Q410">
        <f>SMALL(SimData!$B$9:$B$508,409)</f>
        <v>248.85354548985629</v>
      </c>
      <c r="R410">
        <f>1/(COUNT(SimData!$B$9:$B$508)-1)+$R$409</f>
        <v>0.81763527054108287</v>
      </c>
      <c r="S410">
        <f>SMALL(SimData!$C$9:$C$508,409)</f>
        <v>180.85354548985629</v>
      </c>
      <c r="T410">
        <f>1/(COUNT(SimData!$C$9:$C$508)-1)+$T$409</f>
        <v>0.81763527054108287</v>
      </c>
      <c r="U410">
        <f>SMALL(SimData!$D$9:$D$508,409)</f>
        <v>95.853545489856288</v>
      </c>
      <c r="V410">
        <f>1/(COUNT(SimData!$D$9:$D$508)-1)+$V$409</f>
        <v>0.81763527054108287</v>
      </c>
      <c r="W410">
        <f>SMALL(SimData!$E$9:$E$508,409)</f>
        <v>33.853545489856288</v>
      </c>
      <c r="X410">
        <f>1/(COUNT(SimData!$E$9:$E$508)-1)+$X$409</f>
        <v>0.81763527054108287</v>
      </c>
    </row>
    <row r="411" spans="1:24">
      <c r="A411">
        <v>403</v>
      </c>
      <c r="B411">
        <v>214.30750677234306</v>
      </c>
      <c r="C411">
        <v>146.30750677234306</v>
      </c>
      <c r="D411">
        <v>61.307506772343061</v>
      </c>
      <c r="E411">
        <v>-0.69249322765693933</v>
      </c>
      <c r="Q411">
        <f>SMALL(SimData!$B$9:$B$508,410)</f>
        <v>248.90368154656818</v>
      </c>
      <c r="R411">
        <f>1/(COUNT(SimData!$B$9:$B$508)-1)+$R$410</f>
        <v>0.81963927855711494</v>
      </c>
      <c r="S411">
        <f>SMALL(SimData!$C$9:$C$508,410)</f>
        <v>180.90368154656818</v>
      </c>
      <c r="T411">
        <f>1/(COUNT(SimData!$C$9:$C$508)-1)+$T$410</f>
        <v>0.81963927855711494</v>
      </c>
      <c r="U411">
        <f>SMALL(SimData!$D$9:$D$508,410)</f>
        <v>95.90368154656818</v>
      </c>
      <c r="V411">
        <f>1/(COUNT(SimData!$D$9:$D$508)-1)+$V$410</f>
        <v>0.81963927855711494</v>
      </c>
      <c r="W411">
        <f>SMALL(SimData!$E$9:$E$508,410)</f>
        <v>33.90368154656818</v>
      </c>
      <c r="X411">
        <f>1/(COUNT(SimData!$E$9:$E$508)-1)+$X$410</f>
        <v>0.81963927855711494</v>
      </c>
    </row>
    <row r="412" spans="1:24">
      <c r="A412">
        <v>404</v>
      </c>
      <c r="B412">
        <v>269.5277720015053</v>
      </c>
      <c r="C412">
        <v>201.5277720015053</v>
      </c>
      <c r="D412">
        <v>116.5277720015053</v>
      </c>
      <c r="E412">
        <v>54.527772001505298</v>
      </c>
      <c r="Q412">
        <f>SMALL(SimData!$B$9:$B$508,411)</f>
        <v>250.17319775771148</v>
      </c>
      <c r="R412">
        <f>1/(COUNT(SimData!$B$9:$B$508)-1)+$R$411</f>
        <v>0.821643286573147</v>
      </c>
      <c r="S412">
        <f>SMALL(SimData!$C$9:$C$508,411)</f>
        <v>182.17319775771148</v>
      </c>
      <c r="T412">
        <f>1/(COUNT(SimData!$C$9:$C$508)-1)+$T$411</f>
        <v>0.821643286573147</v>
      </c>
      <c r="U412">
        <f>SMALL(SimData!$D$9:$D$508,411)</f>
        <v>97.173197757711478</v>
      </c>
      <c r="V412">
        <f>1/(COUNT(SimData!$D$9:$D$508)-1)+$V$411</f>
        <v>0.821643286573147</v>
      </c>
      <c r="W412">
        <f>SMALL(SimData!$E$9:$E$508,411)</f>
        <v>35.173197757711478</v>
      </c>
      <c r="X412">
        <f>1/(COUNT(SimData!$E$9:$E$508)-1)+$X$411</f>
        <v>0.821643286573147</v>
      </c>
    </row>
    <row r="413" spans="1:24">
      <c r="A413">
        <v>405</v>
      </c>
      <c r="B413">
        <v>201.48708859751838</v>
      </c>
      <c r="C413">
        <v>133.48708859751838</v>
      </c>
      <c r="D413">
        <v>48.48708859751838</v>
      </c>
      <c r="E413">
        <v>-13.51291140248162</v>
      </c>
      <c r="Q413">
        <f>SMALL(SimData!$B$9:$B$508,412)</f>
        <v>251.15062893550589</v>
      </c>
      <c r="R413">
        <f>1/(COUNT(SimData!$B$9:$B$508)-1)+$R$412</f>
        <v>0.82364729458917907</v>
      </c>
      <c r="S413">
        <f>SMALL(SimData!$C$9:$C$508,412)</f>
        <v>183.15062893550589</v>
      </c>
      <c r="T413">
        <f>1/(COUNT(SimData!$C$9:$C$508)-1)+$T$412</f>
        <v>0.82364729458917907</v>
      </c>
      <c r="U413">
        <f>SMALL(SimData!$D$9:$D$508,412)</f>
        <v>98.150628935505893</v>
      </c>
      <c r="V413">
        <f>1/(COUNT(SimData!$D$9:$D$508)-1)+$V$412</f>
        <v>0.82364729458917907</v>
      </c>
      <c r="W413">
        <f>SMALL(SimData!$E$9:$E$508,412)</f>
        <v>36.150628935505893</v>
      </c>
      <c r="X413">
        <f>1/(COUNT(SimData!$E$9:$E$508)-1)+$X$412</f>
        <v>0.82364729458917907</v>
      </c>
    </row>
    <row r="414" spans="1:24">
      <c r="A414">
        <v>406</v>
      </c>
      <c r="B414">
        <v>158.81988360912584</v>
      </c>
      <c r="C414">
        <v>90.819883609125839</v>
      </c>
      <c r="D414">
        <v>5.8198836091258386</v>
      </c>
      <c r="E414">
        <v>-56.180116390874161</v>
      </c>
      <c r="Q414">
        <f>SMALL(SimData!$B$9:$B$508,413)</f>
        <v>251.17569862701134</v>
      </c>
      <c r="R414">
        <f>1/(COUNT(SimData!$B$9:$B$508)-1)+$R$413</f>
        <v>0.82565130260521113</v>
      </c>
      <c r="S414">
        <f>SMALL(SimData!$C$9:$C$508,413)</f>
        <v>183.17569862701134</v>
      </c>
      <c r="T414">
        <f>1/(COUNT(SimData!$C$9:$C$508)-1)+$T$413</f>
        <v>0.82565130260521113</v>
      </c>
      <c r="U414">
        <f>SMALL(SimData!$D$9:$D$508,413)</f>
        <v>98.175698627011343</v>
      </c>
      <c r="V414">
        <f>1/(COUNT(SimData!$D$9:$D$508)-1)+$V$413</f>
        <v>0.82565130260521113</v>
      </c>
      <c r="W414">
        <f>SMALL(SimData!$E$9:$E$508,413)</f>
        <v>36.175698627011343</v>
      </c>
      <c r="X414">
        <f>1/(COUNT(SimData!$E$9:$E$508)-1)+$X$413</f>
        <v>0.82565130260521113</v>
      </c>
    </row>
    <row r="415" spans="1:24">
      <c r="A415">
        <v>407</v>
      </c>
      <c r="B415">
        <v>156.57764956533993</v>
      </c>
      <c r="C415">
        <v>88.577649565339925</v>
      </c>
      <c r="D415">
        <v>3.5776495653399252</v>
      </c>
      <c r="E415">
        <v>-58.422350434660075</v>
      </c>
      <c r="Q415">
        <f>SMALL(SimData!$B$9:$B$508,414)</f>
        <v>251.76049140700923</v>
      </c>
      <c r="R415">
        <f>1/(COUNT(SimData!$B$9:$B$508)-1)+$R$414</f>
        <v>0.8276553106212432</v>
      </c>
      <c r="S415">
        <f>SMALL(SimData!$C$9:$C$508,414)</f>
        <v>183.76049140700923</v>
      </c>
      <c r="T415">
        <f>1/(COUNT(SimData!$C$9:$C$508)-1)+$T$414</f>
        <v>0.8276553106212432</v>
      </c>
      <c r="U415">
        <f>SMALL(SimData!$D$9:$D$508,414)</f>
        <v>98.760491407009226</v>
      </c>
      <c r="V415">
        <f>1/(COUNT(SimData!$D$9:$D$508)-1)+$V$414</f>
        <v>0.8276553106212432</v>
      </c>
      <c r="W415">
        <f>SMALL(SimData!$E$9:$E$508,414)</f>
        <v>36.760491407009226</v>
      </c>
      <c r="X415">
        <f>1/(COUNT(SimData!$E$9:$E$508)-1)+$X$414</f>
        <v>0.8276553106212432</v>
      </c>
    </row>
    <row r="416" spans="1:24">
      <c r="A416">
        <v>408</v>
      </c>
      <c r="B416">
        <v>217.47470552353252</v>
      </c>
      <c r="C416">
        <v>149.47470552353252</v>
      </c>
      <c r="D416">
        <v>64.474705523532521</v>
      </c>
      <c r="E416">
        <v>2.4747055235325206</v>
      </c>
      <c r="Q416">
        <f>SMALL(SimData!$B$9:$B$508,415)</f>
        <v>253.07086300710671</v>
      </c>
      <c r="R416">
        <f>1/(COUNT(SimData!$B$9:$B$508)-1)+$R$415</f>
        <v>0.82965931863727527</v>
      </c>
      <c r="S416">
        <f>SMALL(SimData!$C$9:$C$508,415)</f>
        <v>185.07086300710671</v>
      </c>
      <c r="T416">
        <f>1/(COUNT(SimData!$C$9:$C$508)-1)+$T$415</f>
        <v>0.82965931863727527</v>
      </c>
      <c r="U416">
        <f>SMALL(SimData!$D$9:$D$508,415)</f>
        <v>100.07086300710671</v>
      </c>
      <c r="V416">
        <f>1/(COUNT(SimData!$D$9:$D$508)-1)+$V$415</f>
        <v>0.82965931863727527</v>
      </c>
      <c r="W416">
        <f>SMALL(SimData!$E$9:$E$508,415)</f>
        <v>38.070863007106709</v>
      </c>
      <c r="X416">
        <f>1/(COUNT(SimData!$E$9:$E$508)-1)+$X$415</f>
        <v>0.82965931863727527</v>
      </c>
    </row>
    <row r="417" spans="1:24">
      <c r="A417">
        <v>409</v>
      </c>
      <c r="B417">
        <v>213.88618449469084</v>
      </c>
      <c r="C417">
        <v>145.88618449469084</v>
      </c>
      <c r="D417">
        <v>60.886184494690838</v>
      </c>
      <c r="E417">
        <v>-1.1138155053091623</v>
      </c>
      <c r="Q417">
        <f>SMALL(SimData!$B$9:$B$508,416)</f>
        <v>253.09076776406221</v>
      </c>
      <c r="R417">
        <f>1/(COUNT(SimData!$B$9:$B$508)-1)+$R$416</f>
        <v>0.83166332665330733</v>
      </c>
      <c r="S417">
        <f>SMALL(SimData!$C$9:$C$508,416)</f>
        <v>185.09076776406221</v>
      </c>
      <c r="T417">
        <f>1/(COUNT(SimData!$C$9:$C$508)-1)+$T$416</f>
        <v>0.83166332665330733</v>
      </c>
      <c r="U417">
        <f>SMALL(SimData!$D$9:$D$508,416)</f>
        <v>100.09076776406221</v>
      </c>
      <c r="V417">
        <f>1/(COUNT(SimData!$D$9:$D$508)-1)+$V$416</f>
        <v>0.83166332665330733</v>
      </c>
      <c r="W417">
        <f>SMALL(SimData!$E$9:$E$508,416)</f>
        <v>38.090767764062207</v>
      </c>
      <c r="X417">
        <f>1/(COUNT(SimData!$E$9:$E$508)-1)+$X$416</f>
        <v>0.83166332665330733</v>
      </c>
    </row>
    <row r="418" spans="1:24">
      <c r="A418">
        <v>410</v>
      </c>
      <c r="B418">
        <v>226.36371447620411</v>
      </c>
      <c r="C418">
        <v>158.36371447620411</v>
      </c>
      <c r="D418">
        <v>73.363714476204109</v>
      </c>
      <c r="E418">
        <v>11.363714476204109</v>
      </c>
      <c r="Q418">
        <f>SMALL(SimData!$B$9:$B$508,417)</f>
        <v>253.45161974382887</v>
      </c>
      <c r="R418">
        <f>1/(COUNT(SimData!$B$9:$B$508)-1)+$R$417</f>
        <v>0.8336673346693394</v>
      </c>
      <c r="S418">
        <f>SMALL(SimData!$C$9:$C$508,417)</f>
        <v>185.45161974382887</v>
      </c>
      <c r="T418">
        <f>1/(COUNT(SimData!$C$9:$C$508)-1)+$T$417</f>
        <v>0.8336673346693394</v>
      </c>
      <c r="U418">
        <f>SMALL(SimData!$D$9:$D$508,417)</f>
        <v>100.45161974382887</v>
      </c>
      <c r="V418">
        <f>1/(COUNT(SimData!$D$9:$D$508)-1)+$V$417</f>
        <v>0.8336673346693394</v>
      </c>
      <c r="W418">
        <f>SMALL(SimData!$E$9:$E$508,417)</f>
        <v>38.451619743828871</v>
      </c>
      <c r="X418">
        <f>1/(COUNT(SimData!$E$9:$E$508)-1)+$X$417</f>
        <v>0.8336673346693394</v>
      </c>
    </row>
    <row r="419" spans="1:24">
      <c r="A419">
        <v>411</v>
      </c>
      <c r="B419">
        <v>197.58092527208805</v>
      </c>
      <c r="C419">
        <v>129.58092527208805</v>
      </c>
      <c r="D419">
        <v>44.580925272088052</v>
      </c>
      <c r="E419">
        <v>-17.419074727911948</v>
      </c>
      <c r="Q419">
        <f>SMALL(SimData!$B$9:$B$508,418)</f>
        <v>254.34535114307647</v>
      </c>
      <c r="R419">
        <f>1/(COUNT(SimData!$B$9:$B$508)-1)+$R$418</f>
        <v>0.83567134268537147</v>
      </c>
      <c r="S419">
        <f>SMALL(SimData!$C$9:$C$508,418)</f>
        <v>186.34535114307647</v>
      </c>
      <c r="T419">
        <f>1/(COUNT(SimData!$C$9:$C$508)-1)+$T$418</f>
        <v>0.83567134268537147</v>
      </c>
      <c r="U419">
        <f>SMALL(SimData!$D$9:$D$508,418)</f>
        <v>101.34535114307647</v>
      </c>
      <c r="V419">
        <f>1/(COUNT(SimData!$D$9:$D$508)-1)+$V$418</f>
        <v>0.83567134268537147</v>
      </c>
      <c r="W419">
        <f>SMALL(SimData!$E$9:$E$508,418)</f>
        <v>39.345351143076471</v>
      </c>
      <c r="X419">
        <f>1/(COUNT(SimData!$E$9:$E$508)-1)+$X$418</f>
        <v>0.83567134268537147</v>
      </c>
    </row>
    <row r="420" spans="1:24">
      <c r="A420">
        <v>412</v>
      </c>
      <c r="B420">
        <v>239.21986471700831</v>
      </c>
      <c r="C420">
        <v>171.21986471700831</v>
      </c>
      <c r="D420">
        <v>86.219864717008306</v>
      </c>
      <c r="E420">
        <v>24.219864717008306</v>
      </c>
      <c r="Q420">
        <f>SMALL(SimData!$B$9:$B$508,419)</f>
        <v>254.67545430083959</v>
      </c>
      <c r="R420">
        <f>1/(COUNT(SimData!$B$9:$B$508)-1)+$R$419</f>
        <v>0.83767535070140353</v>
      </c>
      <c r="S420">
        <f>SMALL(SimData!$C$9:$C$508,419)</f>
        <v>186.67545430083959</v>
      </c>
      <c r="T420">
        <f>1/(COUNT(SimData!$C$9:$C$508)-1)+$T$419</f>
        <v>0.83767535070140353</v>
      </c>
      <c r="U420">
        <f>SMALL(SimData!$D$9:$D$508,419)</f>
        <v>101.67545430083959</v>
      </c>
      <c r="V420">
        <f>1/(COUNT(SimData!$D$9:$D$508)-1)+$V$419</f>
        <v>0.83767535070140353</v>
      </c>
      <c r="W420">
        <f>SMALL(SimData!$E$9:$E$508,419)</f>
        <v>39.67545430083959</v>
      </c>
      <c r="X420">
        <f>1/(COUNT(SimData!$E$9:$E$508)-1)+$X$419</f>
        <v>0.83767535070140353</v>
      </c>
    </row>
    <row r="421" spans="1:24">
      <c r="A421">
        <v>413</v>
      </c>
      <c r="B421">
        <v>202.98921456717846</v>
      </c>
      <c r="C421">
        <v>134.98921456717846</v>
      </c>
      <c r="D421">
        <v>49.989214567178465</v>
      </c>
      <c r="E421">
        <v>-12.010785432821535</v>
      </c>
      <c r="Q421">
        <f>SMALL(SimData!$B$9:$B$508,420)</f>
        <v>254.8494371192246</v>
      </c>
      <c r="R421">
        <f>1/(COUNT(SimData!$B$9:$B$508)-1)+$R$420</f>
        <v>0.8396793587174356</v>
      </c>
      <c r="S421">
        <f>SMALL(SimData!$C$9:$C$508,420)</f>
        <v>186.8494371192246</v>
      </c>
      <c r="T421">
        <f>1/(COUNT(SimData!$C$9:$C$508)-1)+$T$420</f>
        <v>0.8396793587174356</v>
      </c>
      <c r="U421">
        <f>SMALL(SimData!$D$9:$D$508,420)</f>
        <v>101.8494371192246</v>
      </c>
      <c r="V421">
        <f>1/(COUNT(SimData!$D$9:$D$508)-1)+$V$420</f>
        <v>0.8396793587174356</v>
      </c>
      <c r="W421">
        <f>SMALL(SimData!$E$9:$E$508,420)</f>
        <v>39.849437119224604</v>
      </c>
      <c r="X421">
        <f>1/(COUNT(SimData!$E$9:$E$508)-1)+$X$420</f>
        <v>0.8396793587174356</v>
      </c>
    </row>
    <row r="422" spans="1:24">
      <c r="A422">
        <v>414</v>
      </c>
      <c r="B422">
        <v>200.60195553793955</v>
      </c>
      <c r="C422">
        <v>132.60195553793955</v>
      </c>
      <c r="D422">
        <v>47.601955537939546</v>
      </c>
      <c r="E422">
        <v>-14.398044462060454</v>
      </c>
      <c r="Q422">
        <f>SMALL(SimData!$B$9:$B$508,421)</f>
        <v>254.89371909191163</v>
      </c>
      <c r="R422">
        <f>1/(COUNT(SimData!$B$9:$B$508)-1)+$R$421</f>
        <v>0.84168336673346766</v>
      </c>
      <c r="S422">
        <f>SMALL(SimData!$C$9:$C$508,421)</f>
        <v>186.89371909191163</v>
      </c>
      <c r="T422">
        <f>1/(COUNT(SimData!$C$9:$C$508)-1)+$T$421</f>
        <v>0.84168336673346766</v>
      </c>
      <c r="U422">
        <f>SMALL(SimData!$D$9:$D$508,421)</f>
        <v>101.89371909191163</v>
      </c>
      <c r="V422">
        <f>1/(COUNT(SimData!$D$9:$D$508)-1)+$V$421</f>
        <v>0.84168336673346766</v>
      </c>
      <c r="W422">
        <f>SMALL(SimData!$E$9:$E$508,421)</f>
        <v>39.893719091911635</v>
      </c>
      <c r="X422">
        <f>1/(COUNT(SimData!$E$9:$E$508)-1)+$X$421</f>
        <v>0.84168336673346766</v>
      </c>
    </row>
    <row r="423" spans="1:24">
      <c r="A423">
        <v>415</v>
      </c>
      <c r="B423">
        <v>217.78940670106073</v>
      </c>
      <c r="C423">
        <v>149.78940670106073</v>
      </c>
      <c r="D423">
        <v>64.789406701060727</v>
      </c>
      <c r="E423">
        <v>2.7894067010607273</v>
      </c>
      <c r="Q423">
        <f>SMALL(SimData!$B$9:$B$508,422)</f>
        <v>255.4669329431764</v>
      </c>
      <c r="R423">
        <f>1/(COUNT(SimData!$B$9:$B$508)-1)+$R$422</f>
        <v>0.84368737474949973</v>
      </c>
      <c r="S423">
        <f>SMALL(SimData!$C$9:$C$508,422)</f>
        <v>187.4669329431764</v>
      </c>
      <c r="T423">
        <f>1/(COUNT(SimData!$C$9:$C$508)-1)+$T$422</f>
        <v>0.84368737474949973</v>
      </c>
      <c r="U423">
        <f>SMALL(SimData!$D$9:$D$508,422)</f>
        <v>102.4669329431764</v>
      </c>
      <c r="V423">
        <f>1/(COUNT(SimData!$D$9:$D$508)-1)+$V$422</f>
        <v>0.84368737474949973</v>
      </c>
      <c r="W423">
        <f>SMALL(SimData!$E$9:$E$508,422)</f>
        <v>40.466932943176403</v>
      </c>
      <c r="X423">
        <f>1/(COUNT(SimData!$E$9:$E$508)-1)+$X$422</f>
        <v>0.84368737474949973</v>
      </c>
    </row>
    <row r="424" spans="1:24">
      <c r="A424">
        <v>416</v>
      </c>
      <c r="B424">
        <v>274.5001433458707</v>
      </c>
      <c r="C424">
        <v>206.5001433458707</v>
      </c>
      <c r="D424">
        <v>121.5001433458707</v>
      </c>
      <c r="E424">
        <v>59.500143345870697</v>
      </c>
      <c r="Q424">
        <f>SMALL(SimData!$B$9:$B$508,423)</f>
        <v>256.03892463030451</v>
      </c>
      <c r="R424">
        <f>1/(COUNT(SimData!$B$9:$B$508)-1)+$R$423</f>
        <v>0.8456913827655318</v>
      </c>
      <c r="S424">
        <f>SMALL(SimData!$C$9:$C$508,423)</f>
        <v>188.03892463030451</v>
      </c>
      <c r="T424">
        <f>1/(COUNT(SimData!$C$9:$C$508)-1)+$T$423</f>
        <v>0.8456913827655318</v>
      </c>
      <c r="U424">
        <f>SMALL(SimData!$D$9:$D$508,423)</f>
        <v>103.03892463030451</v>
      </c>
      <c r="V424">
        <f>1/(COUNT(SimData!$D$9:$D$508)-1)+$V$423</f>
        <v>0.8456913827655318</v>
      </c>
      <c r="W424">
        <f>SMALL(SimData!$E$9:$E$508,423)</f>
        <v>41.038924630304507</v>
      </c>
      <c r="X424">
        <f>1/(COUNT(SimData!$E$9:$E$508)-1)+$X$423</f>
        <v>0.8456913827655318</v>
      </c>
    </row>
    <row r="425" spans="1:24">
      <c r="A425">
        <v>417</v>
      </c>
      <c r="B425">
        <v>150.17327523210179</v>
      </c>
      <c r="C425">
        <v>82.173275232101787</v>
      </c>
      <c r="D425">
        <v>-2.826724767898213</v>
      </c>
      <c r="E425">
        <v>-64.826724767898213</v>
      </c>
      <c r="Q425">
        <f>SMALL(SimData!$B$9:$B$508,424)</f>
        <v>256.20315422260103</v>
      </c>
      <c r="R425">
        <f>1/(COUNT(SimData!$B$9:$B$508)-1)+$R$424</f>
        <v>0.84769539078156386</v>
      </c>
      <c r="S425">
        <f>SMALL(SimData!$C$9:$C$508,424)</f>
        <v>188.20315422260103</v>
      </c>
      <c r="T425">
        <f>1/(COUNT(SimData!$C$9:$C$508)-1)+$T$424</f>
        <v>0.84769539078156386</v>
      </c>
      <c r="U425">
        <f>SMALL(SimData!$D$9:$D$508,424)</f>
        <v>103.20315422260103</v>
      </c>
      <c r="V425">
        <f>1/(COUNT(SimData!$D$9:$D$508)-1)+$V$424</f>
        <v>0.84769539078156386</v>
      </c>
      <c r="W425">
        <f>SMALL(SimData!$E$9:$E$508,424)</f>
        <v>41.203154222601029</v>
      </c>
      <c r="X425">
        <f>1/(COUNT(SimData!$E$9:$E$508)-1)+$X$424</f>
        <v>0.84769539078156386</v>
      </c>
    </row>
    <row r="426" spans="1:24">
      <c r="A426">
        <v>418</v>
      </c>
      <c r="B426">
        <v>207.49621179960735</v>
      </c>
      <c r="C426">
        <v>139.49621179960735</v>
      </c>
      <c r="D426">
        <v>54.496211799607352</v>
      </c>
      <c r="E426">
        <v>-7.5037882003926484</v>
      </c>
      <c r="Q426">
        <f>SMALL(SimData!$B$9:$B$508,425)</f>
        <v>256.44540092991105</v>
      </c>
      <c r="R426">
        <f>1/(COUNT(SimData!$B$9:$B$508)-1)+$R$425</f>
        <v>0.84969939879759593</v>
      </c>
      <c r="S426">
        <f>SMALL(SimData!$C$9:$C$508,425)</f>
        <v>188.44540092991105</v>
      </c>
      <c r="T426">
        <f>1/(COUNT(SimData!$C$9:$C$508)-1)+$T$425</f>
        <v>0.84969939879759593</v>
      </c>
      <c r="U426">
        <f>SMALL(SimData!$D$9:$D$508,425)</f>
        <v>103.44540092991105</v>
      </c>
      <c r="V426">
        <f>1/(COUNT(SimData!$D$9:$D$508)-1)+$V$425</f>
        <v>0.84969939879759593</v>
      </c>
      <c r="W426">
        <f>SMALL(SimData!$E$9:$E$508,425)</f>
        <v>41.445400929911045</v>
      </c>
      <c r="X426">
        <f>1/(COUNT(SimData!$E$9:$E$508)-1)+$X$425</f>
        <v>0.84969939879759593</v>
      </c>
    </row>
    <row r="427" spans="1:24">
      <c r="A427">
        <v>419</v>
      </c>
      <c r="B427">
        <v>221.81628185020185</v>
      </c>
      <c r="C427">
        <v>153.81628185020185</v>
      </c>
      <c r="D427">
        <v>68.816281850201847</v>
      </c>
      <c r="E427">
        <v>6.8162818502018467</v>
      </c>
      <c r="Q427">
        <f>SMALL(SimData!$B$9:$B$508,426)</f>
        <v>256.45306073065007</v>
      </c>
      <c r="R427">
        <f>1/(COUNT(SimData!$B$9:$B$508)-1)+$R$426</f>
        <v>0.85170340681362799</v>
      </c>
      <c r="S427">
        <f>SMALL(SimData!$C$9:$C$508,426)</f>
        <v>188.45306073065007</v>
      </c>
      <c r="T427">
        <f>1/(COUNT(SimData!$C$9:$C$508)-1)+$T$426</f>
        <v>0.85170340681362799</v>
      </c>
      <c r="U427">
        <f>SMALL(SimData!$D$9:$D$508,426)</f>
        <v>103.45306073065007</v>
      </c>
      <c r="V427">
        <f>1/(COUNT(SimData!$D$9:$D$508)-1)+$V$426</f>
        <v>0.85170340681362799</v>
      </c>
      <c r="W427">
        <f>SMALL(SimData!$E$9:$E$508,426)</f>
        <v>41.453060730650066</v>
      </c>
      <c r="X427">
        <f>1/(COUNT(SimData!$E$9:$E$508)-1)+$X$426</f>
        <v>0.85170340681362799</v>
      </c>
    </row>
    <row r="428" spans="1:24">
      <c r="A428">
        <v>420</v>
      </c>
      <c r="B428">
        <v>269.84690310596017</v>
      </c>
      <c r="C428">
        <v>201.84690310596017</v>
      </c>
      <c r="D428">
        <v>116.84690310596017</v>
      </c>
      <c r="E428">
        <v>54.846903105960166</v>
      </c>
      <c r="Q428">
        <f>SMALL(SimData!$B$9:$B$508,427)</f>
        <v>256.51463134658536</v>
      </c>
      <c r="R428">
        <f>1/(COUNT(SimData!$B$9:$B$508)-1)+$R$427</f>
        <v>0.85370741482966006</v>
      </c>
      <c r="S428">
        <f>SMALL(SimData!$C$9:$C$508,427)</f>
        <v>188.51463134658536</v>
      </c>
      <c r="T428">
        <f>1/(COUNT(SimData!$C$9:$C$508)-1)+$T$427</f>
        <v>0.85370741482966006</v>
      </c>
      <c r="U428">
        <f>SMALL(SimData!$D$9:$D$508,427)</f>
        <v>103.51463134658536</v>
      </c>
      <c r="V428">
        <f>1/(COUNT(SimData!$D$9:$D$508)-1)+$V$427</f>
        <v>0.85370741482966006</v>
      </c>
      <c r="W428">
        <f>SMALL(SimData!$E$9:$E$508,427)</f>
        <v>41.514631346585361</v>
      </c>
      <c r="X428">
        <f>1/(COUNT(SimData!$E$9:$E$508)-1)+$X$427</f>
        <v>0.85370741482966006</v>
      </c>
    </row>
    <row r="429" spans="1:24">
      <c r="A429">
        <v>421</v>
      </c>
      <c r="B429">
        <v>190.71872665396432</v>
      </c>
      <c r="C429">
        <v>122.71872665396432</v>
      </c>
      <c r="D429">
        <v>37.718726653964325</v>
      </c>
      <c r="E429">
        <v>-24.281273346035675</v>
      </c>
      <c r="Q429">
        <f>SMALL(SimData!$B$9:$B$508,428)</f>
        <v>256.80810462616222</v>
      </c>
      <c r="R429">
        <f>1/(COUNT(SimData!$B$9:$B$508)-1)+$R$428</f>
        <v>0.85571142284569213</v>
      </c>
      <c r="S429">
        <f>SMALL(SimData!$C$9:$C$508,428)</f>
        <v>188.80810462616222</v>
      </c>
      <c r="T429">
        <f>1/(COUNT(SimData!$C$9:$C$508)-1)+$T$428</f>
        <v>0.85571142284569213</v>
      </c>
      <c r="U429">
        <f>SMALL(SimData!$D$9:$D$508,428)</f>
        <v>103.80810462616222</v>
      </c>
      <c r="V429">
        <f>1/(COUNT(SimData!$D$9:$D$508)-1)+$V$428</f>
        <v>0.85571142284569213</v>
      </c>
      <c r="W429">
        <f>SMALL(SimData!$E$9:$E$508,428)</f>
        <v>41.808104626162219</v>
      </c>
      <c r="X429">
        <f>1/(COUNT(SimData!$E$9:$E$508)-1)+$X$428</f>
        <v>0.85571142284569213</v>
      </c>
    </row>
    <row r="430" spans="1:24">
      <c r="A430">
        <v>422</v>
      </c>
      <c r="B430">
        <v>148.49859298449246</v>
      </c>
      <c r="C430">
        <v>80.498592984492461</v>
      </c>
      <c r="D430">
        <v>-4.5014070155075387</v>
      </c>
      <c r="E430">
        <v>-66.501407015507539</v>
      </c>
      <c r="Q430">
        <f>SMALL(SimData!$B$9:$B$508,429)</f>
        <v>257.24804747743184</v>
      </c>
      <c r="R430">
        <f>1/(COUNT(SimData!$B$9:$B$508)-1)+$R$429</f>
        <v>0.85771543086172419</v>
      </c>
      <c r="S430">
        <f>SMALL(SimData!$C$9:$C$508,429)</f>
        <v>189.24804747743184</v>
      </c>
      <c r="T430">
        <f>1/(COUNT(SimData!$C$9:$C$508)-1)+$T$429</f>
        <v>0.85771543086172419</v>
      </c>
      <c r="U430">
        <f>SMALL(SimData!$D$9:$D$508,429)</f>
        <v>104.24804747743184</v>
      </c>
      <c r="V430">
        <f>1/(COUNT(SimData!$D$9:$D$508)-1)+$V$429</f>
        <v>0.85771543086172419</v>
      </c>
      <c r="W430">
        <f>SMALL(SimData!$E$9:$E$508,429)</f>
        <v>42.24804747743184</v>
      </c>
      <c r="X430">
        <f>1/(COUNT(SimData!$E$9:$E$508)-1)+$X$429</f>
        <v>0.85771543086172419</v>
      </c>
    </row>
    <row r="431" spans="1:24">
      <c r="A431">
        <v>423</v>
      </c>
      <c r="B431">
        <v>214.5356596931536</v>
      </c>
      <c r="C431">
        <v>146.5356596931536</v>
      </c>
      <c r="D431">
        <v>61.535659693153605</v>
      </c>
      <c r="E431">
        <v>-0.46434030684639538</v>
      </c>
      <c r="Q431">
        <f>SMALL(SimData!$B$9:$B$508,430)</f>
        <v>257.68346370268648</v>
      </c>
      <c r="R431">
        <f>1/(COUNT(SimData!$B$9:$B$508)-1)+$R$430</f>
        <v>0.85971943887775626</v>
      </c>
      <c r="S431">
        <f>SMALL(SimData!$C$9:$C$508,430)</f>
        <v>189.68346370268648</v>
      </c>
      <c r="T431">
        <f>1/(COUNT(SimData!$C$9:$C$508)-1)+$T$430</f>
        <v>0.85971943887775626</v>
      </c>
      <c r="U431">
        <f>SMALL(SimData!$D$9:$D$508,430)</f>
        <v>104.68346370268648</v>
      </c>
      <c r="V431">
        <f>1/(COUNT(SimData!$D$9:$D$508)-1)+$V$430</f>
        <v>0.85971943887775626</v>
      </c>
      <c r="W431">
        <f>SMALL(SimData!$E$9:$E$508,430)</f>
        <v>42.683463702686481</v>
      </c>
      <c r="X431">
        <f>1/(COUNT(SimData!$E$9:$E$508)-1)+$X$430</f>
        <v>0.85971943887775626</v>
      </c>
    </row>
    <row r="432" spans="1:24">
      <c r="A432">
        <v>424</v>
      </c>
      <c r="B432">
        <v>169.8795147574117</v>
      </c>
      <c r="C432">
        <v>101.8795147574117</v>
      </c>
      <c r="D432">
        <v>16.879514757411698</v>
      </c>
      <c r="E432">
        <v>-45.120485242588302</v>
      </c>
      <c r="Q432">
        <f>SMALL(SimData!$B$9:$B$508,431)</f>
        <v>257.97573264934636</v>
      </c>
      <c r="R432">
        <f>1/(COUNT(SimData!$B$9:$B$508)-1)+$R$431</f>
        <v>0.86172344689378833</v>
      </c>
      <c r="S432">
        <f>SMALL(SimData!$C$9:$C$508,431)</f>
        <v>189.97573264934636</v>
      </c>
      <c r="T432">
        <f>1/(COUNT(SimData!$C$9:$C$508)-1)+$T$431</f>
        <v>0.86172344689378833</v>
      </c>
      <c r="U432">
        <f>SMALL(SimData!$D$9:$D$508,431)</f>
        <v>104.97573264934636</v>
      </c>
      <c r="V432">
        <f>1/(COUNT(SimData!$D$9:$D$508)-1)+$V$431</f>
        <v>0.86172344689378833</v>
      </c>
      <c r="W432">
        <f>SMALL(SimData!$E$9:$E$508,431)</f>
        <v>42.975732649346355</v>
      </c>
      <c r="X432">
        <f>1/(COUNT(SimData!$E$9:$E$508)-1)+$X$431</f>
        <v>0.86172344689378833</v>
      </c>
    </row>
    <row r="433" spans="1:24">
      <c r="A433">
        <v>425</v>
      </c>
      <c r="B433">
        <v>229.5736217053128</v>
      </c>
      <c r="C433">
        <v>161.5736217053128</v>
      </c>
      <c r="D433">
        <v>76.573621705312803</v>
      </c>
      <c r="E433">
        <v>14.573621705312803</v>
      </c>
      <c r="Q433">
        <f>SMALL(SimData!$B$9:$B$508,432)</f>
        <v>258.47389176561711</v>
      </c>
      <c r="R433">
        <f>1/(COUNT(SimData!$B$9:$B$508)-1)+$R$432</f>
        <v>0.86372745490982039</v>
      </c>
      <c r="S433">
        <f>SMALL(SimData!$C$9:$C$508,432)</f>
        <v>190.47389176561711</v>
      </c>
      <c r="T433">
        <f>1/(COUNT(SimData!$C$9:$C$508)-1)+$T$432</f>
        <v>0.86372745490982039</v>
      </c>
      <c r="U433">
        <f>SMALL(SimData!$D$9:$D$508,432)</f>
        <v>105.47389176561711</v>
      </c>
      <c r="V433">
        <f>1/(COUNT(SimData!$D$9:$D$508)-1)+$V$432</f>
        <v>0.86372745490982039</v>
      </c>
      <c r="W433">
        <f>SMALL(SimData!$E$9:$E$508,432)</f>
        <v>43.473891765617111</v>
      </c>
      <c r="X433">
        <f>1/(COUNT(SimData!$E$9:$E$508)-1)+$X$432</f>
        <v>0.86372745490982039</v>
      </c>
    </row>
    <row r="434" spans="1:24">
      <c r="A434">
        <v>426</v>
      </c>
      <c r="B434">
        <v>124.38753613918513</v>
      </c>
      <c r="C434">
        <v>56.38753613918513</v>
      </c>
      <c r="D434">
        <v>-28.61246386081487</v>
      </c>
      <c r="E434">
        <v>-90.61246386081487</v>
      </c>
      <c r="Q434">
        <f>SMALL(SimData!$B$9:$B$508,433)</f>
        <v>258.48566044333796</v>
      </c>
      <c r="R434">
        <f>1/(COUNT(SimData!$B$9:$B$508)-1)+$R$433</f>
        <v>0.86573146292585246</v>
      </c>
      <c r="S434">
        <f>SMALL(SimData!$C$9:$C$508,433)</f>
        <v>190.48566044333796</v>
      </c>
      <c r="T434">
        <f>1/(COUNT(SimData!$C$9:$C$508)-1)+$T$433</f>
        <v>0.86573146292585246</v>
      </c>
      <c r="U434">
        <f>SMALL(SimData!$D$9:$D$508,433)</f>
        <v>105.48566044333796</v>
      </c>
      <c r="V434">
        <f>1/(COUNT(SimData!$D$9:$D$508)-1)+$V$433</f>
        <v>0.86573146292585246</v>
      </c>
      <c r="W434">
        <f>SMALL(SimData!$E$9:$E$508,433)</f>
        <v>43.485660443337963</v>
      </c>
      <c r="X434">
        <f>1/(COUNT(SimData!$E$9:$E$508)-1)+$X$433</f>
        <v>0.86573146292585246</v>
      </c>
    </row>
    <row r="435" spans="1:24">
      <c r="A435">
        <v>427</v>
      </c>
      <c r="B435">
        <v>239.79150377164649</v>
      </c>
      <c r="C435">
        <v>171.79150377164649</v>
      </c>
      <c r="D435">
        <v>86.791503771646489</v>
      </c>
      <c r="E435">
        <v>24.791503771646489</v>
      </c>
      <c r="Q435">
        <f>SMALL(SimData!$B$9:$B$508,434)</f>
        <v>260.310678268191</v>
      </c>
      <c r="R435">
        <f>1/(COUNT(SimData!$B$9:$B$508)-1)+$R$434</f>
        <v>0.86773547094188452</v>
      </c>
      <c r="S435">
        <f>SMALL(SimData!$C$9:$C$508,434)</f>
        <v>192.310678268191</v>
      </c>
      <c r="T435">
        <f>1/(COUNT(SimData!$C$9:$C$508)-1)+$T$434</f>
        <v>0.86773547094188452</v>
      </c>
      <c r="U435">
        <f>SMALL(SimData!$D$9:$D$508,434)</f>
        <v>107.310678268191</v>
      </c>
      <c r="V435">
        <f>1/(COUNT(SimData!$D$9:$D$508)-1)+$V$434</f>
        <v>0.86773547094188452</v>
      </c>
      <c r="W435">
        <f>SMALL(SimData!$E$9:$E$508,434)</f>
        <v>45.310678268190998</v>
      </c>
      <c r="X435">
        <f>1/(COUNT(SimData!$E$9:$E$508)-1)+$X$434</f>
        <v>0.86773547094188452</v>
      </c>
    </row>
    <row r="436" spans="1:24">
      <c r="A436">
        <v>428</v>
      </c>
      <c r="B436">
        <v>149.67888956489531</v>
      </c>
      <c r="C436">
        <v>81.678889564895314</v>
      </c>
      <c r="D436">
        <v>-3.3211104351046856</v>
      </c>
      <c r="E436">
        <v>-65.321110435104686</v>
      </c>
      <c r="Q436">
        <f>SMALL(SimData!$B$9:$B$508,435)</f>
        <v>260.96773779999523</v>
      </c>
      <c r="R436">
        <f>1/(COUNT(SimData!$B$9:$B$508)-1)+$R$435</f>
        <v>0.86973947895791659</v>
      </c>
      <c r="S436">
        <f>SMALL(SimData!$C$9:$C$508,435)</f>
        <v>192.96773779999523</v>
      </c>
      <c r="T436">
        <f>1/(COUNT(SimData!$C$9:$C$508)-1)+$T$435</f>
        <v>0.86973947895791659</v>
      </c>
      <c r="U436">
        <f>SMALL(SimData!$D$9:$D$508,435)</f>
        <v>107.96773779999523</v>
      </c>
      <c r="V436">
        <f>1/(COUNT(SimData!$D$9:$D$508)-1)+$V$435</f>
        <v>0.86973947895791659</v>
      </c>
      <c r="W436">
        <f>SMALL(SimData!$E$9:$E$508,435)</f>
        <v>45.967737799995234</v>
      </c>
      <c r="X436">
        <f>1/(COUNT(SimData!$E$9:$E$508)-1)+$X$435</f>
        <v>0.86973947895791659</v>
      </c>
    </row>
    <row r="437" spans="1:24">
      <c r="A437">
        <v>429</v>
      </c>
      <c r="B437">
        <v>230.68247709760368</v>
      </c>
      <c r="C437">
        <v>162.68247709760368</v>
      </c>
      <c r="D437">
        <v>77.68247709760368</v>
      </c>
      <c r="E437">
        <v>15.68247709760368</v>
      </c>
      <c r="Q437">
        <f>SMALL(SimData!$B$9:$B$508,436)</f>
        <v>261.32779496106104</v>
      </c>
      <c r="R437">
        <f>1/(COUNT(SimData!$B$9:$B$508)-1)+$R$436</f>
        <v>0.87174348697394866</v>
      </c>
      <c r="S437">
        <f>SMALL(SimData!$C$9:$C$508,436)</f>
        <v>193.32779496106104</v>
      </c>
      <c r="T437">
        <f>1/(COUNT(SimData!$C$9:$C$508)-1)+$T$436</f>
        <v>0.87174348697394866</v>
      </c>
      <c r="U437">
        <f>SMALL(SimData!$D$9:$D$508,436)</f>
        <v>108.32779496106104</v>
      </c>
      <c r="V437">
        <f>1/(COUNT(SimData!$D$9:$D$508)-1)+$V$436</f>
        <v>0.87174348697394866</v>
      </c>
      <c r="W437">
        <f>SMALL(SimData!$E$9:$E$508,436)</f>
        <v>46.327794961061045</v>
      </c>
      <c r="X437">
        <f>1/(COUNT(SimData!$E$9:$E$508)-1)+$X$436</f>
        <v>0.87174348697394866</v>
      </c>
    </row>
    <row r="438" spans="1:24">
      <c r="A438">
        <v>430</v>
      </c>
      <c r="B438">
        <v>201.02412209748832</v>
      </c>
      <c r="C438">
        <v>133.02412209748832</v>
      </c>
      <c r="D438">
        <v>48.024122097488316</v>
      </c>
      <c r="E438">
        <v>-13.975877902511684</v>
      </c>
      <c r="Q438">
        <f>SMALL(SimData!$B$9:$B$508,437)</f>
        <v>261.62105615693326</v>
      </c>
      <c r="R438">
        <f>1/(COUNT(SimData!$B$9:$B$508)-1)+$R$437</f>
        <v>0.87374749498998072</v>
      </c>
      <c r="S438">
        <f>SMALL(SimData!$C$9:$C$508,437)</f>
        <v>193.62105615693326</v>
      </c>
      <c r="T438">
        <f>1/(COUNT(SimData!$C$9:$C$508)-1)+$T$437</f>
        <v>0.87374749498998072</v>
      </c>
      <c r="U438">
        <f>SMALL(SimData!$D$9:$D$508,437)</f>
        <v>108.62105615693326</v>
      </c>
      <c r="V438">
        <f>1/(COUNT(SimData!$D$9:$D$508)-1)+$V$437</f>
        <v>0.87374749498998072</v>
      </c>
      <c r="W438">
        <f>SMALL(SimData!$E$9:$E$508,437)</f>
        <v>46.621056156933264</v>
      </c>
      <c r="X438">
        <f>1/(COUNT(SimData!$E$9:$E$508)-1)+$X$437</f>
        <v>0.87374749498998072</v>
      </c>
    </row>
    <row r="439" spans="1:24">
      <c r="A439">
        <v>431</v>
      </c>
      <c r="B439">
        <v>220.31799731577195</v>
      </c>
      <c r="C439">
        <v>152.31799731577195</v>
      </c>
      <c r="D439">
        <v>67.317997315771947</v>
      </c>
      <c r="E439">
        <v>5.3179973157719473</v>
      </c>
      <c r="Q439">
        <f>SMALL(SimData!$B$9:$B$508,438)</f>
        <v>262.59857838990308</v>
      </c>
      <c r="R439">
        <f>1/(COUNT(SimData!$B$9:$B$508)-1)+$R$438</f>
        <v>0.87575150300601279</v>
      </c>
      <c r="S439">
        <f>SMALL(SimData!$C$9:$C$508,438)</f>
        <v>194.59857838990308</v>
      </c>
      <c r="T439">
        <f>1/(COUNT(SimData!$C$9:$C$508)-1)+$T$438</f>
        <v>0.87575150300601279</v>
      </c>
      <c r="U439">
        <f>SMALL(SimData!$D$9:$D$508,438)</f>
        <v>109.59857838990308</v>
      </c>
      <c r="V439">
        <f>1/(COUNT(SimData!$D$9:$D$508)-1)+$V$438</f>
        <v>0.87575150300601279</v>
      </c>
      <c r="W439">
        <f>SMALL(SimData!$E$9:$E$508,438)</f>
        <v>47.598578389903082</v>
      </c>
      <c r="X439">
        <f>1/(COUNT(SimData!$E$9:$E$508)-1)+$X$438</f>
        <v>0.87575150300601279</v>
      </c>
    </row>
    <row r="440" spans="1:24">
      <c r="A440">
        <v>432</v>
      </c>
      <c r="B440">
        <v>165.67194167741565</v>
      </c>
      <c r="C440">
        <v>97.671941677415646</v>
      </c>
      <c r="D440">
        <v>12.671941677415646</v>
      </c>
      <c r="E440">
        <v>-49.328058322584354</v>
      </c>
      <c r="Q440">
        <f>SMALL(SimData!$B$9:$B$508,439)</f>
        <v>263.91273132968428</v>
      </c>
      <c r="R440">
        <f>1/(COUNT(SimData!$B$9:$B$508)-1)+$R$439</f>
        <v>0.87775551102204485</v>
      </c>
      <c r="S440">
        <f>SMALL(SimData!$C$9:$C$508,439)</f>
        <v>195.91273132968428</v>
      </c>
      <c r="T440">
        <f>1/(COUNT(SimData!$C$9:$C$508)-1)+$T$439</f>
        <v>0.87775551102204485</v>
      </c>
      <c r="U440">
        <f>SMALL(SimData!$D$9:$D$508,439)</f>
        <v>110.91273132968428</v>
      </c>
      <c r="V440">
        <f>1/(COUNT(SimData!$D$9:$D$508)-1)+$V$439</f>
        <v>0.87775551102204485</v>
      </c>
      <c r="W440">
        <f>SMALL(SimData!$E$9:$E$508,439)</f>
        <v>48.912731329684277</v>
      </c>
      <c r="X440">
        <f>1/(COUNT(SimData!$E$9:$E$508)-1)+$X$439</f>
        <v>0.87775551102204485</v>
      </c>
    </row>
    <row r="441" spans="1:24">
      <c r="A441">
        <v>433</v>
      </c>
      <c r="B441">
        <v>216.25615821751023</v>
      </c>
      <c r="C441">
        <v>148.25615821751023</v>
      </c>
      <c r="D441">
        <v>63.256158217510233</v>
      </c>
      <c r="E441">
        <v>1.256158217510233</v>
      </c>
      <c r="Q441">
        <f>SMALL(SimData!$B$9:$B$508,440)</f>
        <v>264.59235900088788</v>
      </c>
      <c r="R441">
        <f>1/(COUNT(SimData!$B$9:$B$508)-1)+$R$440</f>
        <v>0.87975951903807692</v>
      </c>
      <c r="S441">
        <f>SMALL(SimData!$C$9:$C$508,440)</f>
        <v>196.59235900088788</v>
      </c>
      <c r="T441">
        <f>1/(COUNT(SimData!$C$9:$C$508)-1)+$T$440</f>
        <v>0.87975951903807692</v>
      </c>
      <c r="U441">
        <f>SMALL(SimData!$D$9:$D$508,440)</f>
        <v>111.59235900088788</v>
      </c>
      <c r="V441">
        <f>1/(COUNT(SimData!$D$9:$D$508)-1)+$V$440</f>
        <v>0.87975951903807692</v>
      </c>
      <c r="W441">
        <f>SMALL(SimData!$E$9:$E$508,440)</f>
        <v>49.592359000887882</v>
      </c>
      <c r="X441">
        <f>1/(COUNT(SimData!$E$9:$E$508)-1)+$X$440</f>
        <v>0.87975951903807692</v>
      </c>
    </row>
    <row r="442" spans="1:24">
      <c r="A442">
        <v>434</v>
      </c>
      <c r="B442">
        <v>183.58266424072667</v>
      </c>
      <c r="C442">
        <v>115.58266424072667</v>
      </c>
      <c r="D442">
        <v>30.582664240726672</v>
      </c>
      <c r="E442">
        <v>-31.417335759273328</v>
      </c>
      <c r="Q442">
        <f>SMALL(SimData!$B$9:$B$508,441)</f>
        <v>264.76618814889474</v>
      </c>
      <c r="R442">
        <f>1/(COUNT(SimData!$B$9:$B$508)-1)+$R$441</f>
        <v>0.88176352705410899</v>
      </c>
      <c r="S442">
        <f>SMALL(SimData!$C$9:$C$508,441)</f>
        <v>196.76618814889474</v>
      </c>
      <c r="T442">
        <f>1/(COUNT(SimData!$C$9:$C$508)-1)+$T$441</f>
        <v>0.88176352705410899</v>
      </c>
      <c r="U442">
        <f>SMALL(SimData!$D$9:$D$508,441)</f>
        <v>111.76618814889474</v>
      </c>
      <c r="V442">
        <f>1/(COUNT(SimData!$D$9:$D$508)-1)+$V$441</f>
        <v>0.88176352705410899</v>
      </c>
      <c r="W442">
        <f>SMALL(SimData!$E$9:$E$508,441)</f>
        <v>49.766188148894742</v>
      </c>
      <c r="X442">
        <f>1/(COUNT(SimData!$E$9:$E$508)-1)+$X$441</f>
        <v>0.88176352705410899</v>
      </c>
    </row>
    <row r="443" spans="1:24">
      <c r="A443">
        <v>435</v>
      </c>
      <c r="B443">
        <v>177.11683731844607</v>
      </c>
      <c r="C443">
        <v>109.11683731844607</v>
      </c>
      <c r="D443">
        <v>24.116837318446073</v>
      </c>
      <c r="E443">
        <v>-37.883162681553927</v>
      </c>
      <c r="Q443">
        <f>SMALL(SimData!$B$9:$B$508,442)</f>
        <v>265.26474352769327</v>
      </c>
      <c r="R443">
        <f>1/(COUNT(SimData!$B$9:$B$508)-1)+$R$442</f>
        <v>0.88376753507014105</v>
      </c>
      <c r="S443">
        <f>SMALL(SimData!$C$9:$C$508,442)</f>
        <v>197.26474352769327</v>
      </c>
      <c r="T443">
        <f>1/(COUNT(SimData!$C$9:$C$508)-1)+$T$442</f>
        <v>0.88376753507014105</v>
      </c>
      <c r="U443">
        <f>SMALL(SimData!$D$9:$D$508,442)</f>
        <v>112.26474352769327</v>
      </c>
      <c r="V443">
        <f>1/(COUNT(SimData!$D$9:$D$508)-1)+$V$442</f>
        <v>0.88376753507014105</v>
      </c>
      <c r="W443">
        <f>SMALL(SimData!$E$9:$E$508,442)</f>
        <v>50.26474352769327</v>
      </c>
      <c r="X443">
        <f>1/(COUNT(SimData!$E$9:$E$508)-1)+$X$442</f>
        <v>0.88376753507014105</v>
      </c>
    </row>
    <row r="444" spans="1:24">
      <c r="A444">
        <v>436</v>
      </c>
      <c r="B444">
        <v>160.43069497620081</v>
      </c>
      <c r="C444">
        <v>92.430694976200812</v>
      </c>
      <c r="D444">
        <v>7.4306949762008117</v>
      </c>
      <c r="E444">
        <v>-54.569305023799188</v>
      </c>
      <c r="Q444">
        <f>SMALL(SimData!$B$9:$B$508,443)</f>
        <v>265.29199937486828</v>
      </c>
      <c r="R444">
        <f>1/(COUNT(SimData!$B$9:$B$508)-1)+$R$443</f>
        <v>0.88577154308617312</v>
      </c>
      <c r="S444">
        <f>SMALL(SimData!$C$9:$C$508,443)</f>
        <v>197.29199937486828</v>
      </c>
      <c r="T444">
        <f>1/(COUNT(SimData!$C$9:$C$508)-1)+$T$443</f>
        <v>0.88577154308617312</v>
      </c>
      <c r="U444">
        <f>SMALL(SimData!$D$9:$D$508,443)</f>
        <v>112.29199937486828</v>
      </c>
      <c r="V444">
        <f>1/(COUNT(SimData!$D$9:$D$508)-1)+$V$443</f>
        <v>0.88577154308617312</v>
      </c>
      <c r="W444">
        <f>SMALL(SimData!$E$9:$E$508,443)</f>
        <v>50.291999374868283</v>
      </c>
      <c r="X444">
        <f>1/(COUNT(SimData!$E$9:$E$508)-1)+$X$443</f>
        <v>0.88577154308617312</v>
      </c>
    </row>
    <row r="445" spans="1:24">
      <c r="A445">
        <v>437</v>
      </c>
      <c r="B445">
        <v>248.85354548985629</v>
      </c>
      <c r="C445">
        <v>180.85354548985629</v>
      </c>
      <c r="D445">
        <v>95.853545489856288</v>
      </c>
      <c r="E445">
        <v>33.853545489856288</v>
      </c>
      <c r="Q445">
        <f>SMALL(SimData!$B$9:$B$508,444)</f>
        <v>265.7416084582083</v>
      </c>
      <c r="R445">
        <f>1/(COUNT(SimData!$B$9:$B$508)-1)+$R$444</f>
        <v>0.88777555110220518</v>
      </c>
      <c r="S445">
        <f>SMALL(SimData!$C$9:$C$508,444)</f>
        <v>197.7416084582083</v>
      </c>
      <c r="T445">
        <f>1/(COUNT(SimData!$C$9:$C$508)-1)+$T$444</f>
        <v>0.88777555110220518</v>
      </c>
      <c r="U445">
        <f>SMALL(SimData!$D$9:$D$508,444)</f>
        <v>112.7416084582083</v>
      </c>
      <c r="V445">
        <f>1/(COUNT(SimData!$D$9:$D$508)-1)+$V$444</f>
        <v>0.88777555110220518</v>
      </c>
      <c r="W445">
        <f>SMALL(SimData!$E$9:$E$508,444)</f>
        <v>50.741608458208304</v>
      </c>
      <c r="X445">
        <f>1/(COUNT(SimData!$E$9:$E$508)-1)+$X$444</f>
        <v>0.88777555110220518</v>
      </c>
    </row>
    <row r="446" spans="1:24">
      <c r="A446">
        <v>438</v>
      </c>
      <c r="B446">
        <v>203.33736090386589</v>
      </c>
      <c r="C446">
        <v>135.33736090386589</v>
      </c>
      <c r="D446">
        <v>50.337360903865886</v>
      </c>
      <c r="E446">
        <v>-11.662639096134114</v>
      </c>
      <c r="Q446">
        <f>SMALL(SimData!$B$9:$B$508,445)</f>
        <v>267.24591975266895</v>
      </c>
      <c r="R446">
        <f>1/(COUNT(SimData!$B$9:$B$508)-1)+$R$445</f>
        <v>0.88977955911823725</v>
      </c>
      <c r="S446">
        <f>SMALL(SimData!$C$9:$C$508,445)</f>
        <v>199.24591975266895</v>
      </c>
      <c r="T446">
        <f>1/(COUNT(SimData!$C$9:$C$508)-1)+$T$445</f>
        <v>0.88977955911823725</v>
      </c>
      <c r="U446">
        <f>SMALL(SimData!$D$9:$D$508,445)</f>
        <v>114.24591975266895</v>
      </c>
      <c r="V446">
        <f>1/(COUNT(SimData!$D$9:$D$508)-1)+$V$445</f>
        <v>0.88977955911823725</v>
      </c>
      <c r="W446">
        <f>SMALL(SimData!$E$9:$E$508,445)</f>
        <v>52.245919752668954</v>
      </c>
      <c r="X446">
        <f>1/(COUNT(SimData!$E$9:$E$508)-1)+$X$445</f>
        <v>0.88977955911823725</v>
      </c>
    </row>
    <row r="447" spans="1:24">
      <c r="A447">
        <v>439</v>
      </c>
      <c r="B447">
        <v>168.61280256204941</v>
      </c>
      <c r="C447">
        <v>100.61280256204941</v>
      </c>
      <c r="D447">
        <v>15.61280256204941</v>
      </c>
      <c r="E447">
        <v>-46.38719743795059</v>
      </c>
      <c r="Q447">
        <f>SMALL(SimData!$B$9:$B$508,446)</f>
        <v>268.52595581044631</v>
      </c>
      <c r="R447">
        <f>1/(COUNT(SimData!$B$9:$B$508)-1)+$R$446</f>
        <v>0.89178356713426932</v>
      </c>
      <c r="S447">
        <f>SMALL(SimData!$C$9:$C$508,446)</f>
        <v>200.52595581044631</v>
      </c>
      <c r="T447">
        <f>1/(COUNT(SimData!$C$9:$C$508)-1)+$T$446</f>
        <v>0.89178356713426932</v>
      </c>
      <c r="U447">
        <f>SMALL(SimData!$D$9:$D$508,446)</f>
        <v>115.52595581044631</v>
      </c>
      <c r="V447">
        <f>1/(COUNT(SimData!$D$9:$D$508)-1)+$V$446</f>
        <v>0.89178356713426932</v>
      </c>
      <c r="W447">
        <f>SMALL(SimData!$E$9:$E$508,446)</f>
        <v>53.525955810446305</v>
      </c>
      <c r="X447">
        <f>1/(COUNT(SimData!$E$9:$E$508)-1)+$X$446</f>
        <v>0.89178356713426932</v>
      </c>
    </row>
    <row r="448" spans="1:24">
      <c r="A448">
        <v>440</v>
      </c>
      <c r="B448">
        <v>277.80004747459537</v>
      </c>
      <c r="C448">
        <v>209.80004747459537</v>
      </c>
      <c r="D448">
        <v>124.80004747459537</v>
      </c>
      <c r="E448">
        <v>62.800047474595374</v>
      </c>
      <c r="Q448">
        <f>SMALL(SimData!$B$9:$B$508,447)</f>
        <v>268.6859699628879</v>
      </c>
      <c r="R448">
        <f>1/(COUNT(SimData!$B$9:$B$508)-1)+$R$447</f>
        <v>0.89378757515030138</v>
      </c>
      <c r="S448">
        <f>SMALL(SimData!$C$9:$C$508,447)</f>
        <v>200.6859699628879</v>
      </c>
      <c r="T448">
        <f>1/(COUNT(SimData!$C$9:$C$508)-1)+$T$447</f>
        <v>0.89378757515030138</v>
      </c>
      <c r="U448">
        <f>SMALL(SimData!$D$9:$D$508,447)</f>
        <v>115.6859699628879</v>
      </c>
      <c r="V448">
        <f>1/(COUNT(SimData!$D$9:$D$508)-1)+$V$447</f>
        <v>0.89378757515030138</v>
      </c>
      <c r="W448">
        <f>SMALL(SimData!$E$9:$E$508,447)</f>
        <v>53.685969962887896</v>
      </c>
      <c r="X448">
        <f>1/(COUNT(SimData!$E$9:$E$508)-1)+$X$447</f>
        <v>0.89378757515030138</v>
      </c>
    </row>
    <row r="449" spans="1:24">
      <c r="A449">
        <v>441</v>
      </c>
      <c r="B449">
        <v>203.87481823992772</v>
      </c>
      <c r="C449">
        <v>135.87481823992772</v>
      </c>
      <c r="D449">
        <v>50.87481823992772</v>
      </c>
      <c r="E449">
        <v>-11.12518176007228</v>
      </c>
      <c r="Q449">
        <f>SMALL(SimData!$B$9:$B$508,448)</f>
        <v>268.98923045574202</v>
      </c>
      <c r="R449">
        <f>1/(COUNT(SimData!$B$9:$B$508)-1)+$R$448</f>
        <v>0.89579158316633345</v>
      </c>
      <c r="S449">
        <f>SMALL(SimData!$C$9:$C$508,448)</f>
        <v>200.98923045574202</v>
      </c>
      <c r="T449">
        <f>1/(COUNT(SimData!$C$9:$C$508)-1)+$T$448</f>
        <v>0.89579158316633345</v>
      </c>
      <c r="U449">
        <f>SMALL(SimData!$D$9:$D$508,448)</f>
        <v>115.98923045574202</v>
      </c>
      <c r="V449">
        <f>1/(COUNT(SimData!$D$9:$D$508)-1)+$V$448</f>
        <v>0.89579158316633345</v>
      </c>
      <c r="W449">
        <f>SMALL(SimData!$E$9:$E$508,448)</f>
        <v>53.989230455742018</v>
      </c>
      <c r="X449">
        <f>1/(COUNT(SimData!$E$9:$E$508)-1)+$X$448</f>
        <v>0.89579158316633345</v>
      </c>
    </row>
    <row r="450" spans="1:24">
      <c r="A450">
        <v>442</v>
      </c>
      <c r="B450">
        <v>226.13694265369423</v>
      </c>
      <c r="C450">
        <v>158.13694265369423</v>
      </c>
      <c r="D450">
        <v>73.136942653694234</v>
      </c>
      <c r="E450">
        <v>11.136942653694234</v>
      </c>
      <c r="Q450">
        <f>SMALL(SimData!$B$9:$B$508,449)</f>
        <v>269.5277720015053</v>
      </c>
      <c r="R450">
        <f>1/(COUNT(SimData!$B$9:$B$508)-1)+$R$449</f>
        <v>0.89779559118236552</v>
      </c>
      <c r="S450">
        <f>SMALL(SimData!$C$9:$C$508,449)</f>
        <v>201.5277720015053</v>
      </c>
      <c r="T450">
        <f>1/(COUNT(SimData!$C$9:$C$508)-1)+$T$449</f>
        <v>0.89779559118236552</v>
      </c>
      <c r="U450">
        <f>SMALL(SimData!$D$9:$D$508,449)</f>
        <v>116.5277720015053</v>
      </c>
      <c r="V450">
        <f>1/(COUNT(SimData!$D$9:$D$508)-1)+$V$449</f>
        <v>0.89779559118236552</v>
      </c>
      <c r="W450">
        <f>SMALL(SimData!$E$9:$E$508,449)</f>
        <v>54.527772001505298</v>
      </c>
      <c r="X450">
        <f>1/(COUNT(SimData!$E$9:$E$508)-1)+$X$449</f>
        <v>0.89779559118236552</v>
      </c>
    </row>
    <row r="451" spans="1:24">
      <c r="A451">
        <v>443</v>
      </c>
      <c r="B451">
        <v>233.21450521639031</v>
      </c>
      <c r="C451">
        <v>165.21450521639031</v>
      </c>
      <c r="D451">
        <v>80.214505216390307</v>
      </c>
      <c r="E451">
        <v>18.214505216390307</v>
      </c>
      <c r="Q451">
        <f>SMALL(SimData!$B$9:$B$508,450)</f>
        <v>269.84690310596017</v>
      </c>
      <c r="R451">
        <f>1/(COUNT(SimData!$B$9:$B$508)-1)+$R$450</f>
        <v>0.89979959919839758</v>
      </c>
      <c r="S451">
        <f>SMALL(SimData!$C$9:$C$508,450)</f>
        <v>201.84690310596017</v>
      </c>
      <c r="T451">
        <f>1/(COUNT(SimData!$C$9:$C$508)-1)+$T$450</f>
        <v>0.89979959919839758</v>
      </c>
      <c r="U451">
        <f>SMALL(SimData!$D$9:$D$508,450)</f>
        <v>116.84690310596017</v>
      </c>
      <c r="V451">
        <f>1/(COUNT(SimData!$D$9:$D$508)-1)+$V$450</f>
        <v>0.89979959919839758</v>
      </c>
      <c r="W451">
        <f>SMALL(SimData!$E$9:$E$508,450)</f>
        <v>54.846903105960166</v>
      </c>
      <c r="X451">
        <f>1/(COUNT(SimData!$E$9:$E$508)-1)+$X$450</f>
        <v>0.89979959919839758</v>
      </c>
    </row>
    <row r="452" spans="1:24">
      <c r="A452">
        <v>444</v>
      </c>
      <c r="B452">
        <v>298.86866142039059</v>
      </c>
      <c r="C452">
        <v>230.86866142039059</v>
      </c>
      <c r="D452">
        <v>145.86866142039059</v>
      </c>
      <c r="E452">
        <v>83.868661420390595</v>
      </c>
      <c r="Q452">
        <f>SMALL(SimData!$B$9:$B$508,451)</f>
        <v>269.98995722386809</v>
      </c>
      <c r="R452">
        <f>1/(COUNT(SimData!$B$9:$B$508)-1)+$R$451</f>
        <v>0.90180360721442965</v>
      </c>
      <c r="S452">
        <f>SMALL(SimData!$C$9:$C$508,451)</f>
        <v>201.98995722386809</v>
      </c>
      <c r="T452">
        <f>1/(COUNT(SimData!$C$9:$C$508)-1)+$T$451</f>
        <v>0.90180360721442965</v>
      </c>
      <c r="U452">
        <f>SMALL(SimData!$D$9:$D$508,451)</f>
        <v>116.98995722386809</v>
      </c>
      <c r="V452">
        <f>1/(COUNT(SimData!$D$9:$D$508)-1)+$V$451</f>
        <v>0.90180360721442965</v>
      </c>
      <c r="W452">
        <f>SMALL(SimData!$E$9:$E$508,451)</f>
        <v>54.989957223868089</v>
      </c>
      <c r="X452">
        <f>1/(COUNT(SimData!$E$9:$E$508)-1)+$X$451</f>
        <v>0.90180360721442965</v>
      </c>
    </row>
    <row r="453" spans="1:24">
      <c r="A453">
        <v>445</v>
      </c>
      <c r="B453">
        <v>149.57830929256812</v>
      </c>
      <c r="C453">
        <v>81.578309292568122</v>
      </c>
      <c r="D453">
        <v>-3.4216907074318783</v>
      </c>
      <c r="E453">
        <v>-65.421690707431878</v>
      </c>
      <c r="Q453">
        <f>SMALL(SimData!$B$9:$B$508,452)</f>
        <v>270.18885582611574</v>
      </c>
      <c r="R453">
        <f>1/(COUNT(SimData!$B$9:$B$508)-1)+$R$452</f>
        <v>0.90380761523046171</v>
      </c>
      <c r="S453">
        <f>SMALL(SimData!$C$9:$C$508,452)</f>
        <v>202.18885582611574</v>
      </c>
      <c r="T453">
        <f>1/(COUNT(SimData!$C$9:$C$508)-1)+$T$452</f>
        <v>0.90380761523046171</v>
      </c>
      <c r="U453">
        <f>SMALL(SimData!$D$9:$D$508,452)</f>
        <v>117.18885582611574</v>
      </c>
      <c r="V453">
        <f>1/(COUNT(SimData!$D$9:$D$508)-1)+$V$452</f>
        <v>0.90380761523046171</v>
      </c>
      <c r="W453">
        <f>SMALL(SimData!$E$9:$E$508,452)</f>
        <v>55.188855826115741</v>
      </c>
      <c r="X453">
        <f>1/(COUNT(SimData!$E$9:$E$508)-1)+$X$452</f>
        <v>0.90380761523046171</v>
      </c>
    </row>
    <row r="454" spans="1:24">
      <c r="A454">
        <v>446</v>
      </c>
      <c r="B454">
        <v>196.13475948956386</v>
      </c>
      <c r="C454">
        <v>128.13475948956386</v>
      </c>
      <c r="D454">
        <v>43.134759489563862</v>
      </c>
      <c r="E454">
        <v>-18.865240510436138</v>
      </c>
      <c r="Q454">
        <f>SMALL(SimData!$B$9:$B$508,453)</f>
        <v>271.97296907820703</v>
      </c>
      <c r="R454">
        <f>1/(COUNT(SimData!$B$9:$B$508)-1)+$R$453</f>
        <v>0.90581162324649378</v>
      </c>
      <c r="S454">
        <f>SMALL(SimData!$C$9:$C$508,453)</f>
        <v>203.97296907820703</v>
      </c>
      <c r="T454">
        <f>1/(COUNT(SimData!$C$9:$C$508)-1)+$T$453</f>
        <v>0.90581162324649378</v>
      </c>
      <c r="U454">
        <f>SMALL(SimData!$D$9:$D$508,453)</f>
        <v>118.97296907820703</v>
      </c>
      <c r="V454">
        <f>1/(COUNT(SimData!$D$9:$D$508)-1)+$V$453</f>
        <v>0.90581162324649378</v>
      </c>
      <c r="W454">
        <f>SMALL(SimData!$E$9:$E$508,453)</f>
        <v>56.972969078207029</v>
      </c>
      <c r="X454">
        <f>1/(COUNT(SimData!$E$9:$E$508)-1)+$X$453</f>
        <v>0.90581162324649378</v>
      </c>
    </row>
    <row r="455" spans="1:24">
      <c r="A455">
        <v>447</v>
      </c>
      <c r="B455">
        <v>322.83479268304529</v>
      </c>
      <c r="C455">
        <v>254.83479268304529</v>
      </c>
      <c r="D455">
        <v>169.83479268304529</v>
      </c>
      <c r="E455">
        <v>107.83479268304529</v>
      </c>
      <c r="Q455">
        <f>SMALL(SimData!$B$9:$B$508,454)</f>
        <v>272.5829153816241</v>
      </c>
      <c r="R455">
        <f>1/(COUNT(SimData!$B$9:$B$508)-1)+$R$454</f>
        <v>0.90781563126252585</v>
      </c>
      <c r="S455">
        <f>SMALL(SimData!$C$9:$C$508,454)</f>
        <v>204.5829153816241</v>
      </c>
      <c r="T455">
        <f>1/(COUNT(SimData!$C$9:$C$508)-1)+$T$454</f>
        <v>0.90781563126252585</v>
      </c>
      <c r="U455">
        <f>SMALL(SimData!$D$9:$D$508,454)</f>
        <v>119.5829153816241</v>
      </c>
      <c r="V455">
        <f>1/(COUNT(SimData!$D$9:$D$508)-1)+$V$454</f>
        <v>0.90781563126252585</v>
      </c>
      <c r="W455">
        <f>SMALL(SimData!$E$9:$E$508,454)</f>
        <v>57.582915381624105</v>
      </c>
      <c r="X455">
        <f>1/(COUNT(SimData!$E$9:$E$508)-1)+$X$454</f>
        <v>0.90781563126252585</v>
      </c>
    </row>
    <row r="456" spans="1:24">
      <c r="A456">
        <v>448</v>
      </c>
      <c r="B456">
        <v>88.712825277060972</v>
      </c>
      <c r="C456">
        <v>20.712825277060972</v>
      </c>
      <c r="D456">
        <v>-64.287174722939028</v>
      </c>
      <c r="E456">
        <v>-126.28717472293903</v>
      </c>
      <c r="Q456">
        <f>SMALL(SimData!$B$9:$B$508,455)</f>
        <v>272.63631670187414</v>
      </c>
      <c r="R456">
        <f>1/(COUNT(SimData!$B$9:$B$508)-1)+$R$455</f>
        <v>0.90981963927855791</v>
      </c>
      <c r="S456">
        <f>SMALL(SimData!$C$9:$C$508,455)</f>
        <v>204.63631670187414</v>
      </c>
      <c r="T456">
        <f>1/(COUNT(SimData!$C$9:$C$508)-1)+$T$455</f>
        <v>0.90981963927855791</v>
      </c>
      <c r="U456">
        <f>SMALL(SimData!$D$9:$D$508,455)</f>
        <v>119.63631670187414</v>
      </c>
      <c r="V456">
        <f>1/(COUNT(SimData!$D$9:$D$508)-1)+$V$455</f>
        <v>0.90981963927855791</v>
      </c>
      <c r="W456">
        <f>SMALL(SimData!$E$9:$E$508,455)</f>
        <v>57.636316701874136</v>
      </c>
      <c r="X456">
        <f>1/(COUNT(SimData!$E$9:$E$508)-1)+$X$455</f>
        <v>0.90981963927855791</v>
      </c>
    </row>
    <row r="457" spans="1:24">
      <c r="A457">
        <v>449</v>
      </c>
      <c r="B457">
        <v>225.71463225833594</v>
      </c>
      <c r="C457">
        <v>157.71463225833594</v>
      </c>
      <c r="D457">
        <v>72.714632258335939</v>
      </c>
      <c r="E457">
        <v>10.714632258335939</v>
      </c>
      <c r="Q457">
        <f>SMALL(SimData!$B$9:$B$508,456)</f>
        <v>274.5001433458707</v>
      </c>
      <c r="R457">
        <f>1/(COUNT(SimData!$B$9:$B$508)-1)+$R$456</f>
        <v>0.91182364729458998</v>
      </c>
      <c r="S457">
        <f>SMALL(SimData!$C$9:$C$508,456)</f>
        <v>206.5001433458707</v>
      </c>
      <c r="T457">
        <f>1/(COUNT(SimData!$C$9:$C$508)-1)+$T$456</f>
        <v>0.91182364729458998</v>
      </c>
      <c r="U457">
        <f>SMALL(SimData!$D$9:$D$508,456)</f>
        <v>121.5001433458707</v>
      </c>
      <c r="V457">
        <f>1/(COUNT(SimData!$D$9:$D$508)-1)+$V$456</f>
        <v>0.91182364729458998</v>
      </c>
      <c r="W457">
        <f>SMALL(SimData!$E$9:$E$508,456)</f>
        <v>59.500143345870697</v>
      </c>
      <c r="X457">
        <f>1/(COUNT(SimData!$E$9:$E$508)-1)+$X$456</f>
        <v>0.91182364729458998</v>
      </c>
    </row>
    <row r="458" spans="1:24">
      <c r="A458">
        <v>450</v>
      </c>
      <c r="B458">
        <v>190.41533104335167</v>
      </c>
      <c r="C458">
        <v>122.41533104335167</v>
      </c>
      <c r="D458">
        <v>37.415331043351671</v>
      </c>
      <c r="E458">
        <v>-24.584668956648329</v>
      </c>
      <c r="Q458">
        <f>SMALL(SimData!$B$9:$B$508,457)</f>
        <v>275.29268454585656</v>
      </c>
      <c r="R458">
        <f>1/(COUNT(SimData!$B$9:$B$508)-1)+$R$457</f>
        <v>0.91382765531062204</v>
      </c>
      <c r="S458">
        <f>SMALL(SimData!$C$9:$C$508,457)</f>
        <v>207.29268454585656</v>
      </c>
      <c r="T458">
        <f>1/(COUNT(SimData!$C$9:$C$508)-1)+$T$457</f>
        <v>0.91382765531062204</v>
      </c>
      <c r="U458">
        <f>SMALL(SimData!$D$9:$D$508,457)</f>
        <v>122.29268454585656</v>
      </c>
      <c r="V458">
        <f>1/(COUNT(SimData!$D$9:$D$508)-1)+$V$457</f>
        <v>0.91382765531062204</v>
      </c>
      <c r="W458">
        <f>SMALL(SimData!$E$9:$E$508,457)</f>
        <v>60.292684545856559</v>
      </c>
      <c r="X458">
        <f>1/(COUNT(SimData!$E$9:$E$508)-1)+$X$457</f>
        <v>0.91382765531062204</v>
      </c>
    </row>
    <row r="459" spans="1:24">
      <c r="A459">
        <v>451</v>
      </c>
      <c r="B459">
        <v>215.00572854198123</v>
      </c>
      <c r="C459">
        <v>147.00572854198123</v>
      </c>
      <c r="D459">
        <v>62.005728541981227</v>
      </c>
      <c r="E459">
        <v>5.7285419812274085E-3</v>
      </c>
      <c r="Q459">
        <f>SMALL(SimData!$B$9:$B$508,458)</f>
        <v>276.5120076128548</v>
      </c>
      <c r="R459">
        <f>1/(COUNT(SimData!$B$9:$B$508)-1)+$R$458</f>
        <v>0.91583166332665411</v>
      </c>
      <c r="S459">
        <f>SMALL(SimData!$C$9:$C$508,458)</f>
        <v>208.5120076128548</v>
      </c>
      <c r="T459">
        <f>1/(COUNT(SimData!$C$9:$C$508)-1)+$T$458</f>
        <v>0.91583166332665411</v>
      </c>
      <c r="U459">
        <f>SMALL(SimData!$D$9:$D$508,458)</f>
        <v>123.5120076128548</v>
      </c>
      <c r="V459">
        <f>1/(COUNT(SimData!$D$9:$D$508)-1)+$V$458</f>
        <v>0.91583166332665411</v>
      </c>
      <c r="W459">
        <f>SMALL(SimData!$E$9:$E$508,458)</f>
        <v>61.512007612854802</v>
      </c>
      <c r="X459">
        <f>1/(COUNT(SimData!$E$9:$E$508)-1)+$X$458</f>
        <v>0.91583166332665411</v>
      </c>
    </row>
    <row r="460" spans="1:24">
      <c r="A460">
        <v>452</v>
      </c>
      <c r="B460">
        <v>200.63258747695107</v>
      </c>
      <c r="C460">
        <v>132.63258747695107</v>
      </c>
      <c r="D460">
        <v>47.632587476951073</v>
      </c>
      <c r="E460">
        <v>-14.367412523048927</v>
      </c>
      <c r="Q460">
        <f>SMALL(SimData!$B$9:$B$508,459)</f>
        <v>276.89386712704885</v>
      </c>
      <c r="R460">
        <f>1/(COUNT(SimData!$B$9:$B$508)-1)+$R$459</f>
        <v>0.91783567134268618</v>
      </c>
      <c r="S460">
        <f>SMALL(SimData!$C$9:$C$508,459)</f>
        <v>208.89386712704885</v>
      </c>
      <c r="T460">
        <f>1/(COUNT(SimData!$C$9:$C$508)-1)+$T$459</f>
        <v>0.91783567134268618</v>
      </c>
      <c r="U460">
        <f>SMALL(SimData!$D$9:$D$508,459)</f>
        <v>123.89386712704885</v>
      </c>
      <c r="V460">
        <f>1/(COUNT(SimData!$D$9:$D$508)-1)+$V$459</f>
        <v>0.91783567134268618</v>
      </c>
      <c r="W460">
        <f>SMALL(SimData!$E$9:$E$508,459)</f>
        <v>61.89386712704885</v>
      </c>
      <c r="X460">
        <f>1/(COUNT(SimData!$E$9:$E$508)-1)+$X$459</f>
        <v>0.91783567134268618</v>
      </c>
    </row>
    <row r="461" spans="1:24">
      <c r="A461">
        <v>453</v>
      </c>
      <c r="B461">
        <v>190.67591444695296</v>
      </c>
      <c r="C461">
        <v>122.67591444695296</v>
      </c>
      <c r="D461">
        <v>37.675914446952959</v>
      </c>
      <c r="E461">
        <v>-24.324085553047041</v>
      </c>
      <c r="Q461">
        <f>SMALL(SimData!$B$9:$B$508,460)</f>
        <v>277.01638471675358</v>
      </c>
      <c r="R461">
        <f>1/(COUNT(SimData!$B$9:$B$508)-1)+$R$460</f>
        <v>0.91983967935871824</v>
      </c>
      <c r="S461">
        <f>SMALL(SimData!$C$9:$C$508,460)</f>
        <v>209.01638471675358</v>
      </c>
      <c r="T461">
        <f>1/(COUNT(SimData!$C$9:$C$508)-1)+$T$460</f>
        <v>0.91983967935871824</v>
      </c>
      <c r="U461">
        <f>SMALL(SimData!$D$9:$D$508,460)</f>
        <v>124.01638471675358</v>
      </c>
      <c r="V461">
        <f>1/(COUNT(SimData!$D$9:$D$508)-1)+$V$460</f>
        <v>0.91983967935871824</v>
      </c>
      <c r="W461">
        <f>SMALL(SimData!$E$9:$E$508,460)</f>
        <v>62.016384716753578</v>
      </c>
      <c r="X461">
        <f>1/(COUNT(SimData!$E$9:$E$508)-1)+$X$460</f>
        <v>0.91983967935871824</v>
      </c>
    </row>
    <row r="462" spans="1:24">
      <c r="A462">
        <v>454</v>
      </c>
      <c r="B462">
        <v>159.83727837122564</v>
      </c>
      <c r="C462">
        <v>91.837278371225636</v>
      </c>
      <c r="D462">
        <v>6.8372783712256364</v>
      </c>
      <c r="E462">
        <v>-55.162721628774364</v>
      </c>
      <c r="Q462">
        <f>SMALL(SimData!$B$9:$B$508,461)</f>
        <v>277.53107884676314</v>
      </c>
      <c r="R462">
        <f>1/(COUNT(SimData!$B$9:$B$508)-1)+$R$461</f>
        <v>0.92184368737475031</v>
      </c>
      <c r="S462">
        <f>SMALL(SimData!$C$9:$C$508,461)</f>
        <v>209.53107884676314</v>
      </c>
      <c r="T462">
        <f>1/(COUNT(SimData!$C$9:$C$508)-1)+$T$461</f>
        <v>0.92184368737475031</v>
      </c>
      <c r="U462">
        <f>SMALL(SimData!$D$9:$D$508,461)</f>
        <v>124.53107884676314</v>
      </c>
      <c r="V462">
        <f>1/(COUNT(SimData!$D$9:$D$508)-1)+$V$461</f>
        <v>0.92184368737475031</v>
      </c>
      <c r="W462">
        <f>SMALL(SimData!$E$9:$E$508,461)</f>
        <v>62.531078846763137</v>
      </c>
      <c r="X462">
        <f>1/(COUNT(SimData!$E$9:$E$508)-1)+$X$461</f>
        <v>0.92184368737475031</v>
      </c>
    </row>
    <row r="463" spans="1:24">
      <c r="A463">
        <v>455</v>
      </c>
      <c r="B463">
        <v>224.76045892199227</v>
      </c>
      <c r="C463">
        <v>156.76045892199227</v>
      </c>
      <c r="D463">
        <v>71.760458921992267</v>
      </c>
      <c r="E463">
        <v>9.7604589219922673</v>
      </c>
      <c r="Q463">
        <f>SMALL(SimData!$B$9:$B$508,462)</f>
        <v>277.6429494973342</v>
      </c>
      <c r="R463">
        <f>1/(COUNT(SimData!$B$9:$B$508)-1)+$R$462</f>
        <v>0.92384769539078238</v>
      </c>
      <c r="S463">
        <f>SMALL(SimData!$C$9:$C$508,462)</f>
        <v>209.6429494973342</v>
      </c>
      <c r="T463">
        <f>1/(COUNT(SimData!$C$9:$C$508)-1)+$T$462</f>
        <v>0.92384769539078238</v>
      </c>
      <c r="U463">
        <f>SMALL(SimData!$D$9:$D$508,462)</f>
        <v>124.6429494973342</v>
      </c>
      <c r="V463">
        <f>1/(COUNT(SimData!$D$9:$D$508)-1)+$V$462</f>
        <v>0.92384769539078238</v>
      </c>
      <c r="W463">
        <f>SMALL(SimData!$E$9:$E$508,462)</f>
        <v>62.6429494973342</v>
      </c>
      <c r="X463">
        <f>1/(COUNT(SimData!$E$9:$E$508)-1)+$X$462</f>
        <v>0.92384769539078238</v>
      </c>
    </row>
    <row r="464" spans="1:24">
      <c r="A464">
        <v>456</v>
      </c>
      <c r="B464">
        <v>221.9441966783553</v>
      </c>
      <c r="C464">
        <v>153.9441966783553</v>
      </c>
      <c r="D464">
        <v>68.944196678355297</v>
      </c>
      <c r="E464">
        <v>6.9441966783552971</v>
      </c>
      <c r="Q464">
        <f>SMALL(SimData!$B$9:$B$508,463)</f>
        <v>277.80004747459537</v>
      </c>
      <c r="R464">
        <f>1/(COUNT(SimData!$B$9:$B$508)-1)+$R$463</f>
        <v>0.92585170340681444</v>
      </c>
      <c r="S464">
        <f>SMALL(SimData!$C$9:$C$508,463)</f>
        <v>209.80004747459537</v>
      </c>
      <c r="T464">
        <f>1/(COUNT(SimData!$C$9:$C$508)-1)+$T$463</f>
        <v>0.92585170340681444</v>
      </c>
      <c r="U464">
        <f>SMALL(SimData!$D$9:$D$508,463)</f>
        <v>124.80004747459537</v>
      </c>
      <c r="V464">
        <f>1/(COUNT(SimData!$D$9:$D$508)-1)+$V$463</f>
        <v>0.92585170340681444</v>
      </c>
      <c r="W464">
        <f>SMALL(SimData!$E$9:$E$508,463)</f>
        <v>62.800047474595374</v>
      </c>
      <c r="X464">
        <f>1/(COUNT(SimData!$E$9:$E$508)-1)+$X$463</f>
        <v>0.92585170340681444</v>
      </c>
    </row>
    <row r="465" spans="1:24">
      <c r="A465">
        <v>457</v>
      </c>
      <c r="B465">
        <v>224.67447637427284</v>
      </c>
      <c r="C465">
        <v>156.67447637427284</v>
      </c>
      <c r="D465">
        <v>71.674476374272842</v>
      </c>
      <c r="E465">
        <v>9.6744763742728423</v>
      </c>
      <c r="Q465">
        <f>SMALL(SimData!$B$9:$B$508,464)</f>
        <v>278.42263942240356</v>
      </c>
      <c r="R465">
        <f>1/(COUNT(SimData!$B$9:$B$508)-1)+$R$464</f>
        <v>0.92785571142284651</v>
      </c>
      <c r="S465">
        <f>SMALL(SimData!$C$9:$C$508,464)</f>
        <v>210.42263942240356</v>
      </c>
      <c r="T465">
        <f>1/(COUNT(SimData!$C$9:$C$508)-1)+$T$464</f>
        <v>0.92785571142284651</v>
      </c>
      <c r="U465">
        <f>SMALL(SimData!$D$9:$D$508,464)</f>
        <v>125.42263942240356</v>
      </c>
      <c r="V465">
        <f>1/(COUNT(SimData!$D$9:$D$508)-1)+$V$464</f>
        <v>0.92785571142284651</v>
      </c>
      <c r="W465">
        <f>SMALL(SimData!$E$9:$E$508,464)</f>
        <v>63.422639422403563</v>
      </c>
      <c r="X465">
        <f>1/(COUNT(SimData!$E$9:$E$508)-1)+$X$464</f>
        <v>0.92785571142284651</v>
      </c>
    </row>
    <row r="466" spans="1:24">
      <c r="A466">
        <v>458</v>
      </c>
      <c r="B466">
        <v>220.15321969280643</v>
      </c>
      <c r="C466">
        <v>152.15321969280643</v>
      </c>
      <c r="D466">
        <v>67.153219692806431</v>
      </c>
      <c r="E466">
        <v>5.1532196928064309</v>
      </c>
      <c r="Q466">
        <f>SMALL(SimData!$B$9:$B$508,465)</f>
        <v>279.01464249419098</v>
      </c>
      <c r="R466">
        <f>1/(COUNT(SimData!$B$9:$B$508)-1)+$R$465</f>
        <v>0.92985971943887857</v>
      </c>
      <c r="S466">
        <f>SMALL(SimData!$C$9:$C$508,465)</f>
        <v>211.01464249419098</v>
      </c>
      <c r="T466">
        <f>1/(COUNT(SimData!$C$9:$C$508)-1)+$T$465</f>
        <v>0.92985971943887857</v>
      </c>
      <c r="U466">
        <f>SMALL(SimData!$D$9:$D$508,465)</f>
        <v>126.01464249419098</v>
      </c>
      <c r="V466">
        <f>1/(COUNT(SimData!$D$9:$D$508)-1)+$V$465</f>
        <v>0.92985971943887857</v>
      </c>
      <c r="W466">
        <f>SMALL(SimData!$E$9:$E$508,465)</f>
        <v>64.01464249419098</v>
      </c>
      <c r="X466">
        <f>1/(COUNT(SimData!$E$9:$E$508)-1)+$X$465</f>
        <v>0.92985971943887857</v>
      </c>
    </row>
    <row r="467" spans="1:24">
      <c r="A467">
        <v>459</v>
      </c>
      <c r="B467">
        <v>221.24840649630414</v>
      </c>
      <c r="C467">
        <v>153.24840649630414</v>
      </c>
      <c r="D467">
        <v>68.248406496304142</v>
      </c>
      <c r="E467">
        <v>6.2484064963041419</v>
      </c>
      <c r="Q467">
        <f>SMALL(SimData!$B$9:$B$508,466)</f>
        <v>280.60009664072464</v>
      </c>
      <c r="R467">
        <f>1/(COUNT(SimData!$B$9:$B$508)-1)+$R$466</f>
        <v>0.93186372745491064</v>
      </c>
      <c r="S467">
        <f>SMALL(SimData!$C$9:$C$508,466)</f>
        <v>212.60009664072464</v>
      </c>
      <c r="T467">
        <f>1/(COUNT(SimData!$C$9:$C$508)-1)+$T$466</f>
        <v>0.93186372745491064</v>
      </c>
      <c r="U467">
        <f>SMALL(SimData!$D$9:$D$508,466)</f>
        <v>127.60009664072464</v>
      </c>
      <c r="V467">
        <f>1/(COUNT(SimData!$D$9:$D$508)-1)+$V$466</f>
        <v>0.93186372745491064</v>
      </c>
      <c r="W467">
        <f>SMALL(SimData!$E$9:$E$508,466)</f>
        <v>65.600096640724644</v>
      </c>
      <c r="X467">
        <f>1/(COUNT(SimData!$E$9:$E$508)-1)+$X$466</f>
        <v>0.93186372745491064</v>
      </c>
    </row>
    <row r="468" spans="1:24">
      <c r="A468">
        <v>460</v>
      </c>
      <c r="B468">
        <v>229.24866800085914</v>
      </c>
      <c r="C468">
        <v>161.24866800085914</v>
      </c>
      <c r="D468">
        <v>76.248668000859141</v>
      </c>
      <c r="E468">
        <v>14.248668000859141</v>
      </c>
      <c r="Q468">
        <f>SMALL(SimData!$B$9:$B$508,467)</f>
        <v>281.88248821430733</v>
      </c>
      <c r="R468">
        <f>1/(COUNT(SimData!$B$9:$B$508)-1)+$R$467</f>
        <v>0.93386773547094271</v>
      </c>
      <c r="S468">
        <f>SMALL(SimData!$C$9:$C$508,467)</f>
        <v>213.88248821430733</v>
      </c>
      <c r="T468">
        <f>1/(COUNT(SimData!$C$9:$C$508)-1)+$T$467</f>
        <v>0.93386773547094271</v>
      </c>
      <c r="U468">
        <f>SMALL(SimData!$D$9:$D$508,467)</f>
        <v>128.88248821430733</v>
      </c>
      <c r="V468">
        <f>1/(COUNT(SimData!$D$9:$D$508)-1)+$V$467</f>
        <v>0.93386773547094271</v>
      </c>
      <c r="W468">
        <f>SMALL(SimData!$E$9:$E$508,467)</f>
        <v>66.88248821430733</v>
      </c>
      <c r="X468">
        <f>1/(COUNT(SimData!$E$9:$E$508)-1)+$X$467</f>
        <v>0.93386773547094271</v>
      </c>
    </row>
    <row r="469" spans="1:24">
      <c r="A469">
        <v>461</v>
      </c>
      <c r="B469">
        <v>320.75225824397444</v>
      </c>
      <c r="C469">
        <v>252.75225824397444</v>
      </c>
      <c r="D469">
        <v>167.75225824397444</v>
      </c>
      <c r="E469">
        <v>105.75225824397444</v>
      </c>
      <c r="Q469">
        <f>SMALL(SimData!$B$9:$B$508,468)</f>
        <v>282.99895246447659</v>
      </c>
      <c r="R469">
        <f>1/(COUNT(SimData!$B$9:$B$508)-1)+$R$468</f>
        <v>0.93587174348697477</v>
      </c>
      <c r="S469">
        <f>SMALL(SimData!$C$9:$C$508,468)</f>
        <v>214.99895246447659</v>
      </c>
      <c r="T469">
        <f>1/(COUNT(SimData!$C$9:$C$508)-1)+$T$468</f>
        <v>0.93587174348697477</v>
      </c>
      <c r="U469">
        <f>SMALL(SimData!$D$9:$D$508,468)</f>
        <v>129.99895246447659</v>
      </c>
      <c r="V469">
        <f>1/(COUNT(SimData!$D$9:$D$508)-1)+$V$468</f>
        <v>0.93587174348697477</v>
      </c>
      <c r="W469">
        <f>SMALL(SimData!$E$9:$E$508,468)</f>
        <v>67.998952464476588</v>
      </c>
      <c r="X469">
        <f>1/(COUNT(SimData!$E$9:$E$508)-1)+$X$468</f>
        <v>0.93587174348697477</v>
      </c>
    </row>
    <row r="470" spans="1:24">
      <c r="A470">
        <v>462</v>
      </c>
      <c r="B470">
        <v>224.78388741905587</v>
      </c>
      <c r="C470">
        <v>156.78388741905587</v>
      </c>
      <c r="D470">
        <v>71.783887419055873</v>
      </c>
      <c r="E470">
        <v>9.7838874190558727</v>
      </c>
      <c r="Q470">
        <f>SMALL(SimData!$B$9:$B$508,469)</f>
        <v>283.0958775169716</v>
      </c>
      <c r="R470">
        <f>1/(COUNT(SimData!$B$9:$B$508)-1)+$R$469</f>
        <v>0.93787575150300684</v>
      </c>
      <c r="S470">
        <f>SMALL(SimData!$C$9:$C$508,469)</f>
        <v>215.0958775169716</v>
      </c>
      <c r="T470">
        <f>1/(COUNT(SimData!$C$9:$C$508)-1)+$T$469</f>
        <v>0.93787575150300684</v>
      </c>
      <c r="U470">
        <f>SMALL(SimData!$D$9:$D$508,469)</f>
        <v>130.0958775169716</v>
      </c>
      <c r="V470">
        <f>1/(COUNT(SimData!$D$9:$D$508)-1)+$V$469</f>
        <v>0.93787575150300684</v>
      </c>
      <c r="W470">
        <f>SMALL(SimData!$E$9:$E$508,469)</f>
        <v>68.095877516971598</v>
      </c>
      <c r="X470">
        <f>1/(COUNT(SimData!$E$9:$E$508)-1)+$X$469</f>
        <v>0.93787575150300684</v>
      </c>
    </row>
    <row r="471" spans="1:24">
      <c r="A471">
        <v>463</v>
      </c>
      <c r="B471">
        <v>191.71010738852743</v>
      </c>
      <c r="C471">
        <v>123.71010738852743</v>
      </c>
      <c r="D471">
        <v>38.710107388527433</v>
      </c>
      <c r="E471">
        <v>-23.289892611472567</v>
      </c>
      <c r="Q471">
        <f>SMALL(SimData!$B$9:$B$508,470)</f>
        <v>283.9387800930777</v>
      </c>
      <c r="R471">
        <f>1/(COUNT(SimData!$B$9:$B$508)-1)+$R$470</f>
        <v>0.9398797595190389</v>
      </c>
      <c r="S471">
        <f>SMALL(SimData!$C$9:$C$508,470)</f>
        <v>215.9387800930777</v>
      </c>
      <c r="T471">
        <f>1/(COUNT(SimData!$C$9:$C$508)-1)+$T$470</f>
        <v>0.9398797595190389</v>
      </c>
      <c r="U471">
        <f>SMALL(SimData!$D$9:$D$508,470)</f>
        <v>130.9387800930777</v>
      </c>
      <c r="V471">
        <f>1/(COUNT(SimData!$D$9:$D$508)-1)+$V$470</f>
        <v>0.9398797595190389</v>
      </c>
      <c r="W471">
        <f>SMALL(SimData!$E$9:$E$508,470)</f>
        <v>68.938780093077696</v>
      </c>
      <c r="X471">
        <f>1/(COUNT(SimData!$E$9:$E$508)-1)+$X$470</f>
        <v>0.9398797595190389</v>
      </c>
    </row>
    <row r="472" spans="1:24">
      <c r="A472">
        <v>464</v>
      </c>
      <c r="B472">
        <v>191.31216139295191</v>
      </c>
      <c r="C472">
        <v>123.31216139295191</v>
      </c>
      <c r="D472">
        <v>38.312161392951907</v>
      </c>
      <c r="E472">
        <v>-23.687838607048093</v>
      </c>
      <c r="Q472">
        <f>SMALL(SimData!$B$9:$B$508,471)</f>
        <v>285.20713597799158</v>
      </c>
      <c r="R472">
        <f>1/(COUNT(SimData!$B$9:$B$508)-1)+$R$471</f>
        <v>0.94188376753507097</v>
      </c>
      <c r="S472">
        <f>SMALL(SimData!$C$9:$C$508,471)</f>
        <v>217.20713597799158</v>
      </c>
      <c r="T472">
        <f>1/(COUNT(SimData!$C$9:$C$508)-1)+$T$471</f>
        <v>0.94188376753507097</v>
      </c>
      <c r="U472">
        <f>SMALL(SimData!$D$9:$D$508,471)</f>
        <v>132.20713597799158</v>
      </c>
      <c r="V472">
        <f>1/(COUNT(SimData!$D$9:$D$508)-1)+$V$471</f>
        <v>0.94188376753507097</v>
      </c>
      <c r="W472">
        <f>SMALL(SimData!$E$9:$E$508,471)</f>
        <v>70.207135977991584</v>
      </c>
      <c r="X472">
        <f>1/(COUNT(SimData!$E$9:$E$508)-1)+$X$471</f>
        <v>0.94188376753507097</v>
      </c>
    </row>
    <row r="473" spans="1:24">
      <c r="A473">
        <v>465</v>
      </c>
      <c r="B473">
        <v>107.23328451043588</v>
      </c>
      <c r="C473">
        <v>39.23328451043588</v>
      </c>
      <c r="D473">
        <v>-45.76671548956412</v>
      </c>
      <c r="E473">
        <v>-107.76671548956412</v>
      </c>
      <c r="Q473">
        <f>SMALL(SimData!$B$9:$B$508,472)</f>
        <v>286.32817867440542</v>
      </c>
      <c r="R473">
        <f>1/(COUNT(SimData!$B$9:$B$508)-1)+$R$472</f>
        <v>0.94388777555110304</v>
      </c>
      <c r="S473">
        <f>SMALL(SimData!$C$9:$C$508,472)</f>
        <v>218.32817867440542</v>
      </c>
      <c r="T473">
        <f>1/(COUNT(SimData!$C$9:$C$508)-1)+$T$472</f>
        <v>0.94388777555110304</v>
      </c>
      <c r="U473">
        <f>SMALL(SimData!$D$9:$D$508,472)</f>
        <v>133.32817867440542</v>
      </c>
      <c r="V473">
        <f>1/(COUNT(SimData!$D$9:$D$508)-1)+$V$472</f>
        <v>0.94388777555110304</v>
      </c>
      <c r="W473">
        <f>SMALL(SimData!$E$9:$E$508,472)</f>
        <v>71.328178674405422</v>
      </c>
      <c r="X473">
        <f>1/(COUNT(SimData!$E$9:$E$508)-1)+$X$472</f>
        <v>0.94388777555110304</v>
      </c>
    </row>
    <row r="474" spans="1:24">
      <c r="A474">
        <v>466</v>
      </c>
      <c r="B474">
        <v>262.59857838990308</v>
      </c>
      <c r="C474">
        <v>194.59857838990308</v>
      </c>
      <c r="D474">
        <v>109.59857838990308</v>
      </c>
      <c r="E474">
        <v>47.598578389903082</v>
      </c>
      <c r="Q474">
        <f>SMALL(SimData!$B$9:$B$508,473)</f>
        <v>286.5548923482757</v>
      </c>
      <c r="R474">
        <f>1/(COUNT(SimData!$B$9:$B$508)-1)+$R$473</f>
        <v>0.9458917835671351</v>
      </c>
      <c r="S474">
        <f>SMALL(SimData!$C$9:$C$508,473)</f>
        <v>218.5548923482757</v>
      </c>
      <c r="T474">
        <f>1/(COUNT(SimData!$C$9:$C$508)-1)+$T$473</f>
        <v>0.9458917835671351</v>
      </c>
      <c r="U474">
        <f>SMALL(SimData!$D$9:$D$508,473)</f>
        <v>133.5548923482757</v>
      </c>
      <c r="V474">
        <f>1/(COUNT(SimData!$D$9:$D$508)-1)+$V$473</f>
        <v>0.9458917835671351</v>
      </c>
      <c r="W474">
        <f>SMALL(SimData!$E$9:$E$508,473)</f>
        <v>71.5548923482757</v>
      </c>
      <c r="X474">
        <f>1/(COUNT(SimData!$E$9:$E$508)-1)+$X$473</f>
        <v>0.9458917835671351</v>
      </c>
    </row>
    <row r="475" spans="1:24">
      <c r="A475">
        <v>467</v>
      </c>
      <c r="B475">
        <v>293.84419878842209</v>
      </c>
      <c r="C475">
        <v>225.84419878842209</v>
      </c>
      <c r="D475">
        <v>140.84419878842209</v>
      </c>
      <c r="E475">
        <v>78.844198788422091</v>
      </c>
      <c r="Q475">
        <f>SMALL(SimData!$B$9:$B$508,474)</f>
        <v>288.60502957899814</v>
      </c>
      <c r="R475">
        <f>1/(COUNT(SimData!$B$9:$B$508)-1)+$R$474</f>
        <v>0.94789579158316717</v>
      </c>
      <c r="S475">
        <f>SMALL(SimData!$C$9:$C$508,474)</f>
        <v>220.60502957899814</v>
      </c>
      <c r="T475">
        <f>1/(COUNT(SimData!$C$9:$C$508)-1)+$T$474</f>
        <v>0.94789579158316717</v>
      </c>
      <c r="U475">
        <f>SMALL(SimData!$D$9:$D$508,474)</f>
        <v>135.60502957899814</v>
      </c>
      <c r="V475">
        <f>1/(COUNT(SimData!$D$9:$D$508)-1)+$V$474</f>
        <v>0.94789579158316717</v>
      </c>
      <c r="W475">
        <f>SMALL(SimData!$E$9:$E$508,474)</f>
        <v>73.605029578998142</v>
      </c>
      <c r="X475">
        <f>1/(COUNT(SimData!$E$9:$E$508)-1)+$X$474</f>
        <v>0.94789579158316717</v>
      </c>
    </row>
    <row r="476" spans="1:24">
      <c r="A476">
        <v>468</v>
      </c>
      <c r="B476">
        <v>203.2640227366652</v>
      </c>
      <c r="C476">
        <v>135.2640227366652</v>
      </c>
      <c r="D476">
        <v>50.264022736665197</v>
      </c>
      <c r="E476">
        <v>-11.735977263334803</v>
      </c>
      <c r="Q476">
        <f>SMALL(SimData!$B$9:$B$508,475)</f>
        <v>288.66849141603501</v>
      </c>
      <c r="R476">
        <f>1/(COUNT(SimData!$B$9:$B$508)-1)+$R$475</f>
        <v>0.94989979959919923</v>
      </c>
      <c r="S476">
        <f>SMALL(SimData!$C$9:$C$508,475)</f>
        <v>220.66849141603501</v>
      </c>
      <c r="T476">
        <f>1/(COUNT(SimData!$C$9:$C$508)-1)+$T$475</f>
        <v>0.94989979959919923</v>
      </c>
      <c r="U476">
        <f>SMALL(SimData!$D$9:$D$508,475)</f>
        <v>135.66849141603501</v>
      </c>
      <c r="V476">
        <f>1/(COUNT(SimData!$D$9:$D$508)-1)+$V$475</f>
        <v>0.94989979959919923</v>
      </c>
      <c r="W476">
        <f>SMALL(SimData!$E$9:$E$508,475)</f>
        <v>73.66849141603501</v>
      </c>
      <c r="X476">
        <f>1/(COUNT(SimData!$E$9:$E$508)-1)+$X$475</f>
        <v>0.94989979959919923</v>
      </c>
    </row>
    <row r="477" spans="1:24">
      <c r="A477">
        <v>469</v>
      </c>
      <c r="B477">
        <v>258.47389176561711</v>
      </c>
      <c r="C477">
        <v>190.47389176561711</v>
      </c>
      <c r="D477">
        <v>105.47389176561711</v>
      </c>
      <c r="E477">
        <v>43.473891765617111</v>
      </c>
      <c r="Q477">
        <f>SMALL(SimData!$B$9:$B$508,476)</f>
        <v>288.90102473271571</v>
      </c>
      <c r="R477">
        <f>1/(COUNT(SimData!$B$9:$B$508)-1)+$R$476</f>
        <v>0.9519038076152313</v>
      </c>
      <c r="S477">
        <f>SMALL(SimData!$C$9:$C$508,476)</f>
        <v>220.90102473271571</v>
      </c>
      <c r="T477">
        <f>1/(COUNT(SimData!$C$9:$C$508)-1)+$T$476</f>
        <v>0.9519038076152313</v>
      </c>
      <c r="U477">
        <f>SMALL(SimData!$D$9:$D$508,476)</f>
        <v>135.90102473271571</v>
      </c>
      <c r="V477">
        <f>1/(COUNT(SimData!$D$9:$D$508)-1)+$V$476</f>
        <v>0.9519038076152313</v>
      </c>
      <c r="W477">
        <f>SMALL(SimData!$E$9:$E$508,476)</f>
        <v>73.901024732715712</v>
      </c>
      <c r="X477">
        <f>1/(COUNT(SimData!$E$9:$E$508)-1)+$X$476</f>
        <v>0.9519038076152313</v>
      </c>
    </row>
    <row r="478" spans="1:24">
      <c r="A478">
        <v>470</v>
      </c>
      <c r="B478">
        <v>171.01896237457584</v>
      </c>
      <c r="C478">
        <v>103.01896237457584</v>
      </c>
      <c r="D478">
        <v>18.018962374575835</v>
      </c>
      <c r="E478">
        <v>-43.981037625424165</v>
      </c>
      <c r="Q478">
        <f>SMALL(SimData!$B$9:$B$508,477)</f>
        <v>291.11406155196153</v>
      </c>
      <c r="R478">
        <f>1/(COUNT(SimData!$B$9:$B$508)-1)+$R$477</f>
        <v>0.95390781563126337</v>
      </c>
      <c r="S478">
        <f>SMALL(SimData!$C$9:$C$508,477)</f>
        <v>223.11406155196153</v>
      </c>
      <c r="T478">
        <f>1/(COUNT(SimData!$C$9:$C$508)-1)+$T$477</f>
        <v>0.95390781563126337</v>
      </c>
      <c r="U478">
        <f>SMALL(SimData!$D$9:$D$508,477)</f>
        <v>138.11406155196153</v>
      </c>
      <c r="V478">
        <f>1/(COUNT(SimData!$D$9:$D$508)-1)+$V$477</f>
        <v>0.95390781563126337</v>
      </c>
      <c r="W478">
        <f>SMALL(SimData!$E$9:$E$508,477)</f>
        <v>76.114061551961527</v>
      </c>
      <c r="X478">
        <f>1/(COUNT(SimData!$E$9:$E$508)-1)+$X$477</f>
        <v>0.95390781563126337</v>
      </c>
    </row>
    <row r="479" spans="1:24">
      <c r="A479">
        <v>471</v>
      </c>
      <c r="B479">
        <v>178.3607428562255</v>
      </c>
      <c r="C479">
        <v>110.3607428562255</v>
      </c>
      <c r="D479">
        <v>25.3607428562255</v>
      </c>
      <c r="E479">
        <v>-36.6392571437745</v>
      </c>
      <c r="Q479">
        <f>SMALL(SimData!$B$9:$B$508,478)</f>
        <v>292.21759006922207</v>
      </c>
      <c r="R479">
        <f>1/(COUNT(SimData!$B$9:$B$508)-1)+$R$478</f>
        <v>0.95591182364729543</v>
      </c>
      <c r="S479">
        <f>SMALL(SimData!$C$9:$C$508,478)</f>
        <v>224.21759006922207</v>
      </c>
      <c r="T479">
        <f>1/(COUNT(SimData!$C$9:$C$508)-1)+$T$478</f>
        <v>0.95591182364729543</v>
      </c>
      <c r="U479">
        <f>SMALL(SimData!$D$9:$D$508,478)</f>
        <v>139.21759006922207</v>
      </c>
      <c r="V479">
        <f>1/(COUNT(SimData!$D$9:$D$508)-1)+$V$478</f>
        <v>0.95591182364729543</v>
      </c>
      <c r="W479">
        <f>SMALL(SimData!$E$9:$E$508,478)</f>
        <v>77.217590069222069</v>
      </c>
      <c r="X479">
        <f>1/(COUNT(SimData!$E$9:$E$508)-1)+$X$478</f>
        <v>0.95591182364729543</v>
      </c>
    </row>
    <row r="480" spans="1:24">
      <c r="A480">
        <v>472</v>
      </c>
      <c r="B480">
        <v>104.14623920100232</v>
      </c>
      <c r="C480">
        <v>36.146239201002317</v>
      </c>
      <c r="D480">
        <v>-48.853760798997683</v>
      </c>
      <c r="E480">
        <v>-110.85376079899768</v>
      </c>
      <c r="Q480">
        <f>SMALL(SimData!$B$9:$B$508,479)</f>
        <v>292.252748719321</v>
      </c>
      <c r="R480">
        <f>1/(COUNT(SimData!$B$9:$B$508)-1)+$R$479</f>
        <v>0.9579158316633275</v>
      </c>
      <c r="S480">
        <f>SMALL(SimData!$C$9:$C$508,479)</f>
        <v>224.252748719321</v>
      </c>
      <c r="T480">
        <f>1/(COUNT(SimData!$C$9:$C$508)-1)+$T$479</f>
        <v>0.9579158316633275</v>
      </c>
      <c r="U480">
        <f>SMALL(SimData!$D$9:$D$508,479)</f>
        <v>139.252748719321</v>
      </c>
      <c r="V480">
        <f>1/(COUNT(SimData!$D$9:$D$508)-1)+$V$479</f>
        <v>0.9579158316633275</v>
      </c>
      <c r="W480">
        <f>SMALL(SimData!$E$9:$E$508,479)</f>
        <v>77.252748719321005</v>
      </c>
      <c r="X480">
        <f>1/(COUNT(SimData!$E$9:$E$508)-1)+$X$479</f>
        <v>0.9579158316633275</v>
      </c>
    </row>
    <row r="481" spans="1:24">
      <c r="A481">
        <v>473</v>
      </c>
      <c r="B481">
        <v>224.73708301771501</v>
      </c>
      <c r="C481">
        <v>156.73708301771501</v>
      </c>
      <c r="D481">
        <v>71.737083017715008</v>
      </c>
      <c r="E481">
        <v>9.7370830177150083</v>
      </c>
      <c r="Q481">
        <f>SMALL(SimData!$B$9:$B$508,480)</f>
        <v>293.48153276391099</v>
      </c>
      <c r="R481">
        <f>1/(COUNT(SimData!$B$9:$B$508)-1)+$R$480</f>
        <v>0.95991983967935957</v>
      </c>
      <c r="S481">
        <f>SMALL(SimData!$C$9:$C$508,480)</f>
        <v>225.48153276391099</v>
      </c>
      <c r="T481">
        <f>1/(COUNT(SimData!$C$9:$C$508)-1)+$T$480</f>
        <v>0.95991983967935957</v>
      </c>
      <c r="U481">
        <f>SMALL(SimData!$D$9:$D$508,480)</f>
        <v>140.48153276391099</v>
      </c>
      <c r="V481">
        <f>1/(COUNT(SimData!$D$9:$D$508)-1)+$V$480</f>
        <v>0.95991983967935957</v>
      </c>
      <c r="W481">
        <f>SMALL(SimData!$E$9:$E$508,480)</f>
        <v>78.481532763910991</v>
      </c>
      <c r="X481">
        <f>1/(COUNT(SimData!$E$9:$E$508)-1)+$X$480</f>
        <v>0.95991983967935957</v>
      </c>
    </row>
    <row r="482" spans="1:24">
      <c r="A482">
        <v>474</v>
      </c>
      <c r="B482">
        <v>299.05440172479615</v>
      </c>
      <c r="C482">
        <v>231.05440172479615</v>
      </c>
      <c r="D482">
        <v>146.05440172479615</v>
      </c>
      <c r="E482">
        <v>84.054401724796151</v>
      </c>
      <c r="Q482">
        <f>SMALL(SimData!$B$9:$B$508,481)</f>
        <v>293.84419878842209</v>
      </c>
      <c r="R482">
        <f>1/(COUNT(SimData!$B$9:$B$508)-1)+$R$481</f>
        <v>0.96192384769539163</v>
      </c>
      <c r="S482">
        <f>SMALL(SimData!$C$9:$C$508,481)</f>
        <v>225.84419878842209</v>
      </c>
      <c r="T482">
        <f>1/(COUNT(SimData!$C$9:$C$508)-1)+$T$481</f>
        <v>0.96192384769539163</v>
      </c>
      <c r="U482">
        <f>SMALL(SimData!$D$9:$D$508,481)</f>
        <v>140.84419878842209</v>
      </c>
      <c r="V482">
        <f>1/(COUNT(SimData!$D$9:$D$508)-1)+$V$481</f>
        <v>0.96192384769539163</v>
      </c>
      <c r="W482">
        <f>SMALL(SimData!$E$9:$E$508,481)</f>
        <v>78.844198788422091</v>
      </c>
      <c r="X482">
        <f>1/(COUNT(SimData!$E$9:$E$508)-1)+$X$481</f>
        <v>0.96192384769539163</v>
      </c>
    </row>
    <row r="483" spans="1:24">
      <c r="A483">
        <v>475</v>
      </c>
      <c r="B483">
        <v>200.9540756511247</v>
      </c>
      <c r="C483">
        <v>132.9540756511247</v>
      </c>
      <c r="D483">
        <v>47.954075651124697</v>
      </c>
      <c r="E483">
        <v>-14.045924348875303</v>
      </c>
      <c r="Q483">
        <f>SMALL(SimData!$B$9:$B$508,482)</f>
        <v>296.19023240666445</v>
      </c>
      <c r="R483">
        <f>1/(COUNT(SimData!$B$9:$B$508)-1)+$R$482</f>
        <v>0.9639278557114237</v>
      </c>
      <c r="S483">
        <f>SMALL(SimData!$C$9:$C$508,482)</f>
        <v>228.19023240666445</v>
      </c>
      <c r="T483">
        <f>1/(COUNT(SimData!$C$9:$C$508)-1)+$T$482</f>
        <v>0.9639278557114237</v>
      </c>
      <c r="U483">
        <f>SMALL(SimData!$D$9:$D$508,482)</f>
        <v>143.19023240666445</v>
      </c>
      <c r="V483">
        <f>1/(COUNT(SimData!$D$9:$D$508)-1)+$V$482</f>
        <v>0.9639278557114237</v>
      </c>
      <c r="W483">
        <f>SMALL(SimData!$E$9:$E$508,482)</f>
        <v>81.19023240666445</v>
      </c>
      <c r="X483">
        <f>1/(COUNT(SimData!$E$9:$E$508)-1)+$X$482</f>
        <v>0.9639278557114237</v>
      </c>
    </row>
    <row r="484" spans="1:24">
      <c r="A484">
        <v>476</v>
      </c>
      <c r="B484">
        <v>209.08062335574897</v>
      </c>
      <c r="C484">
        <v>141.08062335574897</v>
      </c>
      <c r="D484">
        <v>56.080623355748969</v>
      </c>
      <c r="E484">
        <v>-5.9193766442510309</v>
      </c>
      <c r="Q484">
        <f>SMALL(SimData!$B$9:$B$508,483)</f>
        <v>296.48876960614695</v>
      </c>
      <c r="R484">
        <f>1/(COUNT(SimData!$B$9:$B$508)-1)+$R$483</f>
        <v>0.96593186372745576</v>
      </c>
      <c r="S484">
        <f>SMALL(SimData!$C$9:$C$508,483)</f>
        <v>228.48876960614695</v>
      </c>
      <c r="T484">
        <f>1/(COUNT(SimData!$C$9:$C$508)-1)+$T$483</f>
        <v>0.96593186372745576</v>
      </c>
      <c r="U484">
        <f>SMALL(SimData!$D$9:$D$508,483)</f>
        <v>143.48876960614695</v>
      </c>
      <c r="V484">
        <f>1/(COUNT(SimData!$D$9:$D$508)-1)+$V$483</f>
        <v>0.96593186372745576</v>
      </c>
      <c r="W484">
        <f>SMALL(SimData!$E$9:$E$508,483)</f>
        <v>81.488769606146946</v>
      </c>
      <c r="X484">
        <f>1/(COUNT(SimData!$E$9:$E$508)-1)+$X$483</f>
        <v>0.96593186372745576</v>
      </c>
    </row>
    <row r="485" spans="1:24">
      <c r="A485">
        <v>477</v>
      </c>
      <c r="B485">
        <v>192.82010115874255</v>
      </c>
      <c r="C485">
        <v>124.82010115874255</v>
      </c>
      <c r="D485">
        <v>39.820101158742546</v>
      </c>
      <c r="E485">
        <v>-22.179898841257454</v>
      </c>
      <c r="Q485">
        <f>SMALL(SimData!$B$9:$B$508,484)</f>
        <v>297.57019943612045</v>
      </c>
      <c r="R485">
        <f>1/(COUNT(SimData!$B$9:$B$508)-1)+$R$484</f>
        <v>0.96793587174348783</v>
      </c>
      <c r="S485">
        <f>SMALL(SimData!$C$9:$C$508,484)</f>
        <v>229.57019943612045</v>
      </c>
      <c r="T485">
        <f>1/(COUNT(SimData!$C$9:$C$508)-1)+$T$484</f>
        <v>0.96793587174348783</v>
      </c>
      <c r="U485">
        <f>SMALL(SimData!$D$9:$D$508,484)</f>
        <v>144.57019943612045</v>
      </c>
      <c r="V485">
        <f>1/(COUNT(SimData!$D$9:$D$508)-1)+$V$484</f>
        <v>0.96793587174348783</v>
      </c>
      <c r="W485">
        <f>SMALL(SimData!$E$9:$E$508,484)</f>
        <v>82.570199436120447</v>
      </c>
      <c r="X485">
        <f>1/(COUNT(SimData!$E$9:$E$508)-1)+$X$484</f>
        <v>0.96793587174348783</v>
      </c>
    </row>
    <row r="486" spans="1:24">
      <c r="A486">
        <v>478</v>
      </c>
      <c r="B486">
        <v>269.98995722386809</v>
      </c>
      <c r="C486">
        <v>201.98995722386809</v>
      </c>
      <c r="D486">
        <v>116.98995722386809</v>
      </c>
      <c r="E486">
        <v>54.989957223868089</v>
      </c>
      <c r="Q486">
        <f>SMALL(SimData!$B$9:$B$508,485)</f>
        <v>297.93661323068523</v>
      </c>
      <c r="R486">
        <f>1/(COUNT(SimData!$B$9:$B$508)-1)+$R$485</f>
        <v>0.9699398797595199</v>
      </c>
      <c r="S486">
        <f>SMALL(SimData!$C$9:$C$508,485)</f>
        <v>229.93661323068523</v>
      </c>
      <c r="T486">
        <f>1/(COUNT(SimData!$C$9:$C$508)-1)+$T$485</f>
        <v>0.9699398797595199</v>
      </c>
      <c r="U486">
        <f>SMALL(SimData!$D$9:$D$508,485)</f>
        <v>144.93661323068523</v>
      </c>
      <c r="V486">
        <f>1/(COUNT(SimData!$D$9:$D$508)-1)+$V$485</f>
        <v>0.9699398797595199</v>
      </c>
      <c r="W486">
        <f>SMALL(SimData!$E$9:$E$508,485)</f>
        <v>82.936613230685225</v>
      </c>
      <c r="X486">
        <f>1/(COUNT(SimData!$E$9:$E$508)-1)+$X$485</f>
        <v>0.9699398797595199</v>
      </c>
    </row>
    <row r="487" spans="1:24">
      <c r="A487">
        <v>479</v>
      </c>
      <c r="B487">
        <v>186.9820558087593</v>
      </c>
      <c r="C487">
        <v>118.9820558087593</v>
      </c>
      <c r="D487">
        <v>33.982055808759299</v>
      </c>
      <c r="E487">
        <v>-28.017944191240701</v>
      </c>
      <c r="Q487">
        <f>SMALL(SimData!$B$9:$B$508,486)</f>
        <v>298.76036196733094</v>
      </c>
      <c r="R487">
        <f>1/(COUNT(SimData!$B$9:$B$508)-1)+$R$486</f>
        <v>0.97194388777555196</v>
      </c>
      <c r="S487">
        <f>SMALL(SimData!$C$9:$C$508,486)</f>
        <v>230.76036196733094</v>
      </c>
      <c r="T487">
        <f>1/(COUNT(SimData!$C$9:$C$508)-1)+$T$486</f>
        <v>0.97194388777555196</v>
      </c>
      <c r="U487">
        <f>SMALL(SimData!$D$9:$D$508,486)</f>
        <v>145.76036196733094</v>
      </c>
      <c r="V487">
        <f>1/(COUNT(SimData!$D$9:$D$508)-1)+$V$486</f>
        <v>0.97194388777555196</v>
      </c>
      <c r="W487">
        <f>SMALL(SimData!$E$9:$E$508,486)</f>
        <v>83.760361967330937</v>
      </c>
      <c r="X487">
        <f>1/(COUNT(SimData!$E$9:$E$508)-1)+$X$486</f>
        <v>0.97194388777555196</v>
      </c>
    </row>
    <row r="488" spans="1:24">
      <c r="A488">
        <v>480</v>
      </c>
      <c r="B488">
        <v>205.11810226376508</v>
      </c>
      <c r="C488">
        <v>137.11810226376508</v>
      </c>
      <c r="D488">
        <v>52.118102263765081</v>
      </c>
      <c r="E488">
        <v>-9.8818977362349187</v>
      </c>
      <c r="Q488">
        <f>SMALL(SimData!$B$9:$B$508,487)</f>
        <v>298.82843335073227</v>
      </c>
      <c r="R488">
        <f>1/(COUNT(SimData!$B$9:$B$508)-1)+$R$487</f>
        <v>0.97394789579158403</v>
      </c>
      <c r="S488">
        <f>SMALL(SimData!$C$9:$C$508,487)</f>
        <v>230.82843335073227</v>
      </c>
      <c r="T488">
        <f>1/(COUNT(SimData!$C$9:$C$508)-1)+$T$487</f>
        <v>0.97394789579158403</v>
      </c>
      <c r="U488">
        <f>SMALL(SimData!$D$9:$D$508,487)</f>
        <v>145.82843335073227</v>
      </c>
      <c r="V488">
        <f>1/(COUNT(SimData!$D$9:$D$508)-1)+$V$487</f>
        <v>0.97394789579158403</v>
      </c>
      <c r="W488">
        <f>SMALL(SimData!$E$9:$E$508,487)</f>
        <v>83.828433350732269</v>
      </c>
      <c r="X488">
        <f>1/(COUNT(SimData!$E$9:$E$508)-1)+$X$487</f>
        <v>0.97394789579158403</v>
      </c>
    </row>
    <row r="489" spans="1:24">
      <c r="A489">
        <v>481</v>
      </c>
      <c r="B489">
        <v>203.8215956275788</v>
      </c>
      <c r="C489">
        <v>135.8215956275788</v>
      </c>
      <c r="D489">
        <v>50.821595627578802</v>
      </c>
      <c r="E489">
        <v>-11.178404372421198</v>
      </c>
      <c r="Q489">
        <f>SMALL(SimData!$B$9:$B$508,488)</f>
        <v>298.86866142039059</v>
      </c>
      <c r="R489">
        <f>1/(COUNT(SimData!$B$9:$B$508)-1)+$R$488</f>
        <v>0.97595190380761609</v>
      </c>
      <c r="S489">
        <f>SMALL(SimData!$C$9:$C$508,488)</f>
        <v>230.86866142039059</v>
      </c>
      <c r="T489">
        <f>1/(COUNT(SimData!$C$9:$C$508)-1)+$T$488</f>
        <v>0.97595190380761609</v>
      </c>
      <c r="U489">
        <f>SMALL(SimData!$D$9:$D$508,488)</f>
        <v>145.86866142039059</v>
      </c>
      <c r="V489">
        <f>1/(COUNT(SimData!$D$9:$D$508)-1)+$V$488</f>
        <v>0.97595190380761609</v>
      </c>
      <c r="W489">
        <f>SMALL(SimData!$E$9:$E$508,488)</f>
        <v>83.868661420390595</v>
      </c>
      <c r="X489">
        <f>1/(COUNT(SimData!$E$9:$E$508)-1)+$X$488</f>
        <v>0.97595190380761609</v>
      </c>
    </row>
    <row r="490" spans="1:24">
      <c r="A490">
        <v>482</v>
      </c>
      <c r="B490">
        <v>227.6469700524014</v>
      </c>
      <c r="C490">
        <v>159.6469700524014</v>
      </c>
      <c r="D490">
        <v>74.6469700524014</v>
      </c>
      <c r="E490">
        <v>12.6469700524014</v>
      </c>
      <c r="Q490">
        <f>SMALL(SimData!$B$9:$B$508,489)</f>
        <v>299.05440172479615</v>
      </c>
      <c r="R490">
        <f>1/(COUNT(SimData!$B$9:$B$508)-1)+$R$489</f>
        <v>0.97795591182364816</v>
      </c>
      <c r="S490">
        <f>SMALL(SimData!$C$9:$C$508,489)</f>
        <v>231.05440172479615</v>
      </c>
      <c r="T490">
        <f>1/(COUNT(SimData!$C$9:$C$508)-1)+$T$489</f>
        <v>0.97795591182364816</v>
      </c>
      <c r="U490">
        <f>SMALL(SimData!$D$9:$D$508,489)</f>
        <v>146.05440172479615</v>
      </c>
      <c r="V490">
        <f>1/(COUNT(SimData!$D$9:$D$508)-1)+$V$489</f>
        <v>0.97795591182364816</v>
      </c>
      <c r="W490">
        <f>SMALL(SimData!$E$9:$E$508,489)</f>
        <v>84.054401724796151</v>
      </c>
      <c r="X490">
        <f>1/(COUNT(SimData!$E$9:$E$508)-1)+$X$489</f>
        <v>0.97795591182364816</v>
      </c>
    </row>
    <row r="491" spans="1:24">
      <c r="A491">
        <v>483</v>
      </c>
      <c r="B491">
        <v>341.44431236446036</v>
      </c>
      <c r="C491">
        <v>273.44431236446036</v>
      </c>
      <c r="D491">
        <v>188.44431236446036</v>
      </c>
      <c r="E491">
        <v>126.44431236446036</v>
      </c>
      <c r="Q491">
        <f>SMALL(SimData!$B$9:$B$508,490)</f>
        <v>300.53654823106484</v>
      </c>
      <c r="R491">
        <f>1/(COUNT(SimData!$B$9:$B$508)-1)+$R$490</f>
        <v>0.97995991983968023</v>
      </c>
      <c r="S491">
        <f>SMALL(SimData!$C$9:$C$508,490)</f>
        <v>232.53654823106484</v>
      </c>
      <c r="T491">
        <f>1/(COUNT(SimData!$C$9:$C$508)-1)+$T$490</f>
        <v>0.97995991983968023</v>
      </c>
      <c r="U491">
        <f>SMALL(SimData!$D$9:$D$508,490)</f>
        <v>147.53654823106484</v>
      </c>
      <c r="V491">
        <f>1/(COUNT(SimData!$D$9:$D$508)-1)+$V$490</f>
        <v>0.97995991983968023</v>
      </c>
      <c r="W491">
        <f>SMALL(SimData!$E$9:$E$508,490)</f>
        <v>85.536548231064842</v>
      </c>
      <c r="X491">
        <f>1/(COUNT(SimData!$E$9:$E$508)-1)+$X$490</f>
        <v>0.97995991983968023</v>
      </c>
    </row>
    <row r="492" spans="1:24">
      <c r="A492">
        <v>484</v>
      </c>
      <c r="B492">
        <v>193.06014367881602</v>
      </c>
      <c r="C492">
        <v>125.06014367881602</v>
      </c>
      <c r="D492">
        <v>40.060143678816019</v>
      </c>
      <c r="E492">
        <v>-21.939856321183981</v>
      </c>
      <c r="Q492">
        <f>SMALL(SimData!$B$9:$B$508,491)</f>
        <v>301.46968216619501</v>
      </c>
      <c r="R492">
        <f>1/(COUNT(SimData!$B$9:$B$508)-1)+$R$491</f>
        <v>0.98196392785571229</v>
      </c>
      <c r="S492">
        <f>SMALL(SimData!$C$9:$C$508,491)</f>
        <v>233.46968216619501</v>
      </c>
      <c r="T492">
        <f>1/(COUNT(SimData!$C$9:$C$508)-1)+$T$491</f>
        <v>0.98196392785571229</v>
      </c>
      <c r="U492">
        <f>SMALL(SimData!$D$9:$D$508,491)</f>
        <v>148.46968216619501</v>
      </c>
      <c r="V492">
        <f>1/(COUNT(SimData!$D$9:$D$508)-1)+$V$491</f>
        <v>0.98196392785571229</v>
      </c>
      <c r="W492">
        <f>SMALL(SimData!$E$9:$E$508,491)</f>
        <v>86.469682166195014</v>
      </c>
      <c r="X492">
        <f>1/(COUNT(SimData!$E$9:$E$508)-1)+$X$491</f>
        <v>0.98196392785571229</v>
      </c>
    </row>
    <row r="493" spans="1:24">
      <c r="A493">
        <v>485</v>
      </c>
      <c r="B493">
        <v>288.60502957899814</v>
      </c>
      <c r="C493">
        <v>220.60502957899814</v>
      </c>
      <c r="D493">
        <v>135.60502957899814</v>
      </c>
      <c r="E493">
        <v>73.605029578998142</v>
      </c>
      <c r="Q493">
        <f>SMALL(SimData!$B$9:$B$508,492)</f>
        <v>307.76343005304273</v>
      </c>
      <c r="R493">
        <f>1/(COUNT(SimData!$B$9:$B$508)-1)+$R$492</f>
        <v>0.98396793587174436</v>
      </c>
      <c r="S493">
        <f>SMALL(SimData!$C$9:$C$508,492)</f>
        <v>239.76343005304273</v>
      </c>
      <c r="T493">
        <f>1/(COUNT(SimData!$C$9:$C$508)-1)+$T$492</f>
        <v>0.98396793587174436</v>
      </c>
      <c r="U493">
        <f>SMALL(SimData!$D$9:$D$508,492)</f>
        <v>154.76343005304273</v>
      </c>
      <c r="V493">
        <f>1/(COUNT(SimData!$D$9:$D$508)-1)+$V$492</f>
        <v>0.98396793587174436</v>
      </c>
      <c r="W493">
        <f>SMALL(SimData!$E$9:$E$508,492)</f>
        <v>92.763430053042725</v>
      </c>
      <c r="X493">
        <f>1/(COUNT(SimData!$E$9:$E$508)-1)+$X$492</f>
        <v>0.98396793587174436</v>
      </c>
    </row>
    <row r="494" spans="1:24">
      <c r="A494">
        <v>486</v>
      </c>
      <c r="B494">
        <v>282.99895246447659</v>
      </c>
      <c r="C494">
        <v>214.99895246447659</v>
      </c>
      <c r="D494">
        <v>129.99895246447659</v>
      </c>
      <c r="E494">
        <v>67.998952464476588</v>
      </c>
      <c r="Q494">
        <f>SMALL(SimData!$B$9:$B$508,493)</f>
        <v>309.00103978372886</v>
      </c>
      <c r="R494">
        <f>1/(COUNT(SimData!$B$9:$B$508)-1)+$R$493</f>
        <v>0.98597194388777643</v>
      </c>
      <c r="S494">
        <f>SMALL(SimData!$C$9:$C$508,493)</f>
        <v>241.00103978372886</v>
      </c>
      <c r="T494">
        <f>1/(COUNT(SimData!$C$9:$C$508)-1)+$T$493</f>
        <v>0.98597194388777643</v>
      </c>
      <c r="U494">
        <f>SMALL(SimData!$D$9:$D$508,493)</f>
        <v>156.00103978372886</v>
      </c>
      <c r="V494">
        <f>1/(COUNT(SimData!$D$9:$D$508)-1)+$V$493</f>
        <v>0.98597194388777643</v>
      </c>
      <c r="W494">
        <f>SMALL(SimData!$E$9:$E$508,493)</f>
        <v>94.001039783728856</v>
      </c>
      <c r="X494">
        <f>1/(COUNT(SimData!$E$9:$E$508)-1)+$X$493</f>
        <v>0.98597194388777643</v>
      </c>
    </row>
    <row r="495" spans="1:24">
      <c r="A495">
        <v>487</v>
      </c>
      <c r="B495">
        <v>213.8566669003194</v>
      </c>
      <c r="C495">
        <v>145.8566669003194</v>
      </c>
      <c r="D495">
        <v>60.856666900319397</v>
      </c>
      <c r="E495">
        <v>-1.1433330996806035</v>
      </c>
      <c r="Q495">
        <f>SMALL(SimData!$B$9:$B$508,494)</f>
        <v>316.72235258132025</v>
      </c>
      <c r="R495">
        <f>1/(COUNT(SimData!$B$9:$B$508)-1)+$R$494</f>
        <v>0.98797595190380849</v>
      </c>
      <c r="S495">
        <f>SMALL(SimData!$C$9:$C$508,494)</f>
        <v>248.72235258132025</v>
      </c>
      <c r="T495">
        <f>1/(COUNT(SimData!$C$9:$C$508)-1)+$T$494</f>
        <v>0.98797595190380849</v>
      </c>
      <c r="U495">
        <f>SMALL(SimData!$D$9:$D$508,494)</f>
        <v>163.72235258132025</v>
      </c>
      <c r="V495">
        <f>1/(COUNT(SimData!$D$9:$D$508)-1)+$V$494</f>
        <v>0.98797595190380849</v>
      </c>
      <c r="W495">
        <f>SMALL(SimData!$E$9:$E$508,494)</f>
        <v>101.72235258132025</v>
      </c>
      <c r="X495">
        <f>1/(COUNT(SimData!$E$9:$E$508)-1)+$X$494</f>
        <v>0.98797595190380849</v>
      </c>
    </row>
    <row r="496" spans="1:24">
      <c r="A496">
        <v>488</v>
      </c>
      <c r="B496">
        <v>206.7713137335931</v>
      </c>
      <c r="C496">
        <v>138.7713137335931</v>
      </c>
      <c r="D496">
        <v>53.771313733593104</v>
      </c>
      <c r="E496">
        <v>-8.2286862664068963</v>
      </c>
      <c r="Q496">
        <f>SMALL(SimData!$B$9:$B$508,495)</f>
        <v>317.4142729527818</v>
      </c>
      <c r="R496">
        <f>1/(COUNT(SimData!$B$9:$B$508)-1)+$R$495</f>
        <v>0.98997995991984056</v>
      </c>
      <c r="S496">
        <f>SMALL(SimData!$C$9:$C$508,495)</f>
        <v>249.4142729527818</v>
      </c>
      <c r="T496">
        <f>1/(COUNT(SimData!$C$9:$C$508)-1)+$T$495</f>
        <v>0.98997995991984056</v>
      </c>
      <c r="U496">
        <f>SMALL(SimData!$D$9:$D$508,495)</f>
        <v>164.4142729527818</v>
      </c>
      <c r="V496">
        <f>1/(COUNT(SimData!$D$9:$D$508)-1)+$V$495</f>
        <v>0.98997995991984056</v>
      </c>
      <c r="W496">
        <f>SMALL(SimData!$E$9:$E$508,495)</f>
        <v>102.4142729527818</v>
      </c>
      <c r="X496">
        <f>1/(COUNT(SimData!$E$9:$E$508)-1)+$X$495</f>
        <v>0.98997995991984056</v>
      </c>
    </row>
    <row r="497" spans="1:24">
      <c r="A497">
        <v>489</v>
      </c>
      <c r="B497">
        <v>152.79861065539848</v>
      </c>
      <c r="C497">
        <v>84.798610655398477</v>
      </c>
      <c r="D497">
        <v>-0.20138934460152313</v>
      </c>
      <c r="E497">
        <v>-62.201389344601523</v>
      </c>
      <c r="Q497">
        <f>SMALL(SimData!$B$9:$B$508,496)</f>
        <v>320.75225824397444</v>
      </c>
      <c r="R497">
        <f>1/(COUNT(SimData!$B$9:$B$508)-1)+$R$496</f>
        <v>0.99198396793587262</v>
      </c>
      <c r="S497">
        <f>SMALL(SimData!$C$9:$C$508,496)</f>
        <v>252.75225824397444</v>
      </c>
      <c r="T497">
        <f>1/(COUNT(SimData!$C$9:$C$508)-1)+$T$496</f>
        <v>0.99198396793587262</v>
      </c>
      <c r="U497">
        <f>SMALL(SimData!$D$9:$D$508,496)</f>
        <v>167.75225824397444</v>
      </c>
      <c r="V497">
        <f>1/(COUNT(SimData!$D$9:$D$508)-1)+$V$496</f>
        <v>0.99198396793587262</v>
      </c>
      <c r="W497">
        <f>SMALL(SimData!$E$9:$E$508,496)</f>
        <v>105.75225824397444</v>
      </c>
      <c r="X497">
        <f>1/(COUNT(SimData!$E$9:$E$508)-1)+$X$496</f>
        <v>0.99198396793587262</v>
      </c>
    </row>
    <row r="498" spans="1:24">
      <c r="A498">
        <v>490</v>
      </c>
      <c r="B498">
        <v>211.67025472597805</v>
      </c>
      <c r="C498">
        <v>143.67025472597805</v>
      </c>
      <c r="D498">
        <v>58.670254725978054</v>
      </c>
      <c r="E498">
        <v>-3.3297452740219455</v>
      </c>
      <c r="Q498">
        <f>SMALL(SimData!$B$9:$B$508,497)</f>
        <v>322.83479268304529</v>
      </c>
      <c r="R498">
        <f>1/(COUNT(SimData!$B$9:$B$508)-1)+$R$497</f>
        <v>0.99398797595190469</v>
      </c>
      <c r="S498">
        <f>SMALL(SimData!$C$9:$C$508,497)</f>
        <v>254.83479268304529</v>
      </c>
      <c r="T498">
        <f>1/(COUNT(SimData!$C$9:$C$508)-1)+$T$497</f>
        <v>0.99398797595190469</v>
      </c>
      <c r="U498">
        <f>SMALL(SimData!$D$9:$D$508,497)</f>
        <v>169.83479268304529</v>
      </c>
      <c r="V498">
        <f>1/(COUNT(SimData!$D$9:$D$508)-1)+$V$497</f>
        <v>0.99398797595190469</v>
      </c>
      <c r="W498">
        <f>SMALL(SimData!$E$9:$E$508,497)</f>
        <v>107.83479268304529</v>
      </c>
      <c r="X498">
        <f>1/(COUNT(SimData!$E$9:$E$508)-1)+$X$497</f>
        <v>0.99398797595190469</v>
      </c>
    </row>
    <row r="499" spans="1:24">
      <c r="A499">
        <v>491</v>
      </c>
      <c r="B499">
        <v>216.02584924367005</v>
      </c>
      <c r="C499">
        <v>148.02584924367005</v>
      </c>
      <c r="D499">
        <v>63.025849243670052</v>
      </c>
      <c r="E499">
        <v>1.0258492436700521</v>
      </c>
      <c r="Q499">
        <f>SMALL(SimData!$B$9:$B$508,498)</f>
        <v>327.18860502763079</v>
      </c>
      <c r="R499">
        <f>1/(COUNT(SimData!$B$9:$B$508)-1)+$R$498</f>
        <v>0.99599198396793676</v>
      </c>
      <c r="S499">
        <f>SMALL(SimData!$C$9:$C$508,498)</f>
        <v>259.18860502763079</v>
      </c>
      <c r="T499">
        <f>1/(COUNT(SimData!$C$9:$C$508)-1)+$T$498</f>
        <v>0.99599198396793676</v>
      </c>
      <c r="U499">
        <f>SMALL(SimData!$D$9:$D$508,498)</f>
        <v>174.18860502763079</v>
      </c>
      <c r="V499">
        <f>1/(COUNT(SimData!$D$9:$D$508)-1)+$V$498</f>
        <v>0.99599198396793676</v>
      </c>
      <c r="W499">
        <f>SMALL(SimData!$E$9:$E$508,498)</f>
        <v>112.18860502763079</v>
      </c>
      <c r="X499">
        <f>1/(COUNT(SimData!$E$9:$E$508)-1)+$X$498</f>
        <v>0.99599198396793676</v>
      </c>
    </row>
    <row r="500" spans="1:24">
      <c r="A500">
        <v>492</v>
      </c>
      <c r="B500">
        <v>221.60395217112392</v>
      </c>
      <c r="C500">
        <v>153.60395217112392</v>
      </c>
      <c r="D500">
        <v>68.603952171123922</v>
      </c>
      <c r="E500">
        <v>6.6039521711239217</v>
      </c>
      <c r="Q500">
        <f>SMALL(SimData!$B$9:$B$508,499)</f>
        <v>335.09852188567618</v>
      </c>
      <c r="R500">
        <f>1/(COUNT(SimData!$B$9:$B$508)-1)+$R$499</f>
        <v>0.99799599198396882</v>
      </c>
      <c r="S500">
        <f>SMALL(SimData!$C$9:$C$508,499)</f>
        <v>267.09852188567618</v>
      </c>
      <c r="T500">
        <f>1/(COUNT(SimData!$C$9:$C$508)-1)+$T$499</f>
        <v>0.99799599198396882</v>
      </c>
      <c r="U500">
        <f>SMALL(SimData!$D$9:$D$508,499)</f>
        <v>182.09852188567618</v>
      </c>
      <c r="V500">
        <f>1/(COUNT(SimData!$D$9:$D$508)-1)+$V$499</f>
        <v>0.99799599198396882</v>
      </c>
      <c r="W500">
        <f>SMALL(SimData!$E$9:$E$508,499)</f>
        <v>120.09852188567618</v>
      </c>
      <c r="X500">
        <f>1/(COUNT(SimData!$E$9:$E$508)-1)+$X$499</f>
        <v>0.99799599198396882</v>
      </c>
    </row>
    <row r="501" spans="1:24">
      <c r="A501">
        <v>493</v>
      </c>
      <c r="B501">
        <v>212.27894676566393</v>
      </c>
      <c r="C501">
        <v>144.27894676566393</v>
      </c>
      <c r="D501">
        <v>59.278946765663932</v>
      </c>
      <c r="E501">
        <v>-2.7210532343360683</v>
      </c>
      <c r="Q501">
        <f>SMALL(SimData!$B$9:$B$508,500)</f>
        <v>341.44431236446036</v>
      </c>
      <c r="R501">
        <f>1/(COUNT(SimData!$B$9:$B$508)-1)+$R$500</f>
        <v>1.0000000000000009</v>
      </c>
      <c r="S501">
        <f>SMALL(SimData!$C$9:$C$508,500)</f>
        <v>273.44431236446036</v>
      </c>
      <c r="T501">
        <f>1/(COUNT(SimData!$C$9:$C$508)-1)+$T$500</f>
        <v>1.0000000000000009</v>
      </c>
      <c r="U501">
        <f>SMALL(SimData!$D$9:$D$508,500)</f>
        <v>188.44431236446036</v>
      </c>
      <c r="V501">
        <f>1/(COUNT(SimData!$D$9:$D$508)-1)+$V$500</f>
        <v>1.0000000000000009</v>
      </c>
      <c r="W501">
        <f>SMALL(SimData!$E$9:$E$508,500)</f>
        <v>126.44431236446036</v>
      </c>
      <c r="X501">
        <f>1/(COUNT(SimData!$E$9:$E$508)-1)+$X$500</f>
        <v>1.0000000000000009</v>
      </c>
    </row>
    <row r="502" spans="1:24">
      <c r="A502">
        <v>494</v>
      </c>
      <c r="B502">
        <v>170.01261283562241</v>
      </c>
      <c r="C502">
        <v>102.01261283562241</v>
      </c>
      <c r="D502">
        <v>17.012612835622406</v>
      </c>
      <c r="E502">
        <v>-44.987387164377594</v>
      </c>
    </row>
    <row r="503" spans="1:24">
      <c r="A503">
        <v>495</v>
      </c>
      <c r="B503">
        <v>227.54858859703938</v>
      </c>
      <c r="C503">
        <v>159.54858859703938</v>
      </c>
      <c r="D503">
        <v>74.548588597039384</v>
      </c>
      <c r="E503">
        <v>12.548588597039384</v>
      </c>
    </row>
    <row r="504" spans="1:24">
      <c r="A504">
        <v>496</v>
      </c>
      <c r="B504">
        <v>209.80260958052412</v>
      </c>
      <c r="C504">
        <v>141.80260958052412</v>
      </c>
      <c r="D504">
        <v>56.80260958052412</v>
      </c>
      <c r="E504">
        <v>-5.1973904194758802</v>
      </c>
    </row>
    <row r="505" spans="1:24">
      <c r="A505">
        <v>497</v>
      </c>
      <c r="B505">
        <v>136.74403845328078</v>
      </c>
      <c r="C505">
        <v>68.74403845328078</v>
      </c>
      <c r="D505">
        <v>-16.25596154671922</v>
      </c>
      <c r="E505">
        <v>-78.25596154671922</v>
      </c>
    </row>
    <row r="506" spans="1:24">
      <c r="A506">
        <v>498</v>
      </c>
      <c r="B506">
        <v>222.47186229114533</v>
      </c>
      <c r="C506">
        <v>154.47186229114533</v>
      </c>
      <c r="D506">
        <v>69.471862291145328</v>
      </c>
      <c r="E506">
        <v>7.4718622911453281</v>
      </c>
    </row>
    <row r="507" spans="1:24">
      <c r="A507">
        <v>499</v>
      </c>
      <c r="B507">
        <v>297.93661323068523</v>
      </c>
      <c r="C507">
        <v>229.93661323068523</v>
      </c>
      <c r="D507">
        <v>144.93661323068523</v>
      </c>
      <c r="E507">
        <v>82.936613230685225</v>
      </c>
    </row>
    <row r="508" spans="1:24">
      <c r="A508">
        <v>500</v>
      </c>
      <c r="B508">
        <v>140.82152883534593</v>
      </c>
      <c r="C508">
        <v>72.82152883534593</v>
      </c>
      <c r="D508">
        <v>-12.17847116465407</v>
      </c>
      <c r="E508">
        <v>-74.17847116465407</v>
      </c>
    </row>
    <row r="510" spans="1:24">
      <c r="A510" t="s">
        <v>33</v>
      </c>
    </row>
    <row r="511" spans="1:24">
      <c r="A511" t="s">
        <v>34</v>
      </c>
      <c r="B511" t="str">
        <f>IF(ISBLANK($B510)=TRUE,"",_xll.EDF(B9:B508,$B510))</f>
        <v/>
      </c>
      <c r="C511" t="str">
        <f>IF(ISBLANK($C510)=TRUE,"",_xll.EDF(C9:C508,$C510))</f>
        <v/>
      </c>
      <c r="D511" t="str">
        <f>IF(ISBLANK($D510)=TRUE,"",_xll.EDF(D9:D508,$D510))</f>
        <v/>
      </c>
      <c r="E511" t="str">
        <f>IF(ISBLANK($E510)=TRUE,"",_xll.EDF(E9:E508,$E510))</f>
        <v/>
      </c>
    </row>
    <row r="512" spans="1:24">
      <c r="A512" t="s">
        <v>35</v>
      </c>
    </row>
    <row r="513" spans="1:5">
      <c r="A513" t="s">
        <v>36</v>
      </c>
      <c r="B513" t="str">
        <f>IF(ISBLANK($B512)=TRUE,"",_xll.EDF(B9:B508,$B512))</f>
        <v/>
      </c>
      <c r="C513" t="str">
        <f>IF(ISBLANK($C512)=TRUE,"",_xll.EDF(C9:C508,$C512))</f>
        <v/>
      </c>
      <c r="D513" t="str">
        <f>IF(ISBLANK($D512)=TRUE,"",_xll.EDF(D9:D508,$D512))</f>
        <v/>
      </c>
      <c r="E513" t="str">
        <f>IF(ISBLANK($E512)=TRUE,"",_xll.EDF(E9:E508,$E512))</f>
        <v/>
      </c>
    </row>
    <row r="514" spans="1:5">
      <c r="A514" t="s">
        <v>37</v>
      </c>
    </row>
    <row r="515" spans="1:5">
      <c r="A515" t="s">
        <v>38</v>
      </c>
      <c r="B515" t="str">
        <f>IF(ISBLANK($B514)=TRUE,"",_xll.EDF(B9:B508,$B514))</f>
        <v/>
      </c>
      <c r="C515" t="str">
        <f>IF(ISBLANK($C514)=TRUE,"",_xll.EDF(C9:C508,$C514))</f>
        <v/>
      </c>
      <c r="D515" t="str">
        <f>IF(ISBLANK($D514)=TRUE,"",_xll.EDF(D9:D508,$D514))</f>
        <v/>
      </c>
      <c r="E515" t="str">
        <f>IF(ISBLANK($E514)=TRUE,"",_xll.EDF(E9:E508,$E514))</f>
        <v/>
      </c>
    </row>
    <row r="516" spans="1:5">
      <c r="A516" t="s">
        <v>39</v>
      </c>
    </row>
    <row r="517" spans="1:5">
      <c r="A517" t="s">
        <v>40</v>
      </c>
      <c r="B517" t="str">
        <f>IF(ISBLANK($B516)=TRUE,"",_xll.EDF(B9:B508,$B516))</f>
        <v/>
      </c>
      <c r="C517" t="str">
        <f>IF(ISBLANK($C516)=TRUE,"",_xll.EDF(C9:C508,$C516))</f>
        <v/>
      </c>
      <c r="D517" t="str">
        <f>IF(ISBLANK($D516)=TRUE,"",_xll.EDF(D9:D508,$D516))</f>
        <v/>
      </c>
      <c r="E517" t="str">
        <f>IF(ISBLANK($E516)=TRUE,"",_xll.EDF(E9:E508,$E516))</f>
        <v/>
      </c>
    </row>
    <row r="518" spans="1:5">
      <c r="A518" t="s">
        <v>41</v>
      </c>
    </row>
    <row r="519" spans="1:5">
      <c r="A519" t="s">
        <v>42</v>
      </c>
      <c r="B519" t="str">
        <f>IF(ISBLANK($B518)=TRUE,"",_xll.EDF(B9:B508,$B518))</f>
        <v/>
      </c>
      <c r="C519" t="str">
        <f>IF(ISBLANK($C518)=TRUE,"",_xll.EDF(C9:C508,$C518))</f>
        <v/>
      </c>
      <c r="D519" t="str">
        <f>IF(ISBLANK($D518)=TRUE,"",_xll.EDF(D9:D508,$D518))</f>
        <v/>
      </c>
      <c r="E519" t="str">
        <f>IF(ISBLANK($E518)=TRUE,"",_xll.EDF(E9:E508,$E518))</f>
        <v/>
      </c>
    </row>
  </sheetData>
  <sheetCalcPr fullCalcOnLoad="1"/>
  <phoneticPr fontId="1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6"/>
  <sheetViews>
    <sheetView tabSelected="1" workbookViewId="0">
      <selection activeCell="A2" sqref="A2"/>
    </sheetView>
  </sheetViews>
  <sheetFormatPr defaultRowHeight="12.75"/>
  <cols>
    <col min="1" max="1" width="23.5703125" style="1" customWidth="1"/>
    <col min="2" max="2" width="10" customWidth="1"/>
    <col min="3" max="3" width="20.85546875" customWidth="1"/>
    <col min="4" max="7" width="10" customWidth="1"/>
  </cols>
  <sheetData>
    <row r="1" spans="1:13">
      <c r="A1" s="1" t="str">
        <f ca="1">_xll.WBNAME()</f>
        <v>Scenarios Demo.xlsx</v>
      </c>
    </row>
    <row r="2" spans="1:13" ht="15.75">
      <c r="A2" s="19" t="s">
        <v>48</v>
      </c>
      <c r="I2" s="17" t="s">
        <v>25</v>
      </c>
      <c r="J2" s="1"/>
      <c r="K2" s="1"/>
      <c r="L2" s="1"/>
    </row>
    <row r="3" spans="1:13" ht="15.75">
      <c r="B3" s="1" t="s">
        <v>14</v>
      </c>
      <c r="D3" s="1" t="s">
        <v>15</v>
      </c>
      <c r="E3" s="1"/>
      <c r="F3" s="1"/>
      <c r="G3" s="1"/>
      <c r="H3" s="1"/>
      <c r="I3" s="17" t="s">
        <v>26</v>
      </c>
    </row>
    <row r="4" spans="1:13" ht="16.5" thickBot="1">
      <c r="A4" s="1" t="s">
        <v>0</v>
      </c>
      <c r="B4" s="7" t="s">
        <v>20</v>
      </c>
      <c r="D4" s="7" t="s">
        <v>16</v>
      </c>
      <c r="E4" s="7" t="s">
        <v>17</v>
      </c>
      <c r="F4" s="7" t="s">
        <v>18</v>
      </c>
      <c r="G4" s="7"/>
      <c r="H4" s="7"/>
      <c r="I4" s="17" t="s">
        <v>27</v>
      </c>
    </row>
    <row r="5" spans="1:13">
      <c r="A5" s="4" t="s">
        <v>1</v>
      </c>
      <c r="B5" s="6">
        <f ca="1">_xll.GRKS(D5,E5,F5)</f>
        <v>2.31468110698472</v>
      </c>
      <c r="C5" t="str">
        <f ca="1">_xll.VFORMULA(B5)</f>
        <v>=GRKS(D5,E5,F5)</v>
      </c>
      <c r="D5" s="8">
        <v>1.9</v>
      </c>
      <c r="E5" s="9">
        <v>2</v>
      </c>
      <c r="F5" s="10">
        <v>2.5</v>
      </c>
    </row>
    <row r="6" spans="1:13" ht="13.5" thickBot="1">
      <c r="A6" s="4" t="s">
        <v>2</v>
      </c>
      <c r="B6" s="6">
        <f ca="1">_xll.GRKS(D6,E6,F6)</f>
        <v>158.11646683507701</v>
      </c>
      <c r="C6" t="str">
        <f ca="1">_xll.VFORMULA(B6)</f>
        <v>=GRKS(D6,E6,F6)</v>
      </c>
      <c r="D6" s="11">
        <v>125</v>
      </c>
      <c r="E6" s="12">
        <v>166</v>
      </c>
      <c r="F6" s="13">
        <v>192</v>
      </c>
      <c r="L6" s="6"/>
    </row>
    <row r="7" spans="1:13">
      <c r="A7" s="5" t="s">
        <v>0</v>
      </c>
      <c r="B7" s="6">
        <f ca="1">B6*B5</f>
        <v>365.9891984863288</v>
      </c>
      <c r="M7" s="1"/>
    </row>
    <row r="8" spans="1:13">
      <c r="A8" s="2"/>
    </row>
    <row r="9" spans="1:13" ht="13.5" thickBot="1">
      <c r="A9" s="1" t="s">
        <v>3</v>
      </c>
      <c r="D9" t="s">
        <v>21</v>
      </c>
      <c r="E9" t="s">
        <v>22</v>
      </c>
      <c r="F9" t="s">
        <v>23</v>
      </c>
      <c r="G9" t="s">
        <v>24</v>
      </c>
    </row>
    <row r="10" spans="1:13">
      <c r="A10" s="4" t="s">
        <v>4</v>
      </c>
      <c r="B10" s="6">
        <f ca="1">_xll.SCENARIO(D10:G10)</f>
        <v>30</v>
      </c>
      <c r="C10" t="str">
        <f ca="1">_xll.VFORMULA(B10)</f>
        <v>=SCENARIO(D10:G10)</v>
      </c>
      <c r="D10" s="8">
        <v>30</v>
      </c>
      <c r="E10" s="9">
        <v>40</v>
      </c>
      <c r="F10" s="9">
        <v>50</v>
      </c>
      <c r="G10" s="10">
        <v>60</v>
      </c>
    </row>
    <row r="11" spans="1:13">
      <c r="A11" s="4" t="s">
        <v>5</v>
      </c>
      <c r="B11" s="6">
        <f ca="1">_xll.SCENARIO(D11:G11)</f>
        <v>30</v>
      </c>
      <c r="C11" t="str">
        <f ca="1">_xll.VFORMULA(B11)</f>
        <v>=SCENARIO(D11:G11)</v>
      </c>
      <c r="D11" s="14">
        <v>30</v>
      </c>
      <c r="E11" s="15">
        <v>40</v>
      </c>
      <c r="F11" s="15">
        <v>70</v>
      </c>
      <c r="G11" s="16">
        <v>80</v>
      </c>
    </row>
    <row r="12" spans="1:13">
      <c r="A12" s="4" t="s">
        <v>6</v>
      </c>
      <c r="B12" s="6">
        <f ca="1">_xll.SCENARIO(D12:G12)</f>
        <v>10</v>
      </c>
      <c r="C12" t="str">
        <f ca="1">_xll.VFORMULA(B12)</f>
        <v>=SCENARIO(D12:G12)</v>
      </c>
      <c r="D12" s="14">
        <v>10</v>
      </c>
      <c r="E12" s="15">
        <v>20</v>
      </c>
      <c r="F12" s="15">
        <v>30</v>
      </c>
      <c r="G12" s="16">
        <v>35</v>
      </c>
    </row>
    <row r="13" spans="1:13">
      <c r="A13" s="4" t="s">
        <v>7</v>
      </c>
      <c r="B13" s="6">
        <f ca="1">_xll.SCENARIO(D13:G13)</f>
        <v>2</v>
      </c>
      <c r="C13" t="str">
        <f ca="1">_xll.VFORMULA(B13)</f>
        <v>=SCENARIO(D13:G13)</v>
      </c>
      <c r="D13" s="14">
        <v>2</v>
      </c>
      <c r="E13" s="15">
        <v>3</v>
      </c>
      <c r="F13" s="15">
        <v>10</v>
      </c>
      <c r="G13" s="16">
        <v>15</v>
      </c>
    </row>
    <row r="14" spans="1:13">
      <c r="A14" s="4" t="s">
        <v>8</v>
      </c>
      <c r="B14" s="6">
        <f ca="1">_xll.SCENARIO(D14:G14)</f>
        <v>2</v>
      </c>
      <c r="C14" t="str">
        <f ca="1">_xll.VFORMULA(B14)</f>
        <v>=SCENARIO(D14:G14)</v>
      </c>
      <c r="D14" s="14">
        <v>2</v>
      </c>
      <c r="E14" s="15">
        <v>4</v>
      </c>
      <c r="F14" s="15">
        <v>6</v>
      </c>
      <c r="G14" s="16">
        <v>8</v>
      </c>
    </row>
    <row r="15" spans="1:13">
      <c r="A15" s="4" t="s">
        <v>10</v>
      </c>
      <c r="B15" s="6">
        <f ca="1">_xll.SCENARIO(D15:G15)</f>
        <v>4</v>
      </c>
      <c r="C15" t="str">
        <f ca="1">_xll.VFORMULA(B15)</f>
        <v>=SCENARIO(D15:G15)</v>
      </c>
      <c r="D15" s="14">
        <v>4</v>
      </c>
      <c r="E15" s="15">
        <v>5</v>
      </c>
      <c r="F15" s="15">
        <v>10</v>
      </c>
      <c r="G15" s="16">
        <v>15</v>
      </c>
    </row>
    <row r="16" spans="1:13">
      <c r="A16" s="4" t="s">
        <v>9</v>
      </c>
      <c r="B16" s="6">
        <f ca="1">_xll.SCENARIO(D16:G16)</f>
        <v>15</v>
      </c>
      <c r="C16" t="str">
        <f ca="1">_xll.VFORMULA(B16)</f>
        <v>=SCENARIO(D16:G16)</v>
      </c>
      <c r="D16" s="14">
        <v>15</v>
      </c>
      <c r="E16" s="15">
        <v>19</v>
      </c>
      <c r="F16" s="15">
        <v>25</v>
      </c>
      <c r="G16" s="16">
        <v>30</v>
      </c>
    </row>
    <row r="17" spans="1:7">
      <c r="A17" s="4" t="s">
        <v>19</v>
      </c>
      <c r="B17" s="6"/>
      <c r="C17" s="6">
        <f ca="1">_xll.SCENARIO(D17:G17)</f>
        <v>0.1</v>
      </c>
      <c r="D17" s="14">
        <v>0.1</v>
      </c>
      <c r="E17" s="15">
        <v>0.2</v>
      </c>
      <c r="F17" s="15">
        <v>0.3</v>
      </c>
      <c r="G17" s="16">
        <v>0.4</v>
      </c>
    </row>
    <row r="18" spans="1:7">
      <c r="A18" s="4" t="s">
        <v>13</v>
      </c>
      <c r="B18" s="6">
        <f ca="1">_xll.SCENARIO(D18:G18)</f>
        <v>25</v>
      </c>
      <c r="C18" t="str">
        <f ca="1">_xll.VFORMULA(B18)</f>
        <v>=SCENARIO(D18:G18)</v>
      </c>
      <c r="D18" s="14">
        <v>25</v>
      </c>
      <c r="E18" s="15">
        <v>50</v>
      </c>
      <c r="F18" s="15">
        <v>60</v>
      </c>
      <c r="G18" s="16">
        <v>70</v>
      </c>
    </row>
    <row r="19" spans="1:7" ht="13.5" thickBot="1">
      <c r="A19" s="4" t="s">
        <v>11</v>
      </c>
      <c r="B19" s="6">
        <f ca="1">_xll.SCENARIO(D19:G19)</f>
        <v>10</v>
      </c>
      <c r="C19" t="str">
        <f ca="1">_xll.VFORMULA(B19)</f>
        <v>=SCENARIO(D19:G19)</v>
      </c>
      <c r="D19" s="11">
        <v>10</v>
      </c>
      <c r="E19" s="12">
        <v>15</v>
      </c>
      <c r="F19" s="12">
        <v>20</v>
      </c>
      <c r="G19" s="13">
        <v>30</v>
      </c>
    </row>
    <row r="20" spans="1:7">
      <c r="A20" s="5" t="s">
        <v>12</v>
      </c>
      <c r="B20" s="6">
        <f ca="1">SUM(B10:B19)</f>
        <v>128</v>
      </c>
      <c r="C20" t="str">
        <f ca="1">_xll.VFORMULA(B20)</f>
        <v>=SUM(B10:B19)</v>
      </c>
    </row>
    <row r="21" spans="1:7">
      <c r="A21" s="2"/>
      <c r="C21" t="str">
        <f ca="1">_xll.VFORMULA(B21)</f>
        <v/>
      </c>
    </row>
    <row r="22" spans="1:7">
      <c r="A22" s="18" t="s">
        <v>43</v>
      </c>
      <c r="B22" s="6">
        <f ca="1">B7-B20</f>
        <v>237.9891984863288</v>
      </c>
      <c r="C22" t="str">
        <f ca="1">_xll.VFORMULA(B22)</f>
        <v>=B7-B20</v>
      </c>
    </row>
    <row r="23" spans="1:7">
      <c r="C23" t="str">
        <f ca="1">_xll.VFORMULA(B23)</f>
        <v/>
      </c>
    </row>
    <row r="24" spans="1:7">
      <c r="C24" t="str">
        <f ca="1">_xll.VFORMULA(B24)</f>
        <v/>
      </c>
    </row>
    <row r="42" spans="1:1">
      <c r="A42" s="3"/>
    </row>
    <row r="43" spans="1:1">
      <c r="A43" s="3"/>
    </row>
    <row r="44" spans="1:1">
      <c r="A44" s="3"/>
    </row>
    <row r="45" spans="1:1">
      <c r="A45" s="3"/>
    </row>
    <row r="46" spans="1:1">
      <c r="A46" s="3"/>
    </row>
  </sheetData>
  <phoneticPr fontId="1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SimData</vt:lpstr>
      <vt:lpstr>Budget</vt:lpstr>
      <vt:lpstr>Budget!OLE_LINK15</vt:lpstr>
    </vt:vector>
  </TitlesOfParts>
  <Company>Agricultural &amp; Food Policy Center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W. Richardson</dc:creator>
  <cp:lastModifiedBy>James W. Richardson</cp:lastModifiedBy>
  <dcterms:created xsi:type="dcterms:W3CDTF">2005-07-18T01:37:25Z</dcterms:created>
  <dcterms:modified xsi:type="dcterms:W3CDTF">2011-02-07T04:49:08Z</dcterms:modified>
</cp:coreProperties>
</file>