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5870" windowHeight="8700" activeTab="1"/>
  </bookViews>
  <sheets>
    <sheet name="SimData" sheetId="1" r:id="rId1"/>
    <sheet name="Sheet1" sheetId="2" r:id="rId2"/>
  </sheets>
  <calcPr calcId="125725" iterateDelta="1E-4"/>
</workbook>
</file>

<file path=xl/calcChain.xml><?xml version="1.0" encoding="utf-8"?>
<calcChain xmlns="http://schemas.openxmlformats.org/spreadsheetml/2006/main">
  <c r="I14" i="2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0"/>
  <c r="I5"/>
  <c r="G7"/>
  <c r="G6"/>
  <c r="G12"/>
  <c r="G5"/>
  <c r="G9" i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C6" i="2"/>
  <c r="I12" s="1"/>
  <c r="C7"/>
  <c r="C8"/>
  <c r="C9"/>
  <c r="C10"/>
  <c r="C11"/>
  <c r="C12"/>
  <c r="C13"/>
  <c r="C14"/>
  <c r="B3" i="1"/>
  <c r="B4"/>
  <c r="B5" s="1"/>
  <c r="B6"/>
  <c r="B8"/>
  <c r="B7"/>
  <c r="B111"/>
  <c r="B113"/>
  <c r="B115"/>
  <c r="B117"/>
  <c r="B119"/>
  <c r="D6" i="2"/>
  <c r="D8"/>
  <c r="D10"/>
  <c r="D14"/>
  <c r="G8"/>
  <c r="H12"/>
  <c r="I8"/>
  <c r="J105"/>
  <c r="J97"/>
  <c r="J89"/>
  <c r="J81"/>
  <c r="J73"/>
  <c r="J65"/>
  <c r="J57"/>
  <c r="J49"/>
  <c r="J41"/>
  <c r="J33"/>
  <c r="J25"/>
  <c r="J17"/>
  <c r="I11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G13"/>
  <c r="H13" s="1"/>
  <c r="G11"/>
  <c r="H11" s="1"/>
  <c r="D9"/>
  <c r="D13"/>
  <c r="B2" i="1"/>
  <c r="J112" i="2"/>
  <c r="J104"/>
  <c r="J96"/>
  <c r="J88"/>
  <c r="J80"/>
  <c r="J72"/>
  <c r="J64"/>
  <c r="J56"/>
  <c r="J48"/>
  <c r="J40"/>
  <c r="J32"/>
  <c r="J24"/>
  <c r="J16"/>
  <c r="J11"/>
  <c r="A1"/>
  <c r="D7"/>
  <c r="D12"/>
  <c r="C30"/>
  <c r="J109"/>
  <c r="J101"/>
  <c r="J93"/>
  <c r="J85"/>
  <c r="J77"/>
  <c r="J69"/>
  <c r="J61"/>
  <c r="J53"/>
  <c r="J45"/>
  <c r="J37"/>
  <c r="J29"/>
  <c r="J21"/>
  <c r="I13"/>
  <c r="J13" s="1"/>
  <c r="D11"/>
  <c r="J20"/>
  <c r="J28"/>
  <c r="J36"/>
  <c r="J44"/>
  <c r="J52"/>
  <c r="J60"/>
  <c r="J68"/>
  <c r="J76"/>
  <c r="J84"/>
  <c r="J92"/>
  <c r="J100"/>
  <c r="J108"/>
  <c r="J12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B30" s="1"/>
  <c r="G14" l="1"/>
  <c r="H14"/>
  <c r="G15" l="1"/>
  <c r="H15"/>
  <c r="G16" l="1"/>
  <c r="H16"/>
  <c r="G17" l="1"/>
  <c r="H17"/>
  <c r="G18" l="1"/>
  <c r="H18"/>
  <c r="G19" l="1"/>
  <c r="H19"/>
  <c r="G20" l="1"/>
  <c r="H20"/>
  <c r="G21" l="1"/>
  <c r="H21"/>
  <c r="G22" l="1"/>
  <c r="H22"/>
  <c r="G23" l="1"/>
  <c r="H23"/>
  <c r="G24" l="1"/>
  <c r="H24"/>
  <c r="G25" l="1"/>
  <c r="H25"/>
  <c r="G26" l="1"/>
  <c r="H26"/>
  <c r="G27" l="1"/>
  <c r="H27"/>
  <c r="G28" l="1"/>
  <c r="H28"/>
  <c r="G29" l="1"/>
  <c r="H29"/>
  <c r="G30" l="1"/>
  <c r="H30"/>
  <c r="G31" l="1"/>
  <c r="H31"/>
  <c r="G32" l="1"/>
  <c r="H32"/>
  <c r="G33" l="1"/>
  <c r="H33"/>
  <c r="G34" l="1"/>
  <c r="H34"/>
  <c r="G35" l="1"/>
  <c r="H35"/>
  <c r="G36" l="1"/>
  <c r="H36"/>
  <c r="G37" l="1"/>
  <c r="H37"/>
  <c r="G38" l="1"/>
  <c r="H38"/>
  <c r="G39" l="1"/>
  <c r="H39"/>
  <c r="G40" l="1"/>
  <c r="H40"/>
  <c r="G41" l="1"/>
  <c r="H41"/>
  <c r="G42" l="1"/>
  <c r="H42"/>
  <c r="G43" l="1"/>
  <c r="H43"/>
  <c r="G44" l="1"/>
  <c r="H44"/>
  <c r="G45" l="1"/>
  <c r="H45"/>
  <c r="G46" l="1"/>
  <c r="H46"/>
  <c r="G47" l="1"/>
  <c r="H47"/>
  <c r="G48" l="1"/>
  <c r="H48"/>
  <c r="G49" l="1"/>
  <c r="H49"/>
  <c r="G50" l="1"/>
  <c r="H50"/>
  <c r="G51" l="1"/>
  <c r="H51"/>
  <c r="G52" l="1"/>
  <c r="H52"/>
  <c r="G53" l="1"/>
  <c r="H53"/>
  <c r="G54" l="1"/>
  <c r="H54"/>
  <c r="G55" l="1"/>
  <c r="H55"/>
  <c r="G56" l="1"/>
  <c r="H56"/>
  <c r="G57" l="1"/>
  <c r="H57"/>
  <c r="G58" l="1"/>
  <c r="H58"/>
  <c r="G59" l="1"/>
  <c r="H59"/>
  <c r="G60" l="1"/>
  <c r="H60"/>
  <c r="G61" l="1"/>
  <c r="H61"/>
  <c r="G62" l="1"/>
  <c r="H62"/>
  <c r="G63" l="1"/>
  <c r="H63"/>
  <c r="G64" l="1"/>
  <c r="H64"/>
  <c r="G65" l="1"/>
  <c r="H65"/>
  <c r="G66" l="1"/>
  <c r="H66"/>
  <c r="G67" l="1"/>
  <c r="H67"/>
  <c r="G68" l="1"/>
  <c r="H68"/>
  <c r="G69" l="1"/>
  <c r="H69"/>
  <c r="G70" l="1"/>
  <c r="H70"/>
  <c r="G71" l="1"/>
  <c r="H71"/>
  <c r="G72" l="1"/>
  <c r="H72"/>
  <c r="G73" l="1"/>
  <c r="H73"/>
  <c r="G74" l="1"/>
  <c r="H74"/>
  <c r="G75" l="1"/>
  <c r="H75"/>
  <c r="G76" l="1"/>
  <c r="H76"/>
  <c r="G77" l="1"/>
  <c r="H77"/>
  <c r="G78" l="1"/>
  <c r="H78"/>
  <c r="G79" l="1"/>
  <c r="H79"/>
  <c r="G80" l="1"/>
  <c r="H80"/>
  <c r="G81" l="1"/>
  <c r="H81"/>
  <c r="G82" l="1"/>
  <c r="H82"/>
  <c r="G83" l="1"/>
  <c r="H83"/>
  <c r="G84" l="1"/>
  <c r="H84"/>
  <c r="G85" l="1"/>
  <c r="H85"/>
  <c r="G86" l="1"/>
  <c r="H86"/>
  <c r="G87" l="1"/>
  <c r="H87"/>
  <c r="G88" l="1"/>
  <c r="H88"/>
  <c r="G89" l="1"/>
  <c r="H89"/>
  <c r="G90" l="1"/>
  <c r="H90"/>
  <c r="G91" l="1"/>
  <c r="H91"/>
  <c r="G92" l="1"/>
  <c r="H92"/>
  <c r="G93" l="1"/>
  <c r="H93"/>
  <c r="G94" l="1"/>
  <c r="H94"/>
  <c r="G95" l="1"/>
  <c r="H95"/>
  <c r="G96" l="1"/>
  <c r="H96"/>
  <c r="G97" l="1"/>
  <c r="H97"/>
  <c r="G98" l="1"/>
  <c r="H98"/>
  <c r="G99" l="1"/>
  <c r="H99"/>
  <c r="G100" l="1"/>
  <c r="H100"/>
  <c r="G101" l="1"/>
  <c r="H101"/>
  <c r="G102" l="1"/>
  <c r="H102"/>
  <c r="G103" l="1"/>
  <c r="H103"/>
  <c r="G104" l="1"/>
  <c r="H104"/>
  <c r="G105" l="1"/>
  <c r="H105"/>
  <c r="G106" l="1"/>
  <c r="H106"/>
  <c r="G107" l="1"/>
  <c r="H107"/>
  <c r="G108" l="1"/>
  <c r="H108"/>
  <c r="G109" l="1"/>
  <c r="H109"/>
  <c r="G110" l="1"/>
  <c r="H110"/>
  <c r="G111" l="1"/>
  <c r="H111"/>
  <c r="G112" l="1"/>
  <c r="H112"/>
  <c r="G113" l="1"/>
  <c r="H113"/>
</calcChain>
</file>

<file path=xl/sharedStrings.xml><?xml version="1.0" encoding="utf-8"?>
<sst xmlns="http://schemas.openxmlformats.org/spreadsheetml/2006/main" count="51" uniqueCount="51">
  <si>
    <t>James W Richardson</t>
  </si>
  <si>
    <t>Obs</t>
  </si>
  <si>
    <t>Mean</t>
  </si>
  <si>
    <t>StDev</t>
  </si>
  <si>
    <t>CV</t>
  </si>
  <si>
    <t>Min</t>
  </si>
  <si>
    <t>Max</t>
  </si>
  <si>
    <t>CDF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</si>
  <si>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</si>
  <si>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</si>
  <si>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</si>
  <si>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</si>
  <si>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</si>
  <si>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</si>
  <si>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</si>
  <si>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</si>
  <si>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</si>
  <si>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Histogram</t>
  </si>
  <si>
    <t>Smoothed</t>
  </si>
  <si>
    <t>Actual Data</t>
  </si>
  <si>
    <t>Steps to follow:</t>
  </si>
  <si>
    <t>Create a duplicate vector of the Actual Data, title Smoothed</t>
  </si>
  <si>
    <t>Draw a CDF with both vectors, Actual Data and Smoothed</t>
  </si>
  <si>
    <t>Change the Kernel option for the Actual CDF to Histogram</t>
  </si>
  <si>
    <t xml:space="preserve">   See the CDF menu below to see an example of drawing two CDFs</t>
  </si>
  <si>
    <t xml:space="preserve">   The cell G9 is a drop down list of the Kernels you can use</t>
  </si>
  <si>
    <t>Change the Start and End values for the Smoothed CDF in I6 and I7</t>
  </si>
  <si>
    <t xml:space="preserve">   The End should be the highest possible value based on experts</t>
  </si>
  <si>
    <t xml:space="preserve">   The Start should be the lowest possible value based on experts</t>
  </si>
  <si>
    <t xml:space="preserve">Change the F(x) values for the Smoothed CDF </t>
  </si>
  <si>
    <t xml:space="preserve">    The first F(x) must be zero in cell J14</t>
  </si>
  <si>
    <t xml:space="preserve">    The last F(x) must be one in cell J113</t>
  </si>
  <si>
    <t xml:space="preserve">   As an example I entered a 8 and 50 for Start and End</t>
  </si>
  <si>
    <t>Simulate the Gaussian Smoothed Kernel as and Empirical distribution</t>
  </si>
  <si>
    <t xml:space="preserve">Stochastic </t>
  </si>
  <si>
    <t>Variable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</si>
  <si>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</si>
  <si>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</si>
  <si>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</si>
  <si>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</si>
  <si>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</si>
  <si>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</si>
  <si>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</si>
  <si>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</si>
  <si>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</si>
  <si>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</si>
  <si>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</si>
  <si>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10:14:41 PM 11/26/2005 (0.23 sec.).  © 2005.</t>
  </si>
  <si>
    <t>Check out the CDF of the simulated data in SimData</t>
  </si>
  <si>
    <t>CDFProb.</t>
  </si>
  <si>
    <t>© 2011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</si>
</sst>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091602661233467"/>
          <c:y val="3.198883722867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54743617495277"/>
          <c:y val="0.17860434119343771"/>
          <c:w val="0.82453428835419773"/>
          <c:h val="0.61045364378055578"/>
        </c:manualLayout>
      </c:layout>
      <c:scatterChart>
        <c:scatterStyle val="smoothMarker"/>
        <c:ser>
          <c:idx val="0"/>
          <c:order val="0"/>
          <c:tx>
            <c:strRef>
              <c:f>SimData!$F$7</c:f>
              <c:strCache>
                <c:ptCount val="1"/>
                <c:pt idx="0">
                  <c:v>Stochastic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SimData!$F$8:$F$107</c:f>
              <c:numCache>
                <c:formatCode>General</c:formatCode>
                <c:ptCount val="100"/>
                <c:pt idx="0">
                  <c:v>8.1958591130899396</c:v>
                </c:pt>
                <c:pt idx="1">
                  <c:v>8.3701284424352203</c:v>
                </c:pt>
                <c:pt idx="2">
                  <c:v>10.970991550023589</c:v>
                </c:pt>
                <c:pt idx="3">
                  <c:v>12.205514464974383</c:v>
                </c:pt>
                <c:pt idx="4">
                  <c:v>12.92310290276531</c:v>
                </c:pt>
                <c:pt idx="5">
                  <c:v>14.503623795927162</c:v>
                </c:pt>
                <c:pt idx="6">
                  <c:v>14.723974756828028</c:v>
                </c:pt>
                <c:pt idx="7">
                  <c:v>16.167166283056208</c:v>
                </c:pt>
                <c:pt idx="8">
                  <c:v>17.036898879588559</c:v>
                </c:pt>
                <c:pt idx="9">
                  <c:v>17.573595761146354</c:v>
                </c:pt>
                <c:pt idx="10">
                  <c:v>18.290462115476224</c:v>
                </c:pt>
                <c:pt idx="11">
                  <c:v>19.415919956512646</c:v>
                </c:pt>
                <c:pt idx="12">
                  <c:v>19.909442991711064</c:v>
                </c:pt>
                <c:pt idx="13">
                  <c:v>20.758996097153574</c:v>
                </c:pt>
                <c:pt idx="14">
                  <c:v>21.470406058432502</c:v>
                </c:pt>
                <c:pt idx="15">
                  <c:v>21.872307984904477</c:v>
                </c:pt>
                <c:pt idx="16">
                  <c:v>22.470119874560741</c:v>
                </c:pt>
                <c:pt idx="17">
                  <c:v>23.432113730102149</c:v>
                </c:pt>
                <c:pt idx="18">
                  <c:v>23.602482635797003</c:v>
                </c:pt>
                <c:pt idx="19">
                  <c:v>24.391233538107656</c:v>
                </c:pt>
                <c:pt idx="20">
                  <c:v>24.562117996402854</c:v>
                </c:pt>
                <c:pt idx="21">
                  <c:v>25.093747977749619</c:v>
                </c:pt>
                <c:pt idx="22">
                  <c:v>25.618824845204045</c:v>
                </c:pt>
                <c:pt idx="23">
                  <c:v>25.951173637077346</c:v>
                </c:pt>
                <c:pt idx="24">
                  <c:v>26.480488538459767</c:v>
                </c:pt>
                <c:pt idx="25">
                  <c:v>26.758276955207315</c:v>
                </c:pt>
                <c:pt idx="26">
                  <c:v>27.313575678166764</c:v>
                </c:pt>
                <c:pt idx="27">
                  <c:v>27.603143652495174</c:v>
                </c:pt>
                <c:pt idx="28">
                  <c:v>28.177202747109945</c:v>
                </c:pt>
                <c:pt idx="29">
                  <c:v>28.541795530764151</c:v>
                </c:pt>
                <c:pt idx="30">
                  <c:v>28.90002762044093</c:v>
                </c:pt>
                <c:pt idx="31">
                  <c:v>29.213976295695645</c:v>
                </c:pt>
                <c:pt idx="32">
                  <c:v>29.53753064890169</c:v>
                </c:pt>
                <c:pt idx="33">
                  <c:v>29.85465459455714</c:v>
                </c:pt>
                <c:pt idx="34">
                  <c:v>30.101715279319023</c:v>
                </c:pt>
                <c:pt idx="35">
                  <c:v>30.443873862098016</c:v>
                </c:pt>
                <c:pt idx="36">
                  <c:v>30.814566426219194</c:v>
                </c:pt>
                <c:pt idx="37">
                  <c:v>31.096049964482528</c:v>
                </c:pt>
                <c:pt idx="38">
                  <c:v>31.222489716365491</c:v>
                </c:pt>
                <c:pt idx="39">
                  <c:v>31.585590255690164</c:v>
                </c:pt>
                <c:pt idx="40">
                  <c:v>32.088106873240818</c:v>
                </c:pt>
                <c:pt idx="41">
                  <c:v>32.332296828978123</c:v>
                </c:pt>
                <c:pt idx="42">
                  <c:v>32.673653908064033</c:v>
                </c:pt>
                <c:pt idx="43">
                  <c:v>32.788706299217118</c:v>
                </c:pt>
                <c:pt idx="44">
                  <c:v>33.046582150270304</c:v>
                </c:pt>
                <c:pt idx="45">
                  <c:v>33.355673205262384</c:v>
                </c:pt>
                <c:pt idx="46">
                  <c:v>33.695878127415305</c:v>
                </c:pt>
                <c:pt idx="47">
                  <c:v>33.941228040437586</c:v>
                </c:pt>
                <c:pt idx="48">
                  <c:v>34.165460310746411</c:v>
                </c:pt>
                <c:pt idx="49">
                  <c:v>34.404370344714444</c:v>
                </c:pt>
                <c:pt idx="50">
                  <c:v>34.847671267967677</c:v>
                </c:pt>
                <c:pt idx="51">
                  <c:v>34.922234214463863</c:v>
                </c:pt>
                <c:pt idx="52">
                  <c:v>35.396309128454334</c:v>
                </c:pt>
                <c:pt idx="53">
                  <c:v>35.454048226614802</c:v>
                </c:pt>
                <c:pt idx="54">
                  <c:v>35.892194352786888</c:v>
                </c:pt>
                <c:pt idx="55">
                  <c:v>36.069951068619339</c:v>
                </c:pt>
                <c:pt idx="56">
                  <c:v>36.218688140498543</c:v>
                </c:pt>
                <c:pt idx="57">
                  <c:v>36.502767386521981</c:v>
                </c:pt>
                <c:pt idx="58">
                  <c:v>36.771692752821728</c:v>
                </c:pt>
                <c:pt idx="59">
                  <c:v>36.934100899807405</c:v>
                </c:pt>
                <c:pt idx="60">
                  <c:v>37.231045564334245</c:v>
                </c:pt>
                <c:pt idx="61">
                  <c:v>37.545835538741301</c:v>
                </c:pt>
                <c:pt idx="62">
                  <c:v>37.61675337019031</c:v>
                </c:pt>
                <c:pt idx="63">
                  <c:v>37.980291852075268</c:v>
                </c:pt>
                <c:pt idx="64">
                  <c:v>38.148089087789131</c:v>
                </c:pt>
                <c:pt idx="65">
                  <c:v>38.420164623961362</c:v>
                </c:pt>
                <c:pt idx="66">
                  <c:v>38.542403050895693</c:v>
                </c:pt>
                <c:pt idx="67">
                  <c:v>38.932944586969157</c:v>
                </c:pt>
                <c:pt idx="68">
                  <c:v>39.044305445440692</c:v>
                </c:pt>
                <c:pt idx="69">
                  <c:v>39.352147071562889</c:v>
                </c:pt>
                <c:pt idx="70">
                  <c:v>39.560585296527613</c:v>
                </c:pt>
                <c:pt idx="71">
                  <c:v>39.886424249186305</c:v>
                </c:pt>
                <c:pt idx="72">
                  <c:v>39.959670948415734</c:v>
                </c:pt>
                <c:pt idx="73">
                  <c:v>40.361519279590013</c:v>
                </c:pt>
                <c:pt idx="74">
                  <c:v>40.522893698508</c:v>
                </c:pt>
                <c:pt idx="75">
                  <c:v>40.630920374631309</c:v>
                </c:pt>
                <c:pt idx="76">
                  <c:v>40.890059366113952</c:v>
                </c:pt>
                <c:pt idx="77">
                  <c:v>41.284998405477388</c:v>
                </c:pt>
                <c:pt idx="78">
                  <c:v>41.390144492649426</c:v>
                </c:pt>
                <c:pt idx="79">
                  <c:v>41.784422044278458</c:v>
                </c:pt>
                <c:pt idx="80">
                  <c:v>42.04122099661415</c:v>
                </c:pt>
                <c:pt idx="81">
                  <c:v>42.408004658380491</c:v>
                </c:pt>
                <c:pt idx="82">
                  <c:v>42.626391756534936</c:v>
                </c:pt>
                <c:pt idx="83">
                  <c:v>42.972016333891204</c:v>
                </c:pt>
                <c:pt idx="84">
                  <c:v>43.126711457529332</c:v>
                </c:pt>
                <c:pt idx="85">
                  <c:v>43.470934100659811</c:v>
                </c:pt>
                <c:pt idx="86">
                  <c:v>43.789987886116201</c:v>
                </c:pt>
                <c:pt idx="87">
                  <c:v>44.033594822257385</c:v>
                </c:pt>
                <c:pt idx="88">
                  <c:v>44.419749067692706</c:v>
                </c:pt>
                <c:pt idx="89">
                  <c:v>44.891390675374453</c:v>
                </c:pt>
                <c:pt idx="90">
                  <c:v>45.336906188906632</c:v>
                </c:pt>
                <c:pt idx="91">
                  <c:v>45.569988426535218</c:v>
                </c:pt>
                <c:pt idx="92">
                  <c:v>46.266841079693044</c:v>
                </c:pt>
                <c:pt idx="93">
                  <c:v>46.883223767335885</c:v>
                </c:pt>
                <c:pt idx="94">
                  <c:v>46.944308200042983</c:v>
                </c:pt>
                <c:pt idx="95">
                  <c:v>47.803228722561556</c:v>
                </c:pt>
                <c:pt idx="96">
                  <c:v>48.538813529427657</c:v>
                </c:pt>
                <c:pt idx="97">
                  <c:v>49.657529160216484</c:v>
                </c:pt>
                <c:pt idx="98">
                  <c:v>49.712099639900075</c:v>
                </c:pt>
                <c:pt idx="99">
                  <c:v>49.966713471115916</c:v>
                </c:pt>
              </c:numCache>
            </c:numRef>
          </c:xVal>
          <c:yVal>
            <c:numRef>
              <c:f>SimData!$G$8:$G$107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axId val="47622784"/>
        <c:axId val="47632768"/>
      </c:scatterChart>
      <c:valAx>
        <c:axId val="4762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2768"/>
        <c:crosses val="autoZero"/>
        <c:crossBetween val="midCat"/>
      </c:valAx>
      <c:valAx>
        <c:axId val="4763276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7599474087169798E-2"/>
              <c:y val="0.431849302587118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2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021642104695736"/>
          <c:y val="0.91168186101724924"/>
          <c:w val="0.1931963186101886"/>
          <c:h val="6.93091473287967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Sheet1!$F$4</c:f>
          <c:strCache>
            <c:ptCount val="1"/>
            <c:pt idx="0">
              <c:v>CDF Approximations</c:v>
            </c:pt>
          </c:strCache>
        </c:strRef>
      </c:tx>
      <c:layout>
        <c:manualLayout>
          <c:xMode val="edge"/>
          <c:yMode val="edge"/>
          <c:x val="0.34707158351409978"/>
          <c:y val="3.65117058525697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68769420179399"/>
          <c:y val="0.24097725862696018"/>
          <c:w val="0.82921967520666007"/>
          <c:h val="0.50386154076546219"/>
        </c:manualLayout>
      </c:layout>
      <c:scatterChart>
        <c:scatterStyle val="smoothMarker"/>
        <c:ser>
          <c:idx val="0"/>
          <c:order val="0"/>
          <c:tx>
            <c:strRef>
              <c:f>Sheet1!$G$5</c:f>
              <c:strCache>
                <c:ptCount val="1"/>
                <c:pt idx="0">
                  <c:v>Actual Data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Sheet1!$G$14:$G$113</c:f>
              <c:numCache>
                <c:formatCode>0.000</c:formatCode>
                <c:ptCount val="100"/>
                <c:pt idx="0">
                  <c:v>14.5</c:v>
                </c:pt>
                <c:pt idx="1">
                  <c:v>14.803030303030303</c:v>
                </c:pt>
                <c:pt idx="2">
                  <c:v>15.106060606060606</c:v>
                </c:pt>
                <c:pt idx="3">
                  <c:v>15.409090909090908</c:v>
                </c:pt>
                <c:pt idx="4">
                  <c:v>15.712121212121211</c:v>
                </c:pt>
                <c:pt idx="5">
                  <c:v>16.015151515151516</c:v>
                </c:pt>
                <c:pt idx="6">
                  <c:v>16.31818181818182</c:v>
                </c:pt>
                <c:pt idx="7">
                  <c:v>16.621212121212125</c:v>
                </c:pt>
                <c:pt idx="8">
                  <c:v>16.924242424242429</c:v>
                </c:pt>
                <c:pt idx="9">
                  <c:v>17.227272727272734</c:v>
                </c:pt>
                <c:pt idx="10">
                  <c:v>17.530303030303038</c:v>
                </c:pt>
                <c:pt idx="11">
                  <c:v>17.833333333333343</c:v>
                </c:pt>
                <c:pt idx="12">
                  <c:v>18.136363636363647</c:v>
                </c:pt>
                <c:pt idx="13">
                  <c:v>18.439393939393952</c:v>
                </c:pt>
                <c:pt idx="14">
                  <c:v>18.742424242424256</c:v>
                </c:pt>
                <c:pt idx="15">
                  <c:v>19.045454545454561</c:v>
                </c:pt>
                <c:pt idx="16">
                  <c:v>19.348484848484865</c:v>
                </c:pt>
                <c:pt idx="17">
                  <c:v>19.65151515151517</c:v>
                </c:pt>
                <c:pt idx="18">
                  <c:v>19.954545454545475</c:v>
                </c:pt>
                <c:pt idx="19">
                  <c:v>20.257575757575779</c:v>
                </c:pt>
                <c:pt idx="20">
                  <c:v>20.560606060606084</c:v>
                </c:pt>
                <c:pt idx="21">
                  <c:v>20.863636363636388</c:v>
                </c:pt>
                <c:pt idx="22">
                  <c:v>21.166666666666693</c:v>
                </c:pt>
                <c:pt idx="23">
                  <c:v>21.469696969696997</c:v>
                </c:pt>
                <c:pt idx="24">
                  <c:v>21.772727272727302</c:v>
                </c:pt>
                <c:pt idx="25">
                  <c:v>22.075757575757606</c:v>
                </c:pt>
                <c:pt idx="26">
                  <c:v>22.378787878787911</c:v>
                </c:pt>
                <c:pt idx="27">
                  <c:v>22.681818181818215</c:v>
                </c:pt>
                <c:pt idx="28">
                  <c:v>22.98484848484852</c:v>
                </c:pt>
                <c:pt idx="29">
                  <c:v>23.287878787878824</c:v>
                </c:pt>
                <c:pt idx="30">
                  <c:v>23.590909090909129</c:v>
                </c:pt>
                <c:pt idx="31">
                  <c:v>23.893939393939434</c:v>
                </c:pt>
                <c:pt idx="32">
                  <c:v>24.196969696969738</c:v>
                </c:pt>
                <c:pt idx="33">
                  <c:v>24.500000000000043</c:v>
                </c:pt>
                <c:pt idx="34">
                  <c:v>24.803030303030347</c:v>
                </c:pt>
                <c:pt idx="35">
                  <c:v>25.106060606060652</c:v>
                </c:pt>
                <c:pt idx="36">
                  <c:v>25.409090909090956</c:v>
                </c:pt>
                <c:pt idx="37">
                  <c:v>25.712121212121261</c:v>
                </c:pt>
                <c:pt idx="38">
                  <c:v>26.015151515151565</c:v>
                </c:pt>
                <c:pt idx="39">
                  <c:v>26.31818181818187</c:v>
                </c:pt>
                <c:pt idx="40">
                  <c:v>26.621212121212174</c:v>
                </c:pt>
                <c:pt idx="41">
                  <c:v>26.924242424242479</c:v>
                </c:pt>
                <c:pt idx="42">
                  <c:v>27.227272727272783</c:v>
                </c:pt>
                <c:pt idx="43">
                  <c:v>27.530303030303088</c:v>
                </c:pt>
                <c:pt idx="44">
                  <c:v>27.833333333333393</c:v>
                </c:pt>
                <c:pt idx="45">
                  <c:v>28.136363636363697</c:v>
                </c:pt>
                <c:pt idx="46">
                  <c:v>28.439393939394002</c:v>
                </c:pt>
                <c:pt idx="47">
                  <c:v>28.742424242424306</c:v>
                </c:pt>
                <c:pt idx="48">
                  <c:v>29.045454545454611</c:v>
                </c:pt>
                <c:pt idx="49">
                  <c:v>29.348484848484915</c:v>
                </c:pt>
                <c:pt idx="50">
                  <c:v>29.65151515151522</c:v>
                </c:pt>
                <c:pt idx="51">
                  <c:v>29.954545454545524</c:v>
                </c:pt>
                <c:pt idx="52">
                  <c:v>30.257575757575829</c:v>
                </c:pt>
                <c:pt idx="53">
                  <c:v>30.560606060606133</c:v>
                </c:pt>
                <c:pt idx="54">
                  <c:v>30.863636363636438</c:v>
                </c:pt>
                <c:pt idx="55">
                  <c:v>31.166666666666742</c:v>
                </c:pt>
                <c:pt idx="56">
                  <c:v>31.469696969697047</c:v>
                </c:pt>
                <c:pt idx="57">
                  <c:v>31.772727272727352</c:v>
                </c:pt>
                <c:pt idx="58">
                  <c:v>32.075757575757656</c:v>
                </c:pt>
                <c:pt idx="59">
                  <c:v>32.378787878787961</c:v>
                </c:pt>
                <c:pt idx="60">
                  <c:v>32.681818181818265</c:v>
                </c:pt>
                <c:pt idx="61">
                  <c:v>32.98484848484857</c:v>
                </c:pt>
                <c:pt idx="62">
                  <c:v>33.287878787878874</c:v>
                </c:pt>
                <c:pt idx="63">
                  <c:v>33.590909090909179</c:v>
                </c:pt>
                <c:pt idx="64">
                  <c:v>33.893939393939483</c:v>
                </c:pt>
                <c:pt idx="65">
                  <c:v>34.196969696969788</c:v>
                </c:pt>
                <c:pt idx="66">
                  <c:v>34.500000000000092</c:v>
                </c:pt>
                <c:pt idx="67">
                  <c:v>34.803030303030397</c:v>
                </c:pt>
                <c:pt idx="68">
                  <c:v>35.106060606060701</c:v>
                </c:pt>
                <c:pt idx="69">
                  <c:v>35.409090909091006</c:v>
                </c:pt>
                <c:pt idx="70">
                  <c:v>35.712121212121311</c:v>
                </c:pt>
                <c:pt idx="71">
                  <c:v>36.015151515151615</c:v>
                </c:pt>
                <c:pt idx="72">
                  <c:v>36.31818181818192</c:v>
                </c:pt>
                <c:pt idx="73">
                  <c:v>36.621212121212224</c:v>
                </c:pt>
                <c:pt idx="74">
                  <c:v>36.924242424242529</c:v>
                </c:pt>
                <c:pt idx="75">
                  <c:v>37.227272727272833</c:v>
                </c:pt>
                <c:pt idx="76">
                  <c:v>37.530303030303138</c:v>
                </c:pt>
                <c:pt idx="77">
                  <c:v>37.833333333333442</c:v>
                </c:pt>
                <c:pt idx="78">
                  <c:v>38.136363636363747</c:v>
                </c:pt>
                <c:pt idx="79">
                  <c:v>38.439393939394051</c:v>
                </c:pt>
                <c:pt idx="80">
                  <c:v>38.742424242424356</c:v>
                </c:pt>
                <c:pt idx="81">
                  <c:v>39.04545454545466</c:v>
                </c:pt>
                <c:pt idx="82">
                  <c:v>39.348484848484965</c:v>
                </c:pt>
                <c:pt idx="83">
                  <c:v>39.65151515151527</c:v>
                </c:pt>
                <c:pt idx="84">
                  <c:v>39.954545454545574</c:v>
                </c:pt>
                <c:pt idx="85">
                  <c:v>40.257575757575879</c:v>
                </c:pt>
                <c:pt idx="86">
                  <c:v>40.560606060606183</c:v>
                </c:pt>
                <c:pt idx="87">
                  <c:v>40.863636363636488</c:v>
                </c:pt>
                <c:pt idx="88">
                  <c:v>41.166666666666792</c:v>
                </c:pt>
                <c:pt idx="89">
                  <c:v>41.469696969697097</c:v>
                </c:pt>
                <c:pt idx="90">
                  <c:v>41.772727272727401</c:v>
                </c:pt>
                <c:pt idx="91">
                  <c:v>42.075757575757706</c:v>
                </c:pt>
                <c:pt idx="92">
                  <c:v>42.37878787878801</c:v>
                </c:pt>
                <c:pt idx="93">
                  <c:v>42.681818181818315</c:v>
                </c:pt>
                <c:pt idx="94">
                  <c:v>42.984848484848619</c:v>
                </c:pt>
                <c:pt idx="95">
                  <c:v>43.287878787878924</c:v>
                </c:pt>
                <c:pt idx="96">
                  <c:v>43.590909090909228</c:v>
                </c:pt>
                <c:pt idx="97">
                  <c:v>43.893939393939533</c:v>
                </c:pt>
                <c:pt idx="98">
                  <c:v>44.196969696969838</c:v>
                </c:pt>
                <c:pt idx="99">
                  <c:v>44.500000000000142</c:v>
                </c:pt>
              </c:numCache>
            </c:numRef>
          </c:xVal>
          <c:yVal>
            <c:numRef>
              <c:f>Sheet1!$H$14:$H$113</c:f>
              <c:numCache>
                <c:formatCode>0.000</c:formatCode>
                <c:ptCount val="100"/>
                <c:pt idx="0">
                  <c:v>0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0.1111111111111111</c:v>
                </c:pt>
                <c:pt idx="16">
                  <c:v>0.1111111111111111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0.1111111111111111</c:v>
                </c:pt>
                <c:pt idx="24">
                  <c:v>0.1111111111111111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0.1111111111111111</c:v>
                </c:pt>
                <c:pt idx="33">
                  <c:v>0.22222222222222221</c:v>
                </c:pt>
                <c:pt idx="34">
                  <c:v>0.22222222222222221</c:v>
                </c:pt>
                <c:pt idx="35">
                  <c:v>0.22222222222222221</c:v>
                </c:pt>
                <c:pt idx="36">
                  <c:v>0.22222222222222221</c:v>
                </c:pt>
                <c:pt idx="37">
                  <c:v>0.22222222222222221</c:v>
                </c:pt>
                <c:pt idx="38">
                  <c:v>0.22222222222222221</c:v>
                </c:pt>
                <c:pt idx="39">
                  <c:v>0.22222222222222221</c:v>
                </c:pt>
                <c:pt idx="40">
                  <c:v>0.22222222222222221</c:v>
                </c:pt>
                <c:pt idx="41">
                  <c:v>0.22222222222222221</c:v>
                </c:pt>
                <c:pt idx="42">
                  <c:v>0.22222222222222221</c:v>
                </c:pt>
                <c:pt idx="43">
                  <c:v>0.22222222222222221</c:v>
                </c:pt>
                <c:pt idx="44">
                  <c:v>0.22222222222222221</c:v>
                </c:pt>
                <c:pt idx="45">
                  <c:v>0.22222222222222221</c:v>
                </c:pt>
                <c:pt idx="46">
                  <c:v>0.22222222222222221</c:v>
                </c:pt>
                <c:pt idx="47">
                  <c:v>0.22222222222222221</c:v>
                </c:pt>
                <c:pt idx="48">
                  <c:v>0.22222222222222221</c:v>
                </c:pt>
                <c:pt idx="49">
                  <c:v>0.22222222222222221</c:v>
                </c:pt>
                <c:pt idx="50">
                  <c:v>0.33333333333333331</c:v>
                </c:pt>
                <c:pt idx="51">
                  <c:v>0.33333333333333331</c:v>
                </c:pt>
                <c:pt idx="52">
                  <c:v>0.44444444444444442</c:v>
                </c:pt>
                <c:pt idx="53">
                  <c:v>0.44444444444444442</c:v>
                </c:pt>
                <c:pt idx="54">
                  <c:v>0.44444444444444442</c:v>
                </c:pt>
                <c:pt idx="55">
                  <c:v>0.44444444444444442</c:v>
                </c:pt>
                <c:pt idx="56">
                  <c:v>0.44444444444444442</c:v>
                </c:pt>
                <c:pt idx="57">
                  <c:v>0.44444444444444442</c:v>
                </c:pt>
                <c:pt idx="58">
                  <c:v>0.44444444444444442</c:v>
                </c:pt>
                <c:pt idx="59">
                  <c:v>0.44444444444444442</c:v>
                </c:pt>
                <c:pt idx="60">
                  <c:v>0.44444444444444442</c:v>
                </c:pt>
                <c:pt idx="61">
                  <c:v>0.44444444444444442</c:v>
                </c:pt>
                <c:pt idx="62">
                  <c:v>0.44444444444444442</c:v>
                </c:pt>
                <c:pt idx="63">
                  <c:v>0.44444444444444442</c:v>
                </c:pt>
                <c:pt idx="64">
                  <c:v>0.44444444444444442</c:v>
                </c:pt>
                <c:pt idx="65">
                  <c:v>0.44444444444444442</c:v>
                </c:pt>
                <c:pt idx="66">
                  <c:v>0.44444444444444442</c:v>
                </c:pt>
                <c:pt idx="67">
                  <c:v>0.44444444444444442</c:v>
                </c:pt>
                <c:pt idx="68">
                  <c:v>0.44444444444444442</c:v>
                </c:pt>
                <c:pt idx="69">
                  <c:v>0.44444444444444442</c:v>
                </c:pt>
                <c:pt idx="70">
                  <c:v>0.44444444444444442</c:v>
                </c:pt>
                <c:pt idx="71">
                  <c:v>0.44444444444444442</c:v>
                </c:pt>
                <c:pt idx="72">
                  <c:v>0.44444444444444442</c:v>
                </c:pt>
                <c:pt idx="73">
                  <c:v>0.44444444444444442</c:v>
                </c:pt>
                <c:pt idx="74">
                  <c:v>0.44444444444444442</c:v>
                </c:pt>
                <c:pt idx="75">
                  <c:v>0.44444444444444442</c:v>
                </c:pt>
                <c:pt idx="76">
                  <c:v>0.44444444444444442</c:v>
                </c:pt>
                <c:pt idx="77">
                  <c:v>0.55555555555555558</c:v>
                </c:pt>
                <c:pt idx="78">
                  <c:v>0.55555555555555558</c:v>
                </c:pt>
                <c:pt idx="79">
                  <c:v>0.66666666666666663</c:v>
                </c:pt>
                <c:pt idx="80">
                  <c:v>0.66666666666666663</c:v>
                </c:pt>
                <c:pt idx="81">
                  <c:v>0.66666666666666663</c:v>
                </c:pt>
                <c:pt idx="82">
                  <c:v>0.77777777777777779</c:v>
                </c:pt>
                <c:pt idx="83">
                  <c:v>0.77777777777777779</c:v>
                </c:pt>
                <c:pt idx="84">
                  <c:v>0.77777777777777779</c:v>
                </c:pt>
                <c:pt idx="85">
                  <c:v>0.88888888888888884</c:v>
                </c:pt>
                <c:pt idx="86">
                  <c:v>0.88888888888888884</c:v>
                </c:pt>
                <c:pt idx="87">
                  <c:v>0.88888888888888884</c:v>
                </c:pt>
                <c:pt idx="88">
                  <c:v>0.88888888888888884</c:v>
                </c:pt>
                <c:pt idx="89">
                  <c:v>0.88888888888888884</c:v>
                </c:pt>
                <c:pt idx="90">
                  <c:v>0.88888888888888884</c:v>
                </c:pt>
                <c:pt idx="91">
                  <c:v>0.88888888888888884</c:v>
                </c:pt>
                <c:pt idx="92">
                  <c:v>0.88888888888888884</c:v>
                </c:pt>
                <c:pt idx="93">
                  <c:v>0.88888888888888884</c:v>
                </c:pt>
                <c:pt idx="94">
                  <c:v>0.88888888888888884</c:v>
                </c:pt>
                <c:pt idx="95">
                  <c:v>0.88888888888888884</c:v>
                </c:pt>
                <c:pt idx="96">
                  <c:v>0.88888888888888884</c:v>
                </c:pt>
                <c:pt idx="97">
                  <c:v>0.88888888888888884</c:v>
                </c:pt>
                <c:pt idx="98">
                  <c:v>0.88888888888888884</c:v>
                </c:pt>
                <c:pt idx="99">
                  <c:v>1</c:v>
                </c:pt>
              </c:numCache>
            </c:numRef>
          </c:y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Smoothed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Sheet1!$I$14:$I$113</c:f>
              <c:numCache>
                <c:formatCode>0.000</c:formatCode>
                <c:ptCount val="100"/>
                <c:pt idx="0">
                  <c:v>8</c:v>
                </c:pt>
                <c:pt idx="1">
                  <c:v>8.4242424242424239</c:v>
                </c:pt>
                <c:pt idx="2">
                  <c:v>8.8484848484848477</c:v>
                </c:pt>
                <c:pt idx="3">
                  <c:v>9.2727272727272716</c:v>
                </c:pt>
                <c:pt idx="4">
                  <c:v>9.6969696969696955</c:v>
                </c:pt>
                <c:pt idx="5">
                  <c:v>10.121212121212119</c:v>
                </c:pt>
                <c:pt idx="6">
                  <c:v>10.545454545454543</c:v>
                </c:pt>
                <c:pt idx="7">
                  <c:v>10.969696969696967</c:v>
                </c:pt>
                <c:pt idx="8">
                  <c:v>11.393939393939391</c:v>
                </c:pt>
                <c:pt idx="9">
                  <c:v>11.818181818181815</c:v>
                </c:pt>
                <c:pt idx="10">
                  <c:v>12.242424242424239</c:v>
                </c:pt>
                <c:pt idx="11">
                  <c:v>12.666666666666663</c:v>
                </c:pt>
                <c:pt idx="12">
                  <c:v>13.090909090909086</c:v>
                </c:pt>
                <c:pt idx="13">
                  <c:v>13.51515151515151</c:v>
                </c:pt>
                <c:pt idx="14">
                  <c:v>13.939393939393934</c:v>
                </c:pt>
                <c:pt idx="15">
                  <c:v>14.363636363636358</c:v>
                </c:pt>
                <c:pt idx="16">
                  <c:v>14.787878787878782</c:v>
                </c:pt>
                <c:pt idx="17">
                  <c:v>15.212121212121206</c:v>
                </c:pt>
                <c:pt idx="18">
                  <c:v>15.63636363636363</c:v>
                </c:pt>
                <c:pt idx="19">
                  <c:v>16.060606060606055</c:v>
                </c:pt>
                <c:pt idx="20">
                  <c:v>16.484848484848481</c:v>
                </c:pt>
                <c:pt idx="21">
                  <c:v>16.909090909090907</c:v>
                </c:pt>
                <c:pt idx="22">
                  <c:v>17.333333333333332</c:v>
                </c:pt>
                <c:pt idx="23">
                  <c:v>17.757575757575758</c:v>
                </c:pt>
                <c:pt idx="24">
                  <c:v>18.181818181818183</c:v>
                </c:pt>
                <c:pt idx="25">
                  <c:v>18.606060606060609</c:v>
                </c:pt>
                <c:pt idx="26">
                  <c:v>19.030303030303035</c:v>
                </c:pt>
                <c:pt idx="27">
                  <c:v>19.45454545454546</c:v>
                </c:pt>
                <c:pt idx="28">
                  <c:v>19.878787878787886</c:v>
                </c:pt>
                <c:pt idx="29">
                  <c:v>20.303030303030312</c:v>
                </c:pt>
                <c:pt idx="30">
                  <c:v>20.727272727272737</c:v>
                </c:pt>
                <c:pt idx="31">
                  <c:v>21.151515151515163</c:v>
                </c:pt>
                <c:pt idx="32">
                  <c:v>21.575757575757589</c:v>
                </c:pt>
                <c:pt idx="33">
                  <c:v>22.000000000000014</c:v>
                </c:pt>
                <c:pt idx="34">
                  <c:v>22.42424242424244</c:v>
                </c:pt>
                <c:pt idx="35">
                  <c:v>22.848484848484865</c:v>
                </c:pt>
                <c:pt idx="36">
                  <c:v>23.272727272727291</c:v>
                </c:pt>
                <c:pt idx="37">
                  <c:v>23.696969696969717</c:v>
                </c:pt>
                <c:pt idx="38">
                  <c:v>24.121212121212142</c:v>
                </c:pt>
                <c:pt idx="39">
                  <c:v>24.545454545454568</c:v>
                </c:pt>
                <c:pt idx="40">
                  <c:v>24.969696969696994</c:v>
                </c:pt>
                <c:pt idx="41">
                  <c:v>25.393939393939419</c:v>
                </c:pt>
                <c:pt idx="42">
                  <c:v>25.818181818181845</c:v>
                </c:pt>
                <c:pt idx="43">
                  <c:v>26.242424242424271</c:v>
                </c:pt>
                <c:pt idx="44">
                  <c:v>26.666666666666696</c:v>
                </c:pt>
                <c:pt idx="45">
                  <c:v>27.090909090909122</c:v>
                </c:pt>
                <c:pt idx="46">
                  <c:v>27.515151515151548</c:v>
                </c:pt>
                <c:pt idx="47">
                  <c:v>27.939393939393973</c:v>
                </c:pt>
                <c:pt idx="48">
                  <c:v>28.363636363636399</c:v>
                </c:pt>
                <c:pt idx="49">
                  <c:v>28.787878787878824</c:v>
                </c:pt>
                <c:pt idx="50">
                  <c:v>29.21212121212125</c:v>
                </c:pt>
                <c:pt idx="51">
                  <c:v>29.636363636363676</c:v>
                </c:pt>
                <c:pt idx="52">
                  <c:v>30.060606060606101</c:v>
                </c:pt>
                <c:pt idx="53">
                  <c:v>30.484848484848527</c:v>
                </c:pt>
                <c:pt idx="54">
                  <c:v>30.909090909090953</c:v>
                </c:pt>
                <c:pt idx="55">
                  <c:v>31.333333333333378</c:v>
                </c:pt>
                <c:pt idx="56">
                  <c:v>31.757575757575804</c:v>
                </c:pt>
                <c:pt idx="57">
                  <c:v>32.18181818181823</c:v>
                </c:pt>
                <c:pt idx="58">
                  <c:v>32.606060606060652</c:v>
                </c:pt>
                <c:pt idx="59">
                  <c:v>33.030303030303074</c:v>
                </c:pt>
                <c:pt idx="60">
                  <c:v>33.454545454545496</c:v>
                </c:pt>
                <c:pt idx="61">
                  <c:v>33.878787878787918</c:v>
                </c:pt>
                <c:pt idx="62">
                  <c:v>34.30303030303034</c:v>
                </c:pt>
                <c:pt idx="63">
                  <c:v>34.727272727272762</c:v>
                </c:pt>
                <c:pt idx="64">
                  <c:v>35.151515151515184</c:v>
                </c:pt>
                <c:pt idx="65">
                  <c:v>35.575757575757606</c:v>
                </c:pt>
                <c:pt idx="66">
                  <c:v>36.000000000000028</c:v>
                </c:pt>
                <c:pt idx="67">
                  <c:v>36.424242424242451</c:v>
                </c:pt>
                <c:pt idx="68">
                  <c:v>36.848484848484873</c:v>
                </c:pt>
                <c:pt idx="69">
                  <c:v>37.272727272727295</c:v>
                </c:pt>
                <c:pt idx="70">
                  <c:v>37.696969696969717</c:v>
                </c:pt>
                <c:pt idx="71">
                  <c:v>38.121212121212139</c:v>
                </c:pt>
                <c:pt idx="72">
                  <c:v>38.545454545454561</c:v>
                </c:pt>
                <c:pt idx="73">
                  <c:v>38.969696969696983</c:v>
                </c:pt>
                <c:pt idx="74">
                  <c:v>39.393939393939405</c:v>
                </c:pt>
                <c:pt idx="75">
                  <c:v>39.818181818181827</c:v>
                </c:pt>
                <c:pt idx="76">
                  <c:v>40.242424242424249</c:v>
                </c:pt>
                <c:pt idx="77">
                  <c:v>40.666666666666671</c:v>
                </c:pt>
                <c:pt idx="78">
                  <c:v>41.090909090909093</c:v>
                </c:pt>
                <c:pt idx="79">
                  <c:v>41.515151515151516</c:v>
                </c:pt>
                <c:pt idx="80">
                  <c:v>41.939393939393938</c:v>
                </c:pt>
                <c:pt idx="81">
                  <c:v>42.36363636363636</c:v>
                </c:pt>
                <c:pt idx="82">
                  <c:v>42.787878787878782</c:v>
                </c:pt>
                <c:pt idx="83">
                  <c:v>43.212121212121204</c:v>
                </c:pt>
                <c:pt idx="84">
                  <c:v>43.636363636363626</c:v>
                </c:pt>
                <c:pt idx="85">
                  <c:v>44.060606060606048</c:v>
                </c:pt>
                <c:pt idx="86">
                  <c:v>44.48484848484847</c:v>
                </c:pt>
                <c:pt idx="87">
                  <c:v>44.909090909090892</c:v>
                </c:pt>
                <c:pt idx="88">
                  <c:v>45.333333333333314</c:v>
                </c:pt>
                <c:pt idx="89">
                  <c:v>45.757575757575736</c:v>
                </c:pt>
                <c:pt idx="90">
                  <c:v>46.181818181818159</c:v>
                </c:pt>
                <c:pt idx="91">
                  <c:v>46.606060606060581</c:v>
                </c:pt>
                <c:pt idx="92">
                  <c:v>47.030303030303003</c:v>
                </c:pt>
                <c:pt idx="93">
                  <c:v>47.454545454545425</c:v>
                </c:pt>
                <c:pt idx="94">
                  <c:v>47.878787878787847</c:v>
                </c:pt>
                <c:pt idx="95">
                  <c:v>48.303030303030269</c:v>
                </c:pt>
                <c:pt idx="96">
                  <c:v>48.727272727272691</c:v>
                </c:pt>
                <c:pt idx="97">
                  <c:v>49.151515151515113</c:v>
                </c:pt>
                <c:pt idx="98">
                  <c:v>49.575757575757535</c:v>
                </c:pt>
                <c:pt idx="99">
                  <c:v>49.999999999999957</c:v>
                </c:pt>
              </c:numCache>
            </c:numRef>
          </c:xVal>
          <c:yVal>
            <c:numRef>
              <c:f>Sheet1!$J$14:$J$113</c:f>
              <c:numCache>
                <c:formatCode>0.000</c:formatCode>
                <c:ptCount val="100"/>
                <c:pt idx="0">
                  <c:v>0</c:v>
                </c:pt>
                <c:pt idx="1">
                  <c:v>1.2642071407896169E-2</c:v>
                </c:pt>
                <c:pt idx="2">
                  <c:v>1.4564031554777479E-2</c:v>
                </c:pt>
                <c:pt idx="3">
                  <c:v>1.6683561604684823E-2</c:v>
                </c:pt>
                <c:pt idx="4">
                  <c:v>1.900550608201812E-2</c:v>
                </c:pt>
                <c:pt idx="5">
                  <c:v>2.1532599886279202E-2</c:v>
                </c:pt>
                <c:pt idx="6">
                  <c:v>2.4265323148595072E-2</c:v>
                </c:pt>
                <c:pt idx="7">
                  <c:v>2.7201827577269719E-2</c:v>
                </c:pt>
                <c:pt idx="8">
                  <c:v>3.0337944288086942E-2</c:v>
                </c:pt>
                <c:pt idx="9">
                  <c:v>3.3667280147459663E-2</c:v>
                </c:pt>
                <c:pt idx="10">
                  <c:v>3.718140604855965E-2</c:v>
                </c:pt>
                <c:pt idx="11">
                  <c:v>4.0870136457638484E-2</c:v>
                </c:pt>
                <c:pt idx="12">
                  <c:v>4.4721895220281645E-2</c:v>
                </c:pt>
                <c:pt idx="13">
                  <c:v>4.8724158248656439E-2</c:v>
                </c:pt>
                <c:pt idx="14">
                  <c:v>5.2863959581591055E-2</c:v>
                </c:pt>
                <c:pt idx="15">
                  <c:v>5.7128443679611257E-2</c:v>
                </c:pt>
                <c:pt idx="16">
                  <c:v>6.1505421835885268E-2</c:v>
                </c:pt>
                <c:pt idx="17">
                  <c:v>6.5983911234463413E-2</c:v>
                </c:pt>
                <c:pt idx="18">
                  <c:v>7.055476654421218E-2</c:v>
                </c:pt>
                <c:pt idx="19">
                  <c:v>7.5211123381668077E-2</c:v>
                </c:pt>
                <c:pt idx="20">
                  <c:v>7.9948829871257829E-2</c:v>
                </c:pt>
                <c:pt idx="21">
                  <c:v>8.4766790453045041E-2</c:v>
                </c:pt>
                <c:pt idx="22">
                  <c:v>8.9667201638185812E-2</c:v>
                </c:pt>
                <c:pt idx="23">
                  <c:v>9.4655668429812115E-2</c:v>
                </c:pt>
                <c:pt idx="24">
                  <c:v>9.9741194992885709E-2</c:v>
                </c:pt>
                <c:pt idx="25">
                  <c:v>0.10493604837296927</c:v>
                </c:pt>
                <c:pt idx="26">
                  <c:v>0.11025549935412195</c:v>
                </c:pt>
                <c:pt idx="27">
                  <c:v>0.11571744964017891</c:v>
                </c:pt>
                <c:pt idx="28">
                  <c:v>0.1213419591963196</c:v>
                </c:pt>
                <c:pt idx="29">
                  <c:v>0.12715069159380399</c:v>
                </c:pt>
                <c:pt idx="30">
                  <c:v>0.13316629840524183</c:v>
                </c:pt>
                <c:pt idx="31">
                  <c:v>0.13941176600158517</c:v>
                </c:pt>
                <c:pt idx="32">
                  <c:v>0.14590974946135132</c:v>
                </c:pt>
                <c:pt idx="33">
                  <c:v>0.15268191872340764</c:v>
                </c:pt>
                <c:pt idx="34">
                  <c:v>0.15974834164333773</c:v>
                </c:pt>
                <c:pt idx="35">
                  <c:v>0.16712692732450604</c:v>
                </c:pt>
                <c:pt idx="36">
                  <c:v>0.17483295107821556</c:v>
                </c:pt>
                <c:pt idx="37">
                  <c:v>0.18287867971588473</c:v>
                </c:pt>
                <c:pt idx="38">
                  <c:v>0.19127311267716662</c:v>
                </c:pt>
                <c:pt idx="39">
                  <c:v>0.20002184538448076</c:v>
                </c:pt>
                <c:pt idx="40">
                  <c:v>0.20912700717197918</c:v>
                </c:pt>
                <c:pt idx="41">
                  <c:v>0.21858747534726836</c:v>
                </c:pt>
                <c:pt idx="42">
                  <c:v>0.22839909990024182</c:v>
                </c:pt>
                <c:pt idx="43">
                  <c:v>0.23855507355134734</c:v>
                </c:pt>
                <c:pt idx="44">
                  <c:v>0.24904643036678722</c:v>
                </c:pt>
                <c:pt idx="45">
                  <c:v>0.2598626351730744</c:v>
                </c:pt>
                <c:pt idx="46">
                  <c:v>0.27099224167888891</c:v>
                </c:pt>
                <c:pt idx="47">
                  <c:v>0.28242359269233375</c:v>
                </c:pt>
                <c:pt idx="48">
                  <c:v>0.29414553205349114</c:v>
                </c:pt>
                <c:pt idx="49">
                  <c:v>0.30614809517613689</c:v>
                </c:pt>
                <c:pt idx="50">
                  <c:v>0.3184231436992303</c:v>
                </c:pt>
                <c:pt idx="51">
                  <c:v>0.33096489522535555</c:v>
                </c:pt>
                <c:pt idx="52">
                  <c:v>0.34377028899100748</c:v>
                </c:pt>
                <c:pt idx="53">
                  <c:v>0.35683929179994478</c:v>
                </c:pt>
                <c:pt idx="54">
                  <c:v>0.37017491513380779</c:v>
                </c:pt>
                <c:pt idx="55">
                  <c:v>0.38378312567005923</c:v>
                </c:pt>
                <c:pt idx="56">
                  <c:v>0.39767245231339188</c:v>
                </c:pt>
                <c:pt idx="57">
                  <c:v>0.41185343848865963</c:v>
                </c:pt>
                <c:pt idx="58">
                  <c:v>0.42633789627810098</c:v>
                </c:pt>
                <c:pt idx="59">
                  <c:v>0.44113798733056026</c:v>
                </c:pt>
                <c:pt idx="60">
                  <c:v>0.45626516597772226</c:v>
                </c:pt>
                <c:pt idx="61">
                  <c:v>0.47172902898415298</c:v>
                </c:pt>
                <c:pt idx="62">
                  <c:v>0.48753612347848729</c:v>
                </c:pt>
                <c:pt idx="63">
                  <c:v>0.50368876930681472</c:v>
                </c:pt>
                <c:pt idx="64">
                  <c:v>0.5201839538985964</c:v>
                </c:pt>
                <c:pt idx="65">
                  <c:v>0.5370123565010968</c:v>
                </c:pt>
                <c:pt idx="66">
                  <c:v>0.55415755428644564</c:v>
                </c:pt>
                <c:pt idx="67">
                  <c:v>0.57159545554802427</c:v>
                </c:pt>
                <c:pt idx="68">
                  <c:v>0.58929399537034299</c:v>
                </c:pt>
                <c:pt idx="69">
                  <c:v>0.60721311735275962</c:v>
                </c:pt>
                <c:pt idx="70">
                  <c:v>0.62530505189014773</c:v>
                </c:pt>
                <c:pt idx="71">
                  <c:v>0.6435148327552539</c:v>
                </c:pt>
                <c:pt idx="72">
                  <c:v>0.66178114616267292</c:v>
                </c:pt>
                <c:pt idx="73">
                  <c:v>0.68003739784789863</c:v>
                </c:pt>
                <c:pt idx="74">
                  <c:v>0.69821301470964792</c:v>
                </c:pt>
                <c:pt idx="75">
                  <c:v>0.71623474741962578</c:v>
                </c:pt>
                <c:pt idx="76">
                  <c:v>0.73402823361303804</c:v>
                </c:pt>
                <c:pt idx="77">
                  <c:v>0.7515194683833023</c:v>
                </c:pt>
                <c:pt idx="78">
                  <c:v>0.76863637504667937</c:v>
                </c:pt>
                <c:pt idx="79">
                  <c:v>0.78531017889787513</c:v>
                </c:pt>
                <c:pt idx="80">
                  <c:v>0.80147670468955912</c:v>
                </c:pt>
                <c:pt idx="81">
                  <c:v>0.81707751425918507</c:v>
                </c:pt>
                <c:pt idx="82">
                  <c:v>0.83206084806109526</c:v>
                </c:pt>
                <c:pt idx="83">
                  <c:v>0.84638235270725504</c:v>
                </c:pt>
                <c:pt idx="84">
                  <c:v>0.86000558650433989</c:v>
                </c:pt>
                <c:pt idx="85">
                  <c:v>0.87290230442688355</c:v>
                </c:pt>
                <c:pt idx="86">
                  <c:v>0.88505253249802252</c:v>
                </c:pt>
                <c:pt idx="87">
                  <c:v>0.89644440286225524</c:v>
                </c:pt>
                <c:pt idx="88">
                  <c:v>0.90707387149727714</c:v>
                </c:pt>
                <c:pt idx="89">
                  <c:v>0.91694430543482985</c:v>
                </c:pt>
                <c:pt idx="90">
                  <c:v>0.92606586544134595</c:v>
                </c:pt>
                <c:pt idx="91">
                  <c:v>0.93445484676458868</c:v>
                </c:pt>
                <c:pt idx="92">
                  <c:v>0.94213295311001088</c:v>
                </c:pt>
                <c:pt idx="93">
                  <c:v>0.94912653103270606</c:v>
                </c:pt>
                <c:pt idx="94">
                  <c:v>0.95546578922937542</c:v>
                </c:pt>
                <c:pt idx="95">
                  <c:v>0.96118402405531556</c:v>
                </c:pt>
                <c:pt idx="96">
                  <c:v>0.96631686917543524</c:v>
                </c:pt>
                <c:pt idx="97">
                  <c:v>0.97090158380606306</c:v>
                </c:pt>
                <c:pt idx="98">
                  <c:v>0.97497639068929209</c:v>
                </c:pt>
                <c:pt idx="99">
                  <c:v>1</c:v>
                </c:pt>
              </c:numCache>
            </c:numRef>
          </c:yVal>
        </c:ser>
        <c:axId val="47587712"/>
        <c:axId val="47589248"/>
      </c:scatterChart>
      <c:valAx>
        <c:axId val="47587712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89248"/>
        <c:crosses val="autoZero"/>
        <c:crossBetween val="midCat"/>
      </c:valAx>
      <c:valAx>
        <c:axId val="4758924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87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14433956733306"/>
          <c:y val="0.89818796397321521"/>
          <c:w val="0.36770827226358682"/>
          <c:h val="8.03257528756533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66675</xdr:rowOff>
    </xdr:from>
    <xdr:to>
      <xdr:col>16</xdr:col>
      <xdr:colOff>171450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18</xdr:col>
      <xdr:colOff>514350</xdr:colOff>
      <xdr:row>15</xdr:row>
      <xdr:rowOff>57150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190500</xdr:colOff>
      <xdr:row>16</xdr:row>
      <xdr:rowOff>0</xdr:rowOff>
    </xdr:from>
    <xdr:to>
      <xdr:col>17</xdr:col>
      <xdr:colOff>47625</xdr:colOff>
      <xdr:row>42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6125" y="2590800"/>
          <a:ext cx="4124325" cy="42291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workbookViewId="0">
      <selection activeCell="D7" sqref="D7"/>
    </sheetView>
  </sheetViews>
  <sheetFormatPr defaultRowHeight="12.75"/>
  <sheetData>
    <row r="1" spans="1:7">
      <c r="A1" t="s">
        <v>47</v>
      </c>
    </row>
    <row r="2" spans="1:7">
      <c r="A2" t="s">
        <v>35</v>
      </c>
      <c r="B2" t="str">
        <f ca="1">ADDRESS(ROW(Sheet1!$B$30),COLUMN(Sheet1!$B$30),4,,_xll.WSNAME(Sheet1!$B$30))</f>
        <v>Sheet1!B30</v>
      </c>
    </row>
    <row r="3" spans="1:7">
      <c r="A3" t="s">
        <v>2</v>
      </c>
      <c r="B3">
        <f>AVERAGE(B9:B108)</f>
        <v>33.082020489700263</v>
      </c>
    </row>
    <row r="4" spans="1:7">
      <c r="A4" t="s">
        <v>3</v>
      </c>
      <c r="B4">
        <f>STDEV(B9:B108)</f>
        <v>10.086272107647668</v>
      </c>
    </row>
    <row r="5" spans="1:7">
      <c r="A5" t="s">
        <v>4</v>
      </c>
      <c r="B5">
        <f>100*B4/B3</f>
        <v>30.488682245958714</v>
      </c>
    </row>
    <row r="6" spans="1:7">
      <c r="A6" t="s">
        <v>5</v>
      </c>
      <c r="B6">
        <f>MIN(B9:B108)</f>
        <v>8.1958591130899396</v>
      </c>
    </row>
    <row r="7" spans="1:7">
      <c r="A7" t="s">
        <v>6</v>
      </c>
      <c r="B7">
        <f>MAX(B9:B108)</f>
        <v>49.966713471115916</v>
      </c>
      <c r="F7" t="str">
        <f>SimData!$B$8</f>
        <v xml:space="preserve">Stochastic </v>
      </c>
      <c r="G7" t="s">
        <v>49</v>
      </c>
    </row>
    <row r="8" spans="1:7">
      <c r="A8" t="s">
        <v>36</v>
      </c>
      <c r="B8" t="str">
        <f>Sheet1!$A$30</f>
        <v xml:space="preserve">Stochastic </v>
      </c>
      <c r="F8">
        <f>SMALL(SimData!$B$9:$B$108,1)</f>
        <v>8.1958591130899396</v>
      </c>
      <c r="G8">
        <v>0</v>
      </c>
    </row>
    <row r="9" spans="1:7">
      <c r="A9">
        <v>1</v>
      </c>
      <c r="B9">
        <v>34.922234214463863</v>
      </c>
      <c r="F9">
        <f>SMALL(SimData!$B$9:$B$108,2)</f>
        <v>8.3701284424352203</v>
      </c>
      <c r="G9">
        <f>1/(COUNT(SimData!$B$9:$B$108)-1)+$G$8</f>
        <v>1.0101010101010102E-2</v>
      </c>
    </row>
    <row r="10" spans="1:7">
      <c r="A10">
        <v>2</v>
      </c>
      <c r="B10">
        <v>29.213976295695645</v>
      </c>
      <c r="F10">
        <f>SMALL(SimData!$B$9:$B$108,3)</f>
        <v>10.970991550023589</v>
      </c>
      <c r="G10">
        <f>1/(COUNT(SimData!$B$9:$B$108)-1)+$G$9</f>
        <v>2.0202020202020204E-2</v>
      </c>
    </row>
    <row r="11" spans="1:7">
      <c r="A11">
        <v>3</v>
      </c>
      <c r="B11">
        <v>36.771692752821728</v>
      </c>
      <c r="F11">
        <f>SMALL(SimData!$B$9:$B$108,4)</f>
        <v>12.205514464974383</v>
      </c>
      <c r="G11">
        <f>1/(COUNT(SimData!$B$9:$B$108)-1)+$G$10</f>
        <v>3.0303030303030304E-2</v>
      </c>
    </row>
    <row r="12" spans="1:7">
      <c r="A12">
        <v>4</v>
      </c>
      <c r="B12">
        <v>41.784422044278458</v>
      </c>
      <c r="F12">
        <f>SMALL(SimData!$B$9:$B$108,5)</f>
        <v>12.92310290276531</v>
      </c>
      <c r="G12">
        <f>1/(COUNT(SimData!$B$9:$B$108)-1)+$G$11</f>
        <v>4.0404040404040407E-2</v>
      </c>
    </row>
    <row r="13" spans="1:7">
      <c r="A13">
        <v>5</v>
      </c>
      <c r="B13">
        <v>46.944308200042983</v>
      </c>
      <c r="F13">
        <f>SMALL(SimData!$B$9:$B$108,6)</f>
        <v>14.503623795927162</v>
      </c>
      <c r="G13">
        <f>1/(COUNT(SimData!$B$9:$B$108)-1)+$G$12</f>
        <v>5.0505050505050511E-2</v>
      </c>
    </row>
    <row r="14" spans="1:7">
      <c r="A14">
        <v>6</v>
      </c>
      <c r="B14">
        <v>40.522893698508</v>
      </c>
      <c r="F14">
        <f>SMALL(SimData!$B$9:$B$108,7)</f>
        <v>14.723974756828028</v>
      </c>
      <c r="G14">
        <f>1/(COUNT(SimData!$B$9:$B$108)-1)+$G$13</f>
        <v>6.0606060606060615E-2</v>
      </c>
    </row>
    <row r="15" spans="1:7">
      <c r="A15">
        <v>7</v>
      </c>
      <c r="B15">
        <v>17.573595761146354</v>
      </c>
      <c r="F15">
        <f>SMALL(SimData!$B$9:$B$108,8)</f>
        <v>16.167166283056208</v>
      </c>
      <c r="G15">
        <f>1/(COUNT(SimData!$B$9:$B$108)-1)+$G$14</f>
        <v>7.0707070707070718E-2</v>
      </c>
    </row>
    <row r="16" spans="1:7">
      <c r="A16">
        <v>8</v>
      </c>
      <c r="B16">
        <v>28.177202747109945</v>
      </c>
      <c r="F16">
        <f>SMALL(SimData!$B$9:$B$108,9)</f>
        <v>17.036898879588559</v>
      </c>
      <c r="G16">
        <f>1/(COUNT(SimData!$B$9:$B$108)-1)+$G$15</f>
        <v>8.0808080808080815E-2</v>
      </c>
    </row>
    <row r="17" spans="1:7">
      <c r="A17">
        <v>9</v>
      </c>
      <c r="B17">
        <v>47.803228722561556</v>
      </c>
      <c r="F17">
        <f>SMALL(SimData!$B$9:$B$108,10)</f>
        <v>17.573595761146354</v>
      </c>
      <c r="G17">
        <f>1/(COUNT(SimData!$B$9:$B$108)-1)+$G$16</f>
        <v>9.0909090909090912E-2</v>
      </c>
    </row>
    <row r="18" spans="1:7">
      <c r="A18">
        <v>10</v>
      </c>
      <c r="B18">
        <v>38.542403050895693</v>
      </c>
      <c r="F18">
        <f>SMALL(SimData!$B$9:$B$108,11)</f>
        <v>18.290462115476224</v>
      </c>
      <c r="G18">
        <f>1/(COUNT(SimData!$B$9:$B$108)-1)+$G$17</f>
        <v>0.10101010101010101</v>
      </c>
    </row>
    <row r="19" spans="1:7">
      <c r="A19">
        <v>11</v>
      </c>
      <c r="B19">
        <v>38.932944586969157</v>
      </c>
      <c r="F19">
        <f>SMALL(SimData!$B$9:$B$108,12)</f>
        <v>19.415919956512646</v>
      </c>
      <c r="G19">
        <f>1/(COUNT(SimData!$B$9:$B$108)-1)+$G$18</f>
        <v>0.1111111111111111</v>
      </c>
    </row>
    <row r="20" spans="1:7">
      <c r="A20">
        <v>12</v>
      </c>
      <c r="B20">
        <v>26.480488538459767</v>
      </c>
      <c r="F20">
        <f>SMALL(SimData!$B$9:$B$108,13)</f>
        <v>19.909442991711064</v>
      </c>
      <c r="G20">
        <f>1/(COUNT(SimData!$B$9:$B$108)-1)+$G$19</f>
        <v>0.1212121212121212</v>
      </c>
    </row>
    <row r="21" spans="1:7">
      <c r="A21">
        <v>13</v>
      </c>
      <c r="B21">
        <v>46.266841079693044</v>
      </c>
      <c r="F21">
        <f>SMALL(SimData!$B$9:$B$108,14)</f>
        <v>20.758996097153574</v>
      </c>
      <c r="G21">
        <f>1/(COUNT(SimData!$B$9:$B$108)-1)+$G$20</f>
        <v>0.1313131313131313</v>
      </c>
    </row>
    <row r="22" spans="1:7">
      <c r="A22">
        <v>14</v>
      </c>
      <c r="B22">
        <v>21.470406058432502</v>
      </c>
      <c r="F22">
        <f>SMALL(SimData!$B$9:$B$108,15)</f>
        <v>21.470406058432502</v>
      </c>
      <c r="G22">
        <f>1/(COUNT(SimData!$B$9:$B$108)-1)+$G$21</f>
        <v>0.14141414141414141</v>
      </c>
    </row>
    <row r="23" spans="1:7">
      <c r="A23">
        <v>15</v>
      </c>
      <c r="B23">
        <v>28.541795530764151</v>
      </c>
      <c r="F23">
        <f>SMALL(SimData!$B$9:$B$108,16)</f>
        <v>21.872307984904477</v>
      </c>
      <c r="G23">
        <f>1/(COUNT(SimData!$B$9:$B$108)-1)+$G$22</f>
        <v>0.15151515151515152</v>
      </c>
    </row>
    <row r="24" spans="1:7">
      <c r="A24">
        <v>16</v>
      </c>
      <c r="B24">
        <v>33.941228040437586</v>
      </c>
      <c r="F24">
        <f>SMALL(SimData!$B$9:$B$108,17)</f>
        <v>22.470119874560741</v>
      </c>
      <c r="G24">
        <f>1/(COUNT(SimData!$B$9:$B$108)-1)+$G$23</f>
        <v>0.16161616161616163</v>
      </c>
    </row>
    <row r="25" spans="1:7">
      <c r="A25">
        <v>17</v>
      </c>
      <c r="B25">
        <v>42.408004658380491</v>
      </c>
      <c r="F25">
        <f>SMALL(SimData!$B$9:$B$108,18)</f>
        <v>23.432113730102149</v>
      </c>
      <c r="G25">
        <f>1/(COUNT(SimData!$B$9:$B$108)-1)+$G$24</f>
        <v>0.17171717171717174</v>
      </c>
    </row>
    <row r="26" spans="1:7">
      <c r="A26">
        <v>18</v>
      </c>
      <c r="B26">
        <v>36.069951068619339</v>
      </c>
      <c r="F26">
        <f>SMALL(SimData!$B$9:$B$108,19)</f>
        <v>23.602482635797003</v>
      </c>
      <c r="G26">
        <f>1/(COUNT(SimData!$B$9:$B$108)-1)+$G$25</f>
        <v>0.18181818181818185</v>
      </c>
    </row>
    <row r="27" spans="1:7">
      <c r="A27">
        <v>19</v>
      </c>
      <c r="B27">
        <v>41.284998405477388</v>
      </c>
      <c r="F27">
        <f>SMALL(SimData!$B$9:$B$108,20)</f>
        <v>24.391233538107656</v>
      </c>
      <c r="G27">
        <f>1/(COUNT(SimData!$B$9:$B$108)-1)+$G$26</f>
        <v>0.19191919191919196</v>
      </c>
    </row>
    <row r="28" spans="1:7">
      <c r="A28">
        <v>20</v>
      </c>
      <c r="B28">
        <v>37.61675337019031</v>
      </c>
      <c r="F28">
        <f>SMALL(SimData!$B$9:$B$108,21)</f>
        <v>24.562117996402854</v>
      </c>
      <c r="G28">
        <f>1/(COUNT(SimData!$B$9:$B$108)-1)+$G$27</f>
        <v>0.20202020202020207</v>
      </c>
    </row>
    <row r="29" spans="1:7">
      <c r="A29">
        <v>21</v>
      </c>
      <c r="B29">
        <v>8.3701284424352203</v>
      </c>
      <c r="F29">
        <f>SMALL(SimData!$B$9:$B$108,22)</f>
        <v>25.093747977749619</v>
      </c>
      <c r="G29">
        <f>1/(COUNT(SimData!$B$9:$B$108)-1)+$G$28</f>
        <v>0.21212121212121218</v>
      </c>
    </row>
    <row r="30" spans="1:7">
      <c r="A30">
        <v>22</v>
      </c>
      <c r="B30">
        <v>23.602482635797003</v>
      </c>
      <c r="F30">
        <f>SMALL(SimData!$B$9:$B$108,23)</f>
        <v>25.618824845204045</v>
      </c>
      <c r="G30">
        <f>1/(COUNT(SimData!$B$9:$B$108)-1)+$G$29</f>
        <v>0.22222222222222229</v>
      </c>
    </row>
    <row r="31" spans="1:7">
      <c r="A31">
        <v>23</v>
      </c>
      <c r="B31">
        <v>37.980291852075268</v>
      </c>
      <c r="F31">
        <f>SMALL(SimData!$B$9:$B$108,24)</f>
        <v>25.951173637077346</v>
      </c>
      <c r="G31">
        <f>1/(COUNT(SimData!$B$9:$B$108)-1)+$G$30</f>
        <v>0.2323232323232324</v>
      </c>
    </row>
    <row r="32" spans="1:7">
      <c r="A32">
        <v>24</v>
      </c>
      <c r="B32">
        <v>20.758996097153574</v>
      </c>
      <c r="F32">
        <f>SMALL(SimData!$B$9:$B$108,25)</f>
        <v>26.480488538459767</v>
      </c>
      <c r="G32">
        <f>1/(COUNT(SimData!$B$9:$B$108)-1)+$G$31</f>
        <v>0.24242424242424251</v>
      </c>
    </row>
    <row r="33" spans="1:7">
      <c r="A33">
        <v>25</v>
      </c>
      <c r="B33">
        <v>44.033594822257385</v>
      </c>
      <c r="F33">
        <f>SMALL(SimData!$B$9:$B$108,26)</f>
        <v>26.758276955207315</v>
      </c>
      <c r="G33">
        <f>1/(COUNT(SimData!$B$9:$B$108)-1)+$G$32</f>
        <v>0.2525252525252526</v>
      </c>
    </row>
    <row r="34" spans="1:7">
      <c r="A34">
        <v>26</v>
      </c>
      <c r="B34">
        <v>32.088106873240818</v>
      </c>
      <c r="F34">
        <f>SMALL(SimData!$B$9:$B$108,27)</f>
        <v>27.313575678166764</v>
      </c>
      <c r="G34">
        <f>1/(COUNT(SimData!$B$9:$B$108)-1)+$G$33</f>
        <v>0.26262626262626271</v>
      </c>
    </row>
    <row r="35" spans="1:7">
      <c r="A35">
        <v>27</v>
      </c>
      <c r="B35">
        <v>34.847671267967677</v>
      </c>
      <c r="F35">
        <f>SMALL(SimData!$B$9:$B$108,28)</f>
        <v>27.603143652495174</v>
      </c>
      <c r="G35">
        <f>1/(COUNT(SimData!$B$9:$B$108)-1)+$G$34</f>
        <v>0.27272727272727282</v>
      </c>
    </row>
    <row r="36" spans="1:7">
      <c r="A36">
        <v>28</v>
      </c>
      <c r="B36">
        <v>27.313575678166764</v>
      </c>
      <c r="F36">
        <f>SMALL(SimData!$B$9:$B$108,29)</f>
        <v>28.177202747109945</v>
      </c>
      <c r="G36">
        <f>1/(COUNT(SimData!$B$9:$B$108)-1)+$G$35</f>
        <v>0.28282828282828293</v>
      </c>
    </row>
    <row r="37" spans="1:7">
      <c r="A37">
        <v>29</v>
      </c>
      <c r="B37">
        <v>42.972016333891204</v>
      </c>
      <c r="F37">
        <f>SMALL(SimData!$B$9:$B$108,30)</f>
        <v>28.541795530764151</v>
      </c>
      <c r="G37">
        <f>1/(COUNT(SimData!$B$9:$B$108)-1)+$G$36</f>
        <v>0.29292929292929304</v>
      </c>
    </row>
    <row r="38" spans="1:7">
      <c r="A38">
        <v>30</v>
      </c>
      <c r="B38">
        <v>36.502767386521981</v>
      </c>
      <c r="F38">
        <f>SMALL(SimData!$B$9:$B$108,31)</f>
        <v>28.90002762044093</v>
      </c>
      <c r="G38">
        <f>1/(COUNT(SimData!$B$9:$B$108)-1)+$G$37</f>
        <v>0.30303030303030315</v>
      </c>
    </row>
    <row r="39" spans="1:7">
      <c r="A39">
        <v>31</v>
      </c>
      <c r="B39">
        <v>34.165460310746411</v>
      </c>
      <c r="F39">
        <f>SMALL(SimData!$B$9:$B$108,32)</f>
        <v>29.213976295695645</v>
      </c>
      <c r="G39">
        <f>1/(COUNT(SimData!$B$9:$B$108)-1)+$G$38</f>
        <v>0.31313131313131326</v>
      </c>
    </row>
    <row r="40" spans="1:7">
      <c r="A40">
        <v>32</v>
      </c>
      <c r="B40">
        <v>33.695878127415305</v>
      </c>
      <c r="F40">
        <f>SMALL(SimData!$B$9:$B$108,33)</f>
        <v>29.53753064890169</v>
      </c>
      <c r="G40">
        <f>1/(COUNT(SimData!$B$9:$B$108)-1)+$G$39</f>
        <v>0.32323232323232337</v>
      </c>
    </row>
    <row r="41" spans="1:7">
      <c r="A41">
        <v>33</v>
      </c>
      <c r="B41">
        <v>33.355673205262384</v>
      </c>
      <c r="F41">
        <f>SMALL(SimData!$B$9:$B$108,34)</f>
        <v>29.85465459455714</v>
      </c>
      <c r="G41">
        <f>1/(COUNT(SimData!$B$9:$B$108)-1)+$G$40</f>
        <v>0.33333333333333348</v>
      </c>
    </row>
    <row r="42" spans="1:7">
      <c r="A42">
        <v>34</v>
      </c>
      <c r="B42">
        <v>48.538813529427657</v>
      </c>
      <c r="F42">
        <f>SMALL(SimData!$B$9:$B$108,35)</f>
        <v>30.101715279319023</v>
      </c>
      <c r="G42">
        <f>1/(COUNT(SimData!$B$9:$B$108)-1)+$G$41</f>
        <v>0.34343434343434359</v>
      </c>
    </row>
    <row r="43" spans="1:7">
      <c r="A43">
        <v>35</v>
      </c>
      <c r="B43">
        <v>42.04122099661415</v>
      </c>
      <c r="F43">
        <f>SMALL(SimData!$B$9:$B$108,36)</f>
        <v>30.443873862098016</v>
      </c>
      <c r="G43">
        <f>1/(COUNT(SimData!$B$9:$B$108)-1)+$G$42</f>
        <v>0.3535353535353537</v>
      </c>
    </row>
    <row r="44" spans="1:7">
      <c r="A44">
        <v>36</v>
      </c>
      <c r="B44">
        <v>23.432113730102149</v>
      </c>
      <c r="F44">
        <f>SMALL(SimData!$B$9:$B$108,37)</f>
        <v>30.814566426219194</v>
      </c>
      <c r="G44">
        <f>1/(COUNT(SimData!$B$9:$B$108)-1)+$G$43</f>
        <v>0.36363636363636381</v>
      </c>
    </row>
    <row r="45" spans="1:7">
      <c r="A45">
        <v>37</v>
      </c>
      <c r="B45">
        <v>45.569988426535218</v>
      </c>
      <c r="F45">
        <f>SMALL(SimData!$B$9:$B$108,38)</f>
        <v>31.096049964482528</v>
      </c>
      <c r="G45">
        <f>1/(COUNT(SimData!$B$9:$B$108)-1)+$G$44</f>
        <v>0.37373737373737392</v>
      </c>
    </row>
    <row r="46" spans="1:7">
      <c r="A46">
        <v>38</v>
      </c>
      <c r="B46">
        <v>43.126711457529332</v>
      </c>
      <c r="F46">
        <f>SMALL(SimData!$B$9:$B$108,39)</f>
        <v>31.222489716365491</v>
      </c>
      <c r="G46">
        <f>1/(COUNT(SimData!$B$9:$B$108)-1)+$G$45</f>
        <v>0.38383838383838403</v>
      </c>
    </row>
    <row r="47" spans="1:7">
      <c r="A47">
        <v>39</v>
      </c>
      <c r="B47">
        <v>36.218688140498543</v>
      </c>
      <c r="F47">
        <f>SMALL(SimData!$B$9:$B$108,40)</f>
        <v>31.585590255690164</v>
      </c>
      <c r="G47">
        <f>1/(COUNT(SimData!$B$9:$B$108)-1)+$G$46</f>
        <v>0.39393939393939414</v>
      </c>
    </row>
    <row r="48" spans="1:7">
      <c r="A48">
        <v>40</v>
      </c>
      <c r="B48">
        <v>32.788706299217118</v>
      </c>
      <c r="F48">
        <f>SMALL(SimData!$B$9:$B$108,41)</f>
        <v>32.088106873240818</v>
      </c>
      <c r="G48">
        <f>1/(COUNT(SimData!$B$9:$B$108)-1)+$G$47</f>
        <v>0.40404040404040426</v>
      </c>
    </row>
    <row r="49" spans="1:7">
      <c r="A49">
        <v>41</v>
      </c>
      <c r="B49">
        <v>49.966713471115916</v>
      </c>
      <c r="F49">
        <f>SMALL(SimData!$B$9:$B$108,42)</f>
        <v>32.332296828978123</v>
      </c>
      <c r="G49">
        <f>1/(COUNT(SimData!$B$9:$B$108)-1)+$G$48</f>
        <v>0.41414141414141437</v>
      </c>
    </row>
    <row r="50" spans="1:7">
      <c r="A50">
        <v>42</v>
      </c>
      <c r="B50">
        <v>39.044305445440692</v>
      </c>
      <c r="F50">
        <f>SMALL(SimData!$B$9:$B$108,43)</f>
        <v>32.673653908064033</v>
      </c>
      <c r="G50">
        <f>1/(COUNT(SimData!$B$9:$B$108)-1)+$G$49</f>
        <v>0.42424242424242448</v>
      </c>
    </row>
    <row r="51" spans="1:7">
      <c r="A51">
        <v>43</v>
      </c>
      <c r="B51">
        <v>39.886424249186305</v>
      </c>
      <c r="F51">
        <f>SMALL(SimData!$B$9:$B$108,44)</f>
        <v>32.788706299217118</v>
      </c>
      <c r="G51">
        <f>1/(COUNT(SimData!$B$9:$B$108)-1)+$G$50</f>
        <v>0.43434343434343459</v>
      </c>
    </row>
    <row r="52" spans="1:7">
      <c r="A52">
        <v>44</v>
      </c>
      <c r="B52">
        <v>24.562117996402854</v>
      </c>
      <c r="F52">
        <f>SMALL(SimData!$B$9:$B$108,45)</f>
        <v>33.046582150270304</v>
      </c>
      <c r="G52">
        <f>1/(COUNT(SimData!$B$9:$B$108)-1)+$G$51</f>
        <v>0.4444444444444447</v>
      </c>
    </row>
    <row r="53" spans="1:7">
      <c r="A53">
        <v>45</v>
      </c>
      <c r="B53">
        <v>24.391233538107656</v>
      </c>
      <c r="F53">
        <f>SMALL(SimData!$B$9:$B$108,46)</f>
        <v>33.355673205262384</v>
      </c>
      <c r="G53">
        <f>1/(COUNT(SimData!$B$9:$B$108)-1)+$G$52</f>
        <v>0.45454545454545481</v>
      </c>
    </row>
    <row r="54" spans="1:7">
      <c r="A54">
        <v>46</v>
      </c>
      <c r="B54">
        <v>28.90002762044093</v>
      </c>
      <c r="F54">
        <f>SMALL(SimData!$B$9:$B$108,47)</f>
        <v>33.695878127415305</v>
      </c>
      <c r="G54">
        <f>1/(COUNT(SimData!$B$9:$B$108)-1)+$G$53</f>
        <v>0.46464646464646492</v>
      </c>
    </row>
    <row r="55" spans="1:7">
      <c r="A55">
        <v>47</v>
      </c>
      <c r="B55">
        <v>45.336906188906632</v>
      </c>
      <c r="F55">
        <f>SMALL(SimData!$B$9:$B$108,48)</f>
        <v>33.941228040437586</v>
      </c>
      <c r="G55">
        <f>1/(COUNT(SimData!$B$9:$B$108)-1)+$G$54</f>
        <v>0.47474747474747503</v>
      </c>
    </row>
    <row r="56" spans="1:7">
      <c r="A56">
        <v>48</v>
      </c>
      <c r="B56">
        <v>43.470934100659811</v>
      </c>
      <c r="F56">
        <f>SMALL(SimData!$B$9:$B$108,49)</f>
        <v>34.165460310746411</v>
      </c>
      <c r="G56">
        <f>1/(COUNT(SimData!$B$9:$B$108)-1)+$G$55</f>
        <v>0.48484848484848514</v>
      </c>
    </row>
    <row r="57" spans="1:7">
      <c r="A57">
        <v>49</v>
      </c>
      <c r="B57">
        <v>18.290462115476224</v>
      </c>
      <c r="F57">
        <f>SMALL(SimData!$B$9:$B$108,50)</f>
        <v>34.404370344714444</v>
      </c>
      <c r="G57">
        <f>1/(COUNT(SimData!$B$9:$B$108)-1)+$G$56</f>
        <v>0.49494949494949525</v>
      </c>
    </row>
    <row r="58" spans="1:7">
      <c r="A58">
        <v>50</v>
      </c>
      <c r="B58">
        <v>25.618824845204045</v>
      </c>
      <c r="F58">
        <f>SMALL(SimData!$B$9:$B$108,51)</f>
        <v>34.847671267967677</v>
      </c>
      <c r="G58">
        <f>1/(COUNT(SimData!$B$9:$B$108)-1)+$G$57</f>
        <v>0.50505050505050531</v>
      </c>
    </row>
    <row r="59" spans="1:7">
      <c r="A59">
        <v>51</v>
      </c>
      <c r="B59">
        <v>44.419749067692706</v>
      </c>
      <c r="F59">
        <f>SMALL(SimData!$B$9:$B$108,52)</f>
        <v>34.922234214463863</v>
      </c>
      <c r="G59">
        <f>1/(COUNT(SimData!$B$9:$B$108)-1)+$G$58</f>
        <v>0.51515151515151536</v>
      </c>
    </row>
    <row r="60" spans="1:7">
      <c r="A60">
        <v>52</v>
      </c>
      <c r="B60">
        <v>39.352147071562889</v>
      </c>
      <c r="F60">
        <f>SMALL(SimData!$B$9:$B$108,53)</f>
        <v>35.396309128454334</v>
      </c>
      <c r="G60">
        <f>1/(COUNT(SimData!$B$9:$B$108)-1)+$G$59</f>
        <v>0.52525252525252542</v>
      </c>
    </row>
    <row r="61" spans="1:7">
      <c r="A61">
        <v>53</v>
      </c>
      <c r="B61">
        <v>39.560585296527613</v>
      </c>
      <c r="F61">
        <f>SMALL(SimData!$B$9:$B$108,54)</f>
        <v>35.454048226614802</v>
      </c>
      <c r="G61">
        <f>1/(COUNT(SimData!$B$9:$B$108)-1)+$G$60</f>
        <v>0.53535353535353547</v>
      </c>
    </row>
    <row r="62" spans="1:7">
      <c r="A62">
        <v>54</v>
      </c>
      <c r="B62">
        <v>37.231045564334245</v>
      </c>
      <c r="F62">
        <f>SMALL(SimData!$B$9:$B$108,55)</f>
        <v>35.892194352786888</v>
      </c>
      <c r="G62">
        <f>1/(COUNT(SimData!$B$9:$B$108)-1)+$G$61</f>
        <v>0.54545454545454553</v>
      </c>
    </row>
    <row r="63" spans="1:7">
      <c r="A63">
        <v>55</v>
      </c>
      <c r="B63">
        <v>37.545835538741301</v>
      </c>
      <c r="F63">
        <f>SMALL(SimData!$B$9:$B$108,56)</f>
        <v>36.069951068619339</v>
      </c>
      <c r="G63">
        <f>1/(COUNT(SimData!$B$9:$B$108)-1)+$G$62</f>
        <v>0.55555555555555558</v>
      </c>
    </row>
    <row r="64" spans="1:7">
      <c r="A64">
        <v>56</v>
      </c>
      <c r="B64">
        <v>19.909442991711064</v>
      </c>
      <c r="F64">
        <f>SMALL(SimData!$B$9:$B$108,57)</f>
        <v>36.218688140498543</v>
      </c>
      <c r="G64">
        <f>1/(COUNT(SimData!$B$9:$B$108)-1)+$G$63</f>
        <v>0.56565656565656564</v>
      </c>
    </row>
    <row r="65" spans="1:7">
      <c r="A65">
        <v>57</v>
      </c>
      <c r="B65">
        <v>46.883223767335885</v>
      </c>
      <c r="F65">
        <f>SMALL(SimData!$B$9:$B$108,58)</f>
        <v>36.502767386521981</v>
      </c>
      <c r="G65">
        <f>1/(COUNT(SimData!$B$9:$B$108)-1)+$G$64</f>
        <v>0.57575757575757569</v>
      </c>
    </row>
    <row r="66" spans="1:7">
      <c r="A66">
        <v>58</v>
      </c>
      <c r="B66">
        <v>21.872307984904477</v>
      </c>
      <c r="F66">
        <f>SMALL(SimData!$B$9:$B$108,59)</f>
        <v>36.771692752821728</v>
      </c>
      <c r="G66">
        <f>1/(COUNT(SimData!$B$9:$B$108)-1)+$G$65</f>
        <v>0.58585858585858575</v>
      </c>
    </row>
    <row r="67" spans="1:7">
      <c r="A67">
        <v>59</v>
      </c>
      <c r="B67">
        <v>30.814566426219194</v>
      </c>
      <c r="F67">
        <f>SMALL(SimData!$B$9:$B$108,60)</f>
        <v>36.934100899807405</v>
      </c>
      <c r="G67">
        <f>1/(COUNT(SimData!$B$9:$B$108)-1)+$G$66</f>
        <v>0.5959595959595958</v>
      </c>
    </row>
    <row r="68" spans="1:7">
      <c r="A68">
        <v>60</v>
      </c>
      <c r="B68">
        <v>39.959670948415734</v>
      </c>
      <c r="F68">
        <f>SMALL(SimData!$B$9:$B$108,61)</f>
        <v>37.231045564334245</v>
      </c>
      <c r="G68">
        <f>1/(COUNT(SimData!$B$9:$B$108)-1)+$G$67</f>
        <v>0.60606060606060586</v>
      </c>
    </row>
    <row r="69" spans="1:7">
      <c r="A69">
        <v>61</v>
      </c>
      <c r="B69">
        <v>42.626391756534936</v>
      </c>
      <c r="F69">
        <f>SMALL(SimData!$B$9:$B$108,62)</f>
        <v>37.545835538741301</v>
      </c>
      <c r="G69">
        <f>1/(COUNT(SimData!$B$9:$B$108)-1)+$G$68</f>
        <v>0.61616161616161591</v>
      </c>
    </row>
    <row r="70" spans="1:7">
      <c r="A70">
        <v>62</v>
      </c>
      <c r="B70">
        <v>25.093747977749619</v>
      </c>
      <c r="F70">
        <f>SMALL(SimData!$B$9:$B$108,63)</f>
        <v>37.61675337019031</v>
      </c>
      <c r="G70">
        <f>1/(COUNT(SimData!$B$9:$B$108)-1)+$G$69</f>
        <v>0.62626262626262597</v>
      </c>
    </row>
    <row r="71" spans="1:7">
      <c r="A71">
        <v>63</v>
      </c>
      <c r="B71">
        <v>40.361519279590013</v>
      </c>
      <c r="F71">
        <f>SMALL(SimData!$B$9:$B$108,64)</f>
        <v>37.980291852075268</v>
      </c>
      <c r="G71">
        <f>1/(COUNT(SimData!$B$9:$B$108)-1)+$G$70</f>
        <v>0.63636363636363602</v>
      </c>
    </row>
    <row r="72" spans="1:7">
      <c r="A72">
        <v>64</v>
      </c>
      <c r="B72">
        <v>29.85465459455714</v>
      </c>
      <c r="F72">
        <f>SMALL(SimData!$B$9:$B$108,65)</f>
        <v>38.148089087789131</v>
      </c>
      <c r="G72">
        <f>1/(COUNT(SimData!$B$9:$B$108)-1)+$G$71</f>
        <v>0.64646464646464608</v>
      </c>
    </row>
    <row r="73" spans="1:7">
      <c r="A73">
        <v>65</v>
      </c>
      <c r="B73">
        <v>26.758276955207315</v>
      </c>
      <c r="F73">
        <f>SMALL(SimData!$B$9:$B$108,66)</f>
        <v>38.420164623961362</v>
      </c>
      <c r="G73">
        <f>1/(COUNT(SimData!$B$9:$B$108)-1)+$G$72</f>
        <v>0.65656565656565613</v>
      </c>
    </row>
    <row r="74" spans="1:7">
      <c r="A74">
        <v>66</v>
      </c>
      <c r="B74">
        <v>31.222489716365491</v>
      </c>
      <c r="F74">
        <f>SMALL(SimData!$B$9:$B$108,67)</f>
        <v>38.542403050895693</v>
      </c>
      <c r="G74">
        <f>1/(COUNT(SimData!$B$9:$B$108)-1)+$G$73</f>
        <v>0.66666666666666619</v>
      </c>
    </row>
    <row r="75" spans="1:7">
      <c r="A75">
        <v>67</v>
      </c>
      <c r="B75">
        <v>10.970991550023589</v>
      </c>
      <c r="F75">
        <f>SMALL(SimData!$B$9:$B$108,68)</f>
        <v>38.932944586969157</v>
      </c>
      <c r="G75">
        <f>1/(COUNT(SimData!$B$9:$B$108)-1)+$G$74</f>
        <v>0.67676767676767624</v>
      </c>
    </row>
    <row r="76" spans="1:7">
      <c r="A76">
        <v>68</v>
      </c>
      <c r="B76">
        <v>19.415919956512646</v>
      </c>
      <c r="F76">
        <f>SMALL(SimData!$B$9:$B$108,69)</f>
        <v>39.044305445440692</v>
      </c>
      <c r="G76">
        <f>1/(COUNT(SimData!$B$9:$B$108)-1)+$G$75</f>
        <v>0.6868686868686863</v>
      </c>
    </row>
    <row r="77" spans="1:7">
      <c r="A77">
        <v>69</v>
      </c>
      <c r="B77">
        <v>17.036898879588559</v>
      </c>
      <c r="F77">
        <f>SMALL(SimData!$B$9:$B$108,70)</f>
        <v>39.352147071562889</v>
      </c>
      <c r="G77">
        <f>1/(COUNT(SimData!$B$9:$B$108)-1)+$G$76</f>
        <v>0.69696969696969635</v>
      </c>
    </row>
    <row r="78" spans="1:7">
      <c r="A78">
        <v>70</v>
      </c>
      <c r="B78">
        <v>29.53753064890169</v>
      </c>
      <c r="F78">
        <f>SMALL(SimData!$B$9:$B$108,71)</f>
        <v>39.560585296527613</v>
      </c>
      <c r="G78">
        <f>1/(COUNT(SimData!$B$9:$B$108)-1)+$G$77</f>
        <v>0.70707070707070641</v>
      </c>
    </row>
    <row r="79" spans="1:7">
      <c r="A79">
        <v>71</v>
      </c>
      <c r="B79">
        <v>40.890059366113952</v>
      </c>
      <c r="F79">
        <f>SMALL(SimData!$B$9:$B$108,72)</f>
        <v>39.886424249186305</v>
      </c>
      <c r="G79">
        <f>1/(COUNT(SimData!$B$9:$B$108)-1)+$G$78</f>
        <v>0.71717171717171646</v>
      </c>
    </row>
    <row r="80" spans="1:7">
      <c r="A80">
        <v>72</v>
      </c>
      <c r="B80">
        <v>22.470119874560741</v>
      </c>
      <c r="F80">
        <f>SMALL(SimData!$B$9:$B$108,73)</f>
        <v>39.959670948415734</v>
      </c>
      <c r="G80">
        <f>1/(COUNT(SimData!$B$9:$B$108)-1)+$G$79</f>
        <v>0.72727272727272652</v>
      </c>
    </row>
    <row r="81" spans="1:7">
      <c r="A81">
        <v>73</v>
      </c>
      <c r="B81">
        <v>30.101715279319023</v>
      </c>
      <c r="F81">
        <f>SMALL(SimData!$B$9:$B$108,74)</f>
        <v>40.361519279590013</v>
      </c>
      <c r="G81">
        <f>1/(COUNT(SimData!$B$9:$B$108)-1)+$G$80</f>
        <v>0.73737373737373657</v>
      </c>
    </row>
    <row r="82" spans="1:7">
      <c r="A82">
        <v>74</v>
      </c>
      <c r="B82">
        <v>8.1958591130899396</v>
      </c>
      <c r="F82">
        <f>SMALL(SimData!$B$9:$B$108,75)</f>
        <v>40.522893698508</v>
      </c>
      <c r="G82">
        <f>1/(COUNT(SimData!$B$9:$B$108)-1)+$G$81</f>
        <v>0.74747474747474663</v>
      </c>
    </row>
    <row r="83" spans="1:7">
      <c r="A83">
        <v>75</v>
      </c>
      <c r="B83">
        <v>31.585590255690164</v>
      </c>
      <c r="F83">
        <f>SMALL(SimData!$B$9:$B$108,76)</f>
        <v>40.630920374631309</v>
      </c>
      <c r="G83">
        <f>1/(COUNT(SimData!$B$9:$B$108)-1)+$G$82</f>
        <v>0.75757575757575668</v>
      </c>
    </row>
    <row r="84" spans="1:7">
      <c r="A84">
        <v>76</v>
      </c>
      <c r="B84">
        <v>12.92310290276531</v>
      </c>
      <c r="F84">
        <f>SMALL(SimData!$B$9:$B$108,77)</f>
        <v>40.890059366113952</v>
      </c>
      <c r="G84">
        <f>1/(COUNT(SimData!$B$9:$B$108)-1)+$G$83</f>
        <v>0.76767676767676674</v>
      </c>
    </row>
    <row r="85" spans="1:7">
      <c r="A85">
        <v>77</v>
      </c>
      <c r="B85">
        <v>41.390144492649426</v>
      </c>
      <c r="F85">
        <f>SMALL(SimData!$B$9:$B$108,78)</f>
        <v>41.284998405477388</v>
      </c>
      <c r="G85">
        <f>1/(COUNT(SimData!$B$9:$B$108)-1)+$G$84</f>
        <v>0.77777777777777679</v>
      </c>
    </row>
    <row r="86" spans="1:7">
      <c r="A86">
        <v>78</v>
      </c>
      <c r="B86">
        <v>16.167166283056208</v>
      </c>
      <c r="F86">
        <f>SMALL(SimData!$B$9:$B$108,79)</f>
        <v>41.390144492649426</v>
      </c>
      <c r="G86">
        <f>1/(COUNT(SimData!$B$9:$B$108)-1)+$G$85</f>
        <v>0.78787878787878685</v>
      </c>
    </row>
    <row r="87" spans="1:7">
      <c r="A87">
        <v>79</v>
      </c>
      <c r="B87">
        <v>35.396309128454334</v>
      </c>
      <c r="F87">
        <f>SMALL(SimData!$B$9:$B$108,80)</f>
        <v>41.784422044278458</v>
      </c>
      <c r="G87">
        <f>1/(COUNT(SimData!$B$9:$B$108)-1)+$G$86</f>
        <v>0.7979797979797969</v>
      </c>
    </row>
    <row r="88" spans="1:7">
      <c r="A88">
        <v>80</v>
      </c>
      <c r="B88">
        <v>25.951173637077346</v>
      </c>
      <c r="F88">
        <f>SMALL(SimData!$B$9:$B$108,81)</f>
        <v>42.04122099661415</v>
      </c>
      <c r="G88">
        <f>1/(COUNT(SimData!$B$9:$B$108)-1)+$G$87</f>
        <v>0.80808080808080696</v>
      </c>
    </row>
    <row r="89" spans="1:7">
      <c r="A89">
        <v>81</v>
      </c>
      <c r="B89">
        <v>33.046582150270304</v>
      </c>
      <c r="F89">
        <f>SMALL(SimData!$B$9:$B$108,82)</f>
        <v>42.408004658380491</v>
      </c>
      <c r="G89">
        <f>1/(COUNT(SimData!$B$9:$B$108)-1)+$G$88</f>
        <v>0.81818181818181701</v>
      </c>
    </row>
    <row r="90" spans="1:7">
      <c r="A90">
        <v>82</v>
      </c>
      <c r="B90">
        <v>34.404370344714444</v>
      </c>
      <c r="F90">
        <f>SMALL(SimData!$B$9:$B$108,83)</f>
        <v>42.626391756534936</v>
      </c>
      <c r="G90">
        <f>1/(COUNT(SimData!$B$9:$B$108)-1)+$G$89</f>
        <v>0.82828282828282707</v>
      </c>
    </row>
    <row r="91" spans="1:7">
      <c r="A91">
        <v>83</v>
      </c>
      <c r="B91">
        <v>35.892194352786888</v>
      </c>
      <c r="F91">
        <f>SMALL(SimData!$B$9:$B$108,84)</f>
        <v>42.972016333891204</v>
      </c>
      <c r="G91">
        <f>1/(COUNT(SimData!$B$9:$B$108)-1)+$G$90</f>
        <v>0.83838383838383712</v>
      </c>
    </row>
    <row r="92" spans="1:7">
      <c r="A92">
        <v>84</v>
      </c>
      <c r="B92">
        <v>27.603143652495174</v>
      </c>
      <c r="F92">
        <f>SMALL(SimData!$B$9:$B$108,85)</f>
        <v>43.126711457529332</v>
      </c>
      <c r="G92">
        <f>1/(COUNT(SimData!$B$9:$B$108)-1)+$G$91</f>
        <v>0.84848484848484718</v>
      </c>
    </row>
    <row r="93" spans="1:7">
      <c r="A93">
        <v>85</v>
      </c>
      <c r="B93">
        <v>32.673653908064033</v>
      </c>
      <c r="F93">
        <f>SMALL(SimData!$B$9:$B$108,86)</f>
        <v>43.470934100659811</v>
      </c>
      <c r="G93">
        <f>1/(COUNT(SimData!$B$9:$B$108)-1)+$G$92</f>
        <v>0.85858585858585723</v>
      </c>
    </row>
    <row r="94" spans="1:7">
      <c r="A94">
        <v>86</v>
      </c>
      <c r="B94">
        <v>38.420164623961362</v>
      </c>
      <c r="F94">
        <f>SMALL(SimData!$B$9:$B$108,87)</f>
        <v>43.789987886116201</v>
      </c>
      <c r="G94">
        <f>1/(COUNT(SimData!$B$9:$B$108)-1)+$G$93</f>
        <v>0.86868686868686729</v>
      </c>
    </row>
    <row r="95" spans="1:7">
      <c r="A95">
        <v>87</v>
      </c>
      <c r="B95">
        <v>35.454048226614802</v>
      </c>
      <c r="F95">
        <f>SMALL(SimData!$B$9:$B$108,88)</f>
        <v>44.033594822257385</v>
      </c>
      <c r="G95">
        <f>1/(COUNT(SimData!$B$9:$B$108)-1)+$G$94</f>
        <v>0.87878787878787734</v>
      </c>
    </row>
    <row r="96" spans="1:7">
      <c r="A96">
        <v>88</v>
      </c>
      <c r="B96">
        <v>43.789987886116201</v>
      </c>
      <c r="F96">
        <f>SMALL(SimData!$B$9:$B$108,89)</f>
        <v>44.419749067692706</v>
      </c>
      <c r="G96">
        <f>1/(COUNT(SimData!$B$9:$B$108)-1)+$G$95</f>
        <v>0.8888888888888874</v>
      </c>
    </row>
    <row r="97" spans="1:7">
      <c r="A97">
        <v>89</v>
      </c>
      <c r="B97">
        <v>36.934100899807405</v>
      </c>
      <c r="F97">
        <f>SMALL(SimData!$B$9:$B$108,90)</f>
        <v>44.891390675374453</v>
      </c>
      <c r="G97">
        <f>1/(COUNT(SimData!$B$9:$B$108)-1)+$G$96</f>
        <v>0.89898989898989745</v>
      </c>
    </row>
    <row r="98" spans="1:7">
      <c r="A98">
        <v>90</v>
      </c>
      <c r="B98">
        <v>38.148089087789131</v>
      </c>
      <c r="F98">
        <f>SMALL(SimData!$B$9:$B$108,91)</f>
        <v>45.336906188906632</v>
      </c>
      <c r="G98">
        <f>1/(COUNT(SimData!$B$9:$B$108)-1)+$G$97</f>
        <v>0.90909090909090751</v>
      </c>
    </row>
    <row r="99" spans="1:7">
      <c r="A99">
        <v>91</v>
      </c>
      <c r="B99">
        <v>49.712099639900075</v>
      </c>
      <c r="F99">
        <f>SMALL(SimData!$B$9:$B$108,92)</f>
        <v>45.569988426535218</v>
      </c>
      <c r="G99">
        <f>1/(COUNT(SimData!$B$9:$B$108)-1)+$G$98</f>
        <v>0.91919191919191756</v>
      </c>
    </row>
    <row r="100" spans="1:7">
      <c r="A100">
        <v>92</v>
      </c>
      <c r="B100">
        <v>14.723974756828028</v>
      </c>
      <c r="F100">
        <f>SMALL(SimData!$B$9:$B$108,93)</f>
        <v>46.266841079693044</v>
      </c>
      <c r="G100">
        <f>1/(COUNT(SimData!$B$9:$B$108)-1)+$G$99</f>
        <v>0.92929292929292762</v>
      </c>
    </row>
    <row r="101" spans="1:7">
      <c r="A101">
        <v>93</v>
      </c>
      <c r="B101">
        <v>31.096049964482528</v>
      </c>
      <c r="F101">
        <f>SMALL(SimData!$B$9:$B$108,94)</f>
        <v>46.883223767335885</v>
      </c>
      <c r="G101">
        <f>1/(COUNT(SimData!$B$9:$B$108)-1)+$G$100</f>
        <v>0.93939393939393767</v>
      </c>
    </row>
    <row r="102" spans="1:7">
      <c r="A102">
        <v>94</v>
      </c>
      <c r="B102">
        <v>14.503623795927162</v>
      </c>
      <c r="F102">
        <f>SMALL(SimData!$B$9:$B$108,95)</f>
        <v>46.944308200042983</v>
      </c>
      <c r="G102">
        <f>1/(COUNT(SimData!$B$9:$B$108)-1)+$G$101</f>
        <v>0.94949494949494773</v>
      </c>
    </row>
    <row r="103" spans="1:7">
      <c r="A103">
        <v>95</v>
      </c>
      <c r="B103">
        <v>49.657529160216484</v>
      </c>
      <c r="F103">
        <f>SMALL(SimData!$B$9:$B$108,96)</f>
        <v>47.803228722561556</v>
      </c>
      <c r="G103">
        <f>1/(COUNT(SimData!$B$9:$B$108)-1)+$G$102</f>
        <v>0.95959595959595778</v>
      </c>
    </row>
    <row r="104" spans="1:7">
      <c r="A104">
        <v>96</v>
      </c>
      <c r="B104">
        <v>32.332296828978123</v>
      </c>
      <c r="F104">
        <f>SMALL(SimData!$B$9:$B$108,97)</f>
        <v>48.538813529427657</v>
      </c>
      <c r="G104">
        <f>1/(COUNT(SimData!$B$9:$B$108)-1)+$G$103</f>
        <v>0.96969696969696784</v>
      </c>
    </row>
    <row r="105" spans="1:7">
      <c r="A105">
        <v>97</v>
      </c>
      <c r="B105">
        <v>44.891390675374453</v>
      </c>
      <c r="F105">
        <f>SMALL(SimData!$B$9:$B$108,98)</f>
        <v>49.657529160216484</v>
      </c>
      <c r="G105">
        <f>1/(COUNT(SimData!$B$9:$B$108)-1)+$G$104</f>
        <v>0.97979797979797789</v>
      </c>
    </row>
    <row r="106" spans="1:7">
      <c r="A106">
        <v>98</v>
      </c>
      <c r="B106">
        <v>40.630920374631309</v>
      </c>
      <c r="F106">
        <f>SMALL(SimData!$B$9:$B$108,99)</f>
        <v>49.712099639900075</v>
      </c>
      <c r="G106">
        <f>1/(COUNT(SimData!$B$9:$B$108)-1)+$G$105</f>
        <v>0.98989898989898795</v>
      </c>
    </row>
    <row r="107" spans="1:7">
      <c r="A107">
        <v>99</v>
      </c>
      <c r="B107">
        <v>12.205514464974383</v>
      </c>
      <c r="F107">
        <f>SMALL(SimData!$B$9:$B$108,100)</f>
        <v>49.966713471115916</v>
      </c>
      <c r="G107">
        <f>1/(COUNT(SimData!$B$9:$B$108)-1)+$G$106</f>
        <v>0.999999999999998</v>
      </c>
    </row>
    <row r="108" spans="1:7">
      <c r="A108">
        <v>100</v>
      </c>
      <c r="B108">
        <v>30.443873862098016</v>
      </c>
    </row>
    <row r="110" spans="1:7">
      <c r="A110" t="s">
        <v>37</v>
      </c>
    </row>
    <row r="111" spans="1:7">
      <c r="A111" t="s">
        <v>38</v>
      </c>
      <c r="B111" t="str">
        <f>IF(ISBLANK($B110)=TRUE,"",_xll.EDF(B9:B108,$B110))</f>
        <v/>
      </c>
    </row>
    <row r="112" spans="1:7">
      <c r="A112" t="s">
        <v>39</v>
      </c>
    </row>
    <row r="113" spans="1:2">
      <c r="A113" t="s">
        <v>40</v>
      </c>
      <c r="B113" t="str">
        <f>IF(ISBLANK($B112)=TRUE,"",_xll.EDF(B9:B108,$B112))</f>
        <v/>
      </c>
    </row>
    <row r="114" spans="1:2">
      <c r="A114" t="s">
        <v>41</v>
      </c>
    </row>
    <row r="115" spans="1:2">
      <c r="A115" t="s">
        <v>42</v>
      </c>
      <c r="B115" t="str">
        <f>IF(ISBLANK($B114)=TRUE,"",_xll.EDF(B9:B108,$B114))</f>
        <v/>
      </c>
    </row>
    <row r="116" spans="1:2">
      <c r="A116" t="s">
        <v>43</v>
      </c>
    </row>
    <row r="117" spans="1:2">
      <c r="A117" t="s">
        <v>44</v>
      </c>
      <c r="B117" t="str">
        <f>IF(ISBLANK($B116)=TRUE,"",_xll.EDF(B9:B108,$B116))</f>
        <v/>
      </c>
    </row>
    <row r="118" spans="1:2">
      <c r="A118" t="s">
        <v>45</v>
      </c>
    </row>
    <row r="119" spans="1:2">
      <c r="A119" t="s">
        <v>46</v>
      </c>
      <c r="B119" t="str">
        <f>IF(ISBLANK($B118)=TRUE,"",_xll.EDF(B9:B108,$B118))</f>
        <v/>
      </c>
    </row>
  </sheetData>
  <sheetCalcPr fullCalcOnLoad="1"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75" workbookViewId="0">
      <selection activeCell="A3" sqref="A3"/>
    </sheetView>
  </sheetViews>
  <sheetFormatPr defaultRowHeight="12.75"/>
  <cols>
    <col min="1" max="1" width="17.85546875" customWidth="1"/>
    <col min="2" max="2" width="11.5703125" customWidth="1"/>
    <col min="3" max="3" width="10.140625" customWidth="1"/>
  </cols>
  <sheetData>
    <row r="1" spans="1:10">
      <c r="A1" s="1" t="str">
        <f ca="1">_xll.WBNAME()</f>
        <v>Sparse Data Demo.xlsx</v>
      </c>
    </row>
    <row r="2" spans="1:10">
      <c r="A2" t="s">
        <v>0</v>
      </c>
    </row>
    <row r="3" spans="1:10">
      <c r="A3" t="s">
        <v>50</v>
      </c>
    </row>
    <row r="4" spans="1:10">
      <c r="F4" t="s">
        <v>7</v>
      </c>
    </row>
    <row r="5" spans="1:10">
      <c r="A5" s="6" t="s">
        <v>1</v>
      </c>
      <c r="B5" s="6" t="s">
        <v>19</v>
      </c>
      <c r="C5" s="6" t="s">
        <v>18</v>
      </c>
      <c r="G5" t="str">
        <f>Sheet1!$B$5</f>
        <v>Actual Data</v>
      </c>
      <c r="I5" t="str">
        <f>Sheet1!$C$5</f>
        <v>Smoothed</v>
      </c>
    </row>
    <row r="6" spans="1:10">
      <c r="A6" s="5">
        <v>1</v>
      </c>
      <c r="B6">
        <v>24.4</v>
      </c>
      <c r="C6">
        <f>B6</f>
        <v>24.4</v>
      </c>
      <c r="D6" t="str">
        <f ca="1">_xll.VFORMULA(C6)</f>
        <v>=B6</v>
      </c>
      <c r="F6" t="s">
        <v>8</v>
      </c>
      <c r="G6">
        <f>MIN(Sheet1!$B$6:$B$14)</f>
        <v>14.5</v>
      </c>
      <c r="I6">
        <v>8</v>
      </c>
    </row>
    <row r="7" spans="1:10">
      <c r="A7" s="5">
        <v>2</v>
      </c>
      <c r="B7">
        <v>37.674233622307625</v>
      </c>
      <c r="C7">
        <f t="shared" ref="C7:C14" si="0">B7</f>
        <v>37.674233622307625</v>
      </c>
      <c r="D7" t="str">
        <f ca="1">_xll.VFORMULA(C7)</f>
        <v>=B7</v>
      </c>
      <c r="F7" t="s">
        <v>9</v>
      </c>
      <c r="G7">
        <f>MAX(Sheet1!$B$6:$B$14)</f>
        <v>44.5</v>
      </c>
      <c r="I7">
        <v>50</v>
      </c>
    </row>
    <row r="8" spans="1:10">
      <c r="A8" s="5">
        <v>3</v>
      </c>
      <c r="B8">
        <v>44.5</v>
      </c>
      <c r="C8">
        <f t="shared" si="0"/>
        <v>44.5</v>
      </c>
      <c r="D8" t="str">
        <f ca="1">_xll.VFORMULA(C8)</f>
        <v>=B8</v>
      </c>
      <c r="F8" t="s">
        <v>10</v>
      </c>
      <c r="G8">
        <f>_xll.BANDWIDTH(Sheet1!$B$6:$B$14)</f>
        <v>5.0188684115760198</v>
      </c>
      <c r="I8">
        <f>_xll.BANDWIDTH(Sheet1!$C$6:$C$14)</f>
        <v>5.0188684115760198</v>
      </c>
    </row>
    <row r="9" spans="1:10">
      <c r="A9" s="5">
        <v>4</v>
      </c>
      <c r="B9">
        <v>14.5</v>
      </c>
      <c r="C9">
        <f t="shared" si="0"/>
        <v>14.5</v>
      </c>
      <c r="D9" t="str">
        <f ca="1">_xll.VFORMULA(C9)</f>
        <v>=B9</v>
      </c>
      <c r="F9" t="s">
        <v>11</v>
      </c>
      <c r="G9" s="1" t="s">
        <v>17</v>
      </c>
      <c r="I9" t="s">
        <v>16</v>
      </c>
    </row>
    <row r="10" spans="1:10">
      <c r="A10" s="5">
        <v>5</v>
      </c>
      <c r="B10">
        <v>30.1</v>
      </c>
      <c r="C10">
        <f t="shared" si="0"/>
        <v>30.1</v>
      </c>
      <c r="D10" t="str">
        <f ca="1">_xll.VFORMULA(C10)</f>
        <v>=B10</v>
      </c>
      <c r="F10" t="s">
        <v>12</v>
      </c>
      <c r="G10" s="2">
        <v>0.875</v>
      </c>
      <c r="I10" s="2">
        <f>$G$10</f>
        <v>0.875</v>
      </c>
    </row>
    <row r="11" spans="1:10">
      <c r="A11" s="5">
        <v>6</v>
      </c>
      <c r="B11">
        <v>29.4</v>
      </c>
      <c r="C11">
        <f t="shared" si="0"/>
        <v>29.4</v>
      </c>
      <c r="D11" t="str">
        <f ca="1">_xll.VFORMULA(C11)</f>
        <v>=B11</v>
      </c>
      <c r="F11" t="s">
        <v>13</v>
      </c>
      <c r="G11" s="3">
        <f>_xll.QUANTILE(Sheet1!$B$6:$B$14,(1-$G$10)/2)</f>
        <v>15.11875</v>
      </c>
      <c r="H11" s="3">
        <f>_xll.PDENSITY($G$11,Sheet1!$B$6:$B$14,$G$8,$G$9,1)</f>
        <v>0.1111111111111111</v>
      </c>
      <c r="I11" s="3">
        <f>_xll.QUANTILE(Sheet1!$C$6:$C$14,(1-$I$10)/2)</f>
        <v>15.11875</v>
      </c>
      <c r="J11" s="3">
        <f>_xll.PDENSITY($I$11,Sheet1!$C$6:$C$14,$I$8,$I$9,1)</f>
        <v>6.4990029390625745E-2</v>
      </c>
    </row>
    <row r="12" spans="1:10">
      <c r="A12" s="5">
        <v>7</v>
      </c>
      <c r="B12">
        <v>39.304631857363653</v>
      </c>
      <c r="C12">
        <f t="shared" si="0"/>
        <v>39.304631857363653</v>
      </c>
      <c r="D12" t="str">
        <f ca="1">_xll.VFORMULA(C12)</f>
        <v>=B12</v>
      </c>
      <c r="F12" t="s">
        <v>14</v>
      </c>
      <c r="G12" s="3">
        <f>AVERAGE(Sheet1!$B$6:$B$14)</f>
        <v>33.121365062084777</v>
      </c>
      <c r="H12" s="3">
        <f>_xll.PDENSITY($G$12,Sheet1!$B$6:$B$14,$G$8,$G$9,1)</f>
        <v>0.44444444444444442</v>
      </c>
      <c r="I12" s="3">
        <f>AVERAGE(Sheet1!$C$6:$C$14)</f>
        <v>33.121365062084777</v>
      </c>
      <c r="J12" s="3">
        <f>_xll.PDENSITY($I$12,Sheet1!$C$6:$C$14,$I$8,$I$9,1)</f>
        <v>0.4443570461237491</v>
      </c>
    </row>
    <row r="13" spans="1:10">
      <c r="A13" s="5">
        <v>8</v>
      </c>
      <c r="B13">
        <v>38.213420079091719</v>
      </c>
      <c r="C13">
        <f t="shared" si="0"/>
        <v>38.213420079091719</v>
      </c>
      <c r="D13" t="str">
        <f ca="1">_xll.VFORMULA(C13)</f>
        <v>=B13</v>
      </c>
      <c r="F13" t="s">
        <v>15</v>
      </c>
      <c r="G13" s="3">
        <f>_xll.QUANTILE(Sheet1!$B$6:$B$14,1-(1-$G$10)/2)</f>
        <v>44.21875</v>
      </c>
      <c r="H13" s="3">
        <f>_xll.PDENSITY($G$13,Sheet1!$B$6:$B$14,$G$8,$G$9,1)</f>
        <v>0.88888888888888884</v>
      </c>
      <c r="I13" s="3">
        <f>_xll.QUANTILE(Sheet1!$C$6:$C$14,1-(1-$I$10)/2)</f>
        <v>44.21875</v>
      </c>
      <c r="J13" s="3">
        <f>_xll.PDENSITY($I$13,Sheet1!$C$6:$C$14,$I$8,$I$9,1)</f>
        <v>0.87751959558991155</v>
      </c>
    </row>
    <row r="14" spans="1:10">
      <c r="A14" s="5">
        <v>9</v>
      </c>
      <c r="B14">
        <v>40</v>
      </c>
      <c r="C14">
        <f t="shared" si="0"/>
        <v>40</v>
      </c>
      <c r="D14" t="str">
        <f ca="1">_xll.VFORMULA(C14)</f>
        <v>=B14</v>
      </c>
      <c r="F14">
        <v>1</v>
      </c>
      <c r="G14" s="3">
        <f>$G$6</f>
        <v>14.5</v>
      </c>
      <c r="H14" s="3">
        <f>_xll.PDENSITY($G$14,Sheet1!$B$6:$B$14,$G$8,$G$9,1)</f>
        <v>0</v>
      </c>
      <c r="I14" s="3">
        <f>$I$6</f>
        <v>8</v>
      </c>
      <c r="J14" s="4">
        <v>0</v>
      </c>
    </row>
    <row r="15" spans="1:10">
      <c r="F15">
        <v>2</v>
      </c>
      <c r="G15" s="3">
        <f t="shared" ref="G15:G46" si="1">1/99*($G$7-$G$6)+G14</f>
        <v>14.803030303030303</v>
      </c>
      <c r="H15" s="3">
        <f>_xll.PDENSITY($G$15,Sheet1!$B$6:$B$14,$G$8,$G$9,1)</f>
        <v>0.1111111111111111</v>
      </c>
      <c r="I15" s="3">
        <f t="shared" ref="I15:I46" si="2">1/99*($I$7-$I$6)+I14</f>
        <v>8.4242424242424239</v>
      </c>
      <c r="J15" s="3">
        <f>_xll.PDENSITY($I$15,Sheet1!$C$6:$C$14,$I$8,$I$9,1)</f>
        <v>1.2642071407896169E-2</v>
      </c>
    </row>
    <row r="16" spans="1:10">
      <c r="A16" s="1" t="s">
        <v>20</v>
      </c>
      <c r="F16">
        <v>3</v>
      </c>
      <c r="G16" s="3">
        <f t="shared" si="1"/>
        <v>15.106060606060606</v>
      </c>
      <c r="H16" s="3">
        <f>_xll.PDENSITY($G$16,Sheet1!$B$6:$B$14,$G$8,$G$9,1)</f>
        <v>0.1111111111111111</v>
      </c>
      <c r="I16" s="3">
        <f t="shared" si="2"/>
        <v>8.8484848484848477</v>
      </c>
      <c r="J16" s="3">
        <f>_xll.PDENSITY($I$16,Sheet1!$C$6:$C$14,$I$8,$I$9,1)</f>
        <v>1.4564031554777479E-2</v>
      </c>
    </row>
    <row r="17" spans="1:10">
      <c r="A17" t="s">
        <v>21</v>
      </c>
      <c r="F17">
        <v>4</v>
      </c>
      <c r="G17" s="3">
        <f t="shared" si="1"/>
        <v>15.409090909090908</v>
      </c>
      <c r="H17" s="3">
        <f>_xll.PDENSITY($G$17,Sheet1!$B$6:$B$14,$G$8,$G$9,1)</f>
        <v>0.1111111111111111</v>
      </c>
      <c r="I17" s="3">
        <f t="shared" si="2"/>
        <v>9.2727272727272716</v>
      </c>
      <c r="J17" s="3">
        <f>_xll.PDENSITY($I$17,Sheet1!$C$6:$C$14,$I$8,$I$9,1)</f>
        <v>1.6683561604684823E-2</v>
      </c>
    </row>
    <row r="18" spans="1:10">
      <c r="A18" t="s">
        <v>22</v>
      </c>
      <c r="F18">
        <v>5</v>
      </c>
      <c r="G18" s="3">
        <f t="shared" si="1"/>
        <v>15.712121212121211</v>
      </c>
      <c r="H18" s="3">
        <f>_xll.PDENSITY($G$18,Sheet1!$B$6:$B$14,$G$8,$G$9,1)</f>
        <v>0.1111111111111111</v>
      </c>
      <c r="I18" s="3">
        <f t="shared" si="2"/>
        <v>9.6969696969696955</v>
      </c>
      <c r="J18" s="3">
        <f>_xll.PDENSITY($I$18,Sheet1!$C$6:$C$14,$I$8,$I$9,1)</f>
        <v>1.900550608201812E-2</v>
      </c>
    </row>
    <row r="19" spans="1:10">
      <c r="A19" t="s">
        <v>24</v>
      </c>
      <c r="F19">
        <v>6</v>
      </c>
      <c r="G19" s="3">
        <f t="shared" si="1"/>
        <v>16.015151515151516</v>
      </c>
      <c r="H19" s="3">
        <f>_xll.PDENSITY($G$19,Sheet1!$B$6:$B$14,$G$8,$G$9,1)</f>
        <v>0.1111111111111111</v>
      </c>
      <c r="I19" s="3">
        <f t="shared" si="2"/>
        <v>10.121212121212119</v>
      </c>
      <c r="J19" s="3">
        <f>_xll.PDENSITY($I$19,Sheet1!$C$6:$C$14,$I$8,$I$9,1)</f>
        <v>2.1532599886279202E-2</v>
      </c>
    </row>
    <row r="20" spans="1:10">
      <c r="A20" t="s">
        <v>23</v>
      </c>
      <c r="F20">
        <v>7</v>
      </c>
      <c r="G20" s="3">
        <f t="shared" si="1"/>
        <v>16.31818181818182</v>
      </c>
      <c r="H20" s="3">
        <f>_xll.PDENSITY($G$20,Sheet1!$B$6:$B$14,$G$8,$G$9,1)</f>
        <v>0.1111111111111111</v>
      </c>
      <c r="I20" s="3">
        <f t="shared" si="2"/>
        <v>10.545454545454543</v>
      </c>
      <c r="J20" s="3">
        <f>_xll.PDENSITY($I$20,Sheet1!$C$6:$C$14,$I$8,$I$9,1)</f>
        <v>2.4265323148595072E-2</v>
      </c>
    </row>
    <row r="21" spans="1:10">
      <c r="A21" t="s">
        <v>25</v>
      </c>
      <c r="F21">
        <v>8</v>
      </c>
      <c r="G21" s="3">
        <f t="shared" si="1"/>
        <v>16.621212121212125</v>
      </c>
      <c r="H21" s="3">
        <f>_xll.PDENSITY($G$21,Sheet1!$B$6:$B$14,$G$8,$G$9,1)</f>
        <v>0.1111111111111111</v>
      </c>
      <c r="I21" s="3">
        <f t="shared" si="2"/>
        <v>10.969696969696967</v>
      </c>
      <c r="J21" s="3">
        <f>_xll.PDENSITY($I$21,Sheet1!$C$6:$C$14,$I$8,$I$9,1)</f>
        <v>2.7201827577269719E-2</v>
      </c>
    </row>
    <row r="22" spans="1:10">
      <c r="A22" t="s">
        <v>26</v>
      </c>
      <c r="F22">
        <v>9</v>
      </c>
      <c r="G22" s="3">
        <f t="shared" si="1"/>
        <v>16.924242424242429</v>
      </c>
      <c r="H22" s="3">
        <f>_xll.PDENSITY($G$22,Sheet1!$B$6:$B$14,$G$8,$G$9,1)</f>
        <v>0.1111111111111111</v>
      </c>
      <c r="I22" s="3">
        <f t="shared" si="2"/>
        <v>11.393939393939391</v>
      </c>
      <c r="J22" s="3">
        <f>_xll.PDENSITY($I$22,Sheet1!$C$6:$C$14,$I$8,$I$9,1)</f>
        <v>3.0337944288086942E-2</v>
      </c>
    </row>
    <row r="23" spans="1:10">
      <c r="A23" t="s">
        <v>28</v>
      </c>
      <c r="F23">
        <v>10</v>
      </c>
      <c r="G23" s="3">
        <f t="shared" si="1"/>
        <v>17.227272727272734</v>
      </c>
      <c r="H23" s="3">
        <f>_xll.PDENSITY($G$23,Sheet1!$B$6:$B$14,$G$8,$G$9,1)</f>
        <v>0.1111111111111111</v>
      </c>
      <c r="I23" s="3">
        <f t="shared" si="2"/>
        <v>11.818181818181815</v>
      </c>
      <c r="J23" s="3">
        <f>_xll.PDENSITY($I$23,Sheet1!$C$6:$C$14,$I$8,$I$9,1)</f>
        <v>3.3667280147459663E-2</v>
      </c>
    </row>
    <row r="24" spans="1:10">
      <c r="A24" t="s">
        <v>27</v>
      </c>
      <c r="F24">
        <v>11</v>
      </c>
      <c r="G24" s="3">
        <f t="shared" si="1"/>
        <v>17.530303030303038</v>
      </c>
      <c r="H24" s="3">
        <f>_xll.PDENSITY($G$24,Sheet1!$B$6:$B$14,$G$8,$G$9,1)</f>
        <v>0.1111111111111111</v>
      </c>
      <c r="I24" s="3">
        <f t="shared" si="2"/>
        <v>12.242424242424239</v>
      </c>
      <c r="J24" s="3">
        <f>_xll.PDENSITY($I$24,Sheet1!$C$6:$C$14,$I$8,$I$9,1)</f>
        <v>3.718140604855965E-2</v>
      </c>
    </row>
    <row r="25" spans="1:10">
      <c r="A25" t="s">
        <v>32</v>
      </c>
      <c r="F25">
        <v>12</v>
      </c>
      <c r="G25" s="3">
        <f t="shared" si="1"/>
        <v>17.833333333333343</v>
      </c>
      <c r="H25" s="3">
        <f>_xll.PDENSITY($G$25,Sheet1!$B$6:$B$14,$G$8,$G$9,1)</f>
        <v>0.1111111111111111</v>
      </c>
      <c r="I25" s="3">
        <f t="shared" si="2"/>
        <v>12.666666666666663</v>
      </c>
      <c r="J25" s="3">
        <f>_xll.PDENSITY($I$25,Sheet1!$C$6:$C$14,$I$8,$I$9,1)</f>
        <v>4.0870136457638484E-2</v>
      </c>
    </row>
    <row r="26" spans="1:10">
      <c r="A26" t="s">
        <v>29</v>
      </c>
      <c r="F26">
        <v>13</v>
      </c>
      <c r="G26" s="3">
        <f t="shared" si="1"/>
        <v>18.136363636363647</v>
      </c>
      <c r="H26" s="3">
        <f>_xll.PDENSITY($G$26,Sheet1!$B$6:$B$14,$G$8,$G$9,1)</f>
        <v>0.1111111111111111</v>
      </c>
      <c r="I26" s="3">
        <f t="shared" si="2"/>
        <v>13.090909090909086</v>
      </c>
      <c r="J26" s="3">
        <f>_xll.PDENSITY($I$26,Sheet1!$C$6:$C$14,$I$8,$I$9,1)</f>
        <v>4.4721895220281645E-2</v>
      </c>
    </row>
    <row r="27" spans="1:10">
      <c r="A27" t="s">
        <v>30</v>
      </c>
      <c r="F27">
        <v>14</v>
      </c>
      <c r="G27" s="3">
        <f t="shared" si="1"/>
        <v>18.439393939393952</v>
      </c>
      <c r="H27" s="3">
        <f>_xll.PDENSITY($G$27,Sheet1!$B$6:$B$14,$G$8,$G$9,1)</f>
        <v>0.1111111111111111</v>
      </c>
      <c r="I27" s="3">
        <f t="shared" si="2"/>
        <v>13.51515151515151</v>
      </c>
      <c r="J27" s="3">
        <f>_xll.PDENSITY($I$27,Sheet1!$C$6:$C$14,$I$8,$I$9,1)</f>
        <v>4.8724158248656439E-2</v>
      </c>
    </row>
    <row r="28" spans="1:10">
      <c r="A28" t="s">
        <v>31</v>
      </c>
      <c r="F28">
        <v>15</v>
      </c>
      <c r="G28" s="3">
        <f t="shared" si="1"/>
        <v>18.742424242424256</v>
      </c>
      <c r="H28" s="3">
        <f>_xll.PDENSITY($G$28,Sheet1!$B$6:$B$14,$G$8,$G$9,1)</f>
        <v>0.1111111111111111</v>
      </c>
      <c r="I28" s="3">
        <f t="shared" si="2"/>
        <v>13.939393939393934</v>
      </c>
      <c r="J28" s="3">
        <f>_xll.PDENSITY($I$28,Sheet1!$C$6:$C$14,$I$8,$I$9,1)</f>
        <v>5.2863959581591055E-2</v>
      </c>
    </row>
    <row r="29" spans="1:10">
      <c r="A29" t="s">
        <v>33</v>
      </c>
      <c r="F29">
        <v>16</v>
      </c>
      <c r="G29" s="3">
        <f t="shared" si="1"/>
        <v>19.045454545454561</v>
      </c>
      <c r="H29" s="3">
        <f>_xll.PDENSITY($G$29,Sheet1!$B$6:$B$14,$G$8,$G$9,1)</f>
        <v>0.1111111111111111</v>
      </c>
      <c r="I29" s="3">
        <f t="shared" si="2"/>
        <v>14.363636363636358</v>
      </c>
      <c r="J29" s="3">
        <f>_xll.PDENSITY($I$29,Sheet1!$C$6:$C$14,$I$8,$I$9,1)</f>
        <v>5.7128443679611257E-2</v>
      </c>
    </row>
    <row r="30" spans="1:10">
      <c r="A30" t="s">
        <v>34</v>
      </c>
      <c r="B30" s="1">
        <f ca="1">_xll.EMP(I14:I113,J14:J113)</f>
        <v>42.136251669599616</v>
      </c>
      <c r="C30" t="str">
        <f ca="1">_xll.VFORMULA(B30)</f>
        <v>=EMP(I14:I113,J14:J113)</v>
      </c>
      <c r="F30">
        <v>17</v>
      </c>
      <c r="G30" s="3">
        <f t="shared" si="1"/>
        <v>19.348484848484865</v>
      </c>
      <c r="H30" s="3">
        <f>_xll.PDENSITY($G$30,Sheet1!$B$6:$B$14,$G$8,$G$9,1)</f>
        <v>0.1111111111111111</v>
      </c>
      <c r="I30" s="3">
        <f t="shared" si="2"/>
        <v>14.787878787878782</v>
      </c>
      <c r="J30" s="3">
        <f>_xll.PDENSITY($I$30,Sheet1!$C$6:$C$14,$I$8,$I$9,1)</f>
        <v>6.1505421835885268E-2</v>
      </c>
    </row>
    <row r="31" spans="1:10">
      <c r="F31">
        <v>18</v>
      </c>
      <c r="G31" s="3">
        <f t="shared" si="1"/>
        <v>19.65151515151517</v>
      </c>
      <c r="H31" s="3">
        <f>_xll.PDENSITY($G$31,Sheet1!$B$6:$B$14,$G$8,$G$9,1)</f>
        <v>0.1111111111111111</v>
      </c>
      <c r="I31" s="3">
        <f t="shared" si="2"/>
        <v>15.212121212121206</v>
      </c>
      <c r="J31" s="3">
        <f>_xll.PDENSITY($I$31,Sheet1!$C$6:$C$14,$I$8,$I$9,1)</f>
        <v>6.5983911234463413E-2</v>
      </c>
    </row>
    <row r="32" spans="1:10">
      <c r="A32" t="s">
        <v>48</v>
      </c>
      <c r="F32">
        <v>19</v>
      </c>
      <c r="G32" s="3">
        <f t="shared" si="1"/>
        <v>19.954545454545475</v>
      </c>
      <c r="H32" s="3">
        <f>_xll.PDENSITY($G$32,Sheet1!$B$6:$B$14,$G$8,$G$9,1)</f>
        <v>0.1111111111111111</v>
      </c>
      <c r="I32" s="3">
        <f t="shared" si="2"/>
        <v>15.63636363636363</v>
      </c>
      <c r="J32" s="3">
        <f>_xll.PDENSITY($I$32,Sheet1!$C$6:$C$14,$I$8,$I$9,1)</f>
        <v>7.055476654421218E-2</v>
      </c>
    </row>
    <row r="33" spans="6:10">
      <c r="F33">
        <v>20</v>
      </c>
      <c r="G33" s="3">
        <f t="shared" si="1"/>
        <v>20.257575757575779</v>
      </c>
      <c r="H33" s="3">
        <f>_xll.PDENSITY($G$33,Sheet1!$B$6:$B$14,$G$8,$G$9,1)</f>
        <v>0.1111111111111111</v>
      </c>
      <c r="I33" s="3">
        <f t="shared" si="2"/>
        <v>16.060606060606055</v>
      </c>
      <c r="J33" s="3">
        <f>_xll.PDENSITY($I$33,Sheet1!$C$6:$C$14,$I$8,$I$9,1)</f>
        <v>7.5211123381668077E-2</v>
      </c>
    </row>
    <row r="34" spans="6:10">
      <c r="F34">
        <v>21</v>
      </c>
      <c r="G34" s="3">
        <f t="shared" si="1"/>
        <v>20.560606060606084</v>
      </c>
      <c r="H34" s="3">
        <f>_xll.PDENSITY($G$34,Sheet1!$B$6:$B$14,$G$8,$G$9,1)</f>
        <v>0.1111111111111111</v>
      </c>
      <c r="I34" s="3">
        <f t="shared" si="2"/>
        <v>16.484848484848481</v>
      </c>
      <c r="J34" s="3">
        <f>_xll.PDENSITY($I$34,Sheet1!$C$6:$C$14,$I$8,$I$9,1)</f>
        <v>7.9948829871257829E-2</v>
      </c>
    </row>
    <row r="35" spans="6:10">
      <c r="F35">
        <v>22</v>
      </c>
      <c r="G35" s="3">
        <f t="shared" si="1"/>
        <v>20.863636363636388</v>
      </c>
      <c r="H35" s="3">
        <f>_xll.PDENSITY($G$35,Sheet1!$B$6:$B$14,$G$8,$G$9,1)</f>
        <v>0.1111111111111111</v>
      </c>
      <c r="I35" s="3">
        <f t="shared" si="2"/>
        <v>16.909090909090907</v>
      </c>
      <c r="J35" s="3">
        <f>_xll.PDENSITY($I$35,Sheet1!$C$6:$C$14,$I$8,$I$9,1)</f>
        <v>8.4766790453045041E-2</v>
      </c>
    </row>
    <row r="36" spans="6:10">
      <c r="F36">
        <v>23</v>
      </c>
      <c r="G36" s="3">
        <f t="shared" si="1"/>
        <v>21.166666666666693</v>
      </c>
      <c r="H36" s="3">
        <f>_xll.PDENSITY($G$36,Sheet1!$B$6:$B$14,$G$8,$G$9,1)</f>
        <v>0.1111111111111111</v>
      </c>
      <c r="I36" s="3">
        <f t="shared" si="2"/>
        <v>17.333333333333332</v>
      </c>
      <c r="J36" s="3">
        <f>_xll.PDENSITY($I$36,Sheet1!$C$6:$C$14,$I$8,$I$9,1)</f>
        <v>8.9667201638185812E-2</v>
      </c>
    </row>
    <row r="37" spans="6:10">
      <c r="F37">
        <v>24</v>
      </c>
      <c r="G37" s="3">
        <f t="shared" si="1"/>
        <v>21.469696969696997</v>
      </c>
      <c r="H37" s="3">
        <f>_xll.PDENSITY($G$37,Sheet1!$B$6:$B$14,$G$8,$G$9,1)</f>
        <v>0.1111111111111111</v>
      </c>
      <c r="I37" s="3">
        <f t="shared" si="2"/>
        <v>17.757575757575758</v>
      </c>
      <c r="J37" s="3">
        <f>_xll.PDENSITY($I$37,Sheet1!$C$6:$C$14,$I$8,$I$9,1)</f>
        <v>9.4655668429812115E-2</v>
      </c>
    </row>
    <row r="38" spans="6:10">
      <c r="F38">
        <v>25</v>
      </c>
      <c r="G38" s="3">
        <f t="shared" si="1"/>
        <v>21.772727272727302</v>
      </c>
      <c r="H38" s="3">
        <f>_xll.PDENSITY($G$38,Sheet1!$B$6:$B$14,$G$8,$G$9,1)</f>
        <v>0.1111111111111111</v>
      </c>
      <c r="I38" s="3">
        <f t="shared" si="2"/>
        <v>18.181818181818183</v>
      </c>
      <c r="J38" s="3">
        <f>_xll.PDENSITY($I$38,Sheet1!$C$6:$C$14,$I$8,$I$9,1)</f>
        <v>9.9741194992885709E-2</v>
      </c>
    </row>
    <row r="39" spans="6:10">
      <c r="F39">
        <v>26</v>
      </c>
      <c r="G39" s="3">
        <f t="shared" si="1"/>
        <v>22.075757575757606</v>
      </c>
      <c r="H39" s="3">
        <f>_xll.PDENSITY($G$39,Sheet1!$B$6:$B$14,$G$8,$G$9,1)</f>
        <v>0.1111111111111111</v>
      </c>
      <c r="I39" s="3">
        <f t="shared" si="2"/>
        <v>18.606060606060609</v>
      </c>
      <c r="J39" s="3">
        <f>_xll.PDENSITY($I$39,Sheet1!$C$6:$C$14,$I$8,$I$9,1)</f>
        <v>0.10493604837296927</v>
      </c>
    </row>
    <row r="40" spans="6:10">
      <c r="F40">
        <v>27</v>
      </c>
      <c r="G40" s="3">
        <f t="shared" si="1"/>
        <v>22.378787878787911</v>
      </c>
      <c r="H40" s="3">
        <f>_xll.PDENSITY($G$40,Sheet1!$B$6:$B$14,$G$8,$G$9,1)</f>
        <v>0.1111111111111111</v>
      </c>
      <c r="I40" s="3">
        <f t="shared" si="2"/>
        <v>19.030303030303035</v>
      </c>
      <c r="J40" s="3">
        <f>_xll.PDENSITY($I$40,Sheet1!$C$6:$C$14,$I$8,$I$9,1)</f>
        <v>0.11025549935412195</v>
      </c>
    </row>
    <row r="41" spans="6:10">
      <c r="F41">
        <v>28</v>
      </c>
      <c r="G41" s="3">
        <f t="shared" si="1"/>
        <v>22.681818181818215</v>
      </c>
      <c r="H41" s="3">
        <f>_xll.PDENSITY($G$41,Sheet1!$B$6:$B$14,$G$8,$G$9,1)</f>
        <v>0.1111111111111111</v>
      </c>
      <c r="I41" s="3">
        <f t="shared" si="2"/>
        <v>19.45454545454546</v>
      </c>
      <c r="J41" s="3">
        <f>_xll.PDENSITY($I$41,Sheet1!$C$6:$C$14,$I$8,$I$9,1)</f>
        <v>0.11571744964017891</v>
      </c>
    </row>
    <row r="42" spans="6:10">
      <c r="F42">
        <v>29</v>
      </c>
      <c r="G42" s="3">
        <f t="shared" si="1"/>
        <v>22.98484848484852</v>
      </c>
      <c r="H42" s="3">
        <f>_xll.PDENSITY($G$42,Sheet1!$B$6:$B$14,$G$8,$G$9,1)</f>
        <v>0.1111111111111111</v>
      </c>
      <c r="I42" s="3">
        <f t="shared" si="2"/>
        <v>19.878787878787886</v>
      </c>
      <c r="J42" s="3">
        <f>_xll.PDENSITY($I$42,Sheet1!$C$6:$C$14,$I$8,$I$9,1)</f>
        <v>0.1213419591963196</v>
      </c>
    </row>
    <row r="43" spans="6:10">
      <c r="F43">
        <v>30</v>
      </c>
      <c r="G43" s="3">
        <f t="shared" si="1"/>
        <v>23.287878787878824</v>
      </c>
      <c r="H43" s="3">
        <f>_xll.PDENSITY($G$43,Sheet1!$B$6:$B$14,$G$8,$G$9,1)</f>
        <v>0.1111111111111111</v>
      </c>
      <c r="I43" s="3">
        <f t="shared" si="2"/>
        <v>20.303030303030312</v>
      </c>
      <c r="J43" s="3">
        <f>_xll.PDENSITY($I$43,Sheet1!$C$6:$C$14,$I$8,$I$9,1)</f>
        <v>0.12715069159380399</v>
      </c>
    </row>
    <row r="44" spans="6:10">
      <c r="F44">
        <v>31</v>
      </c>
      <c r="G44" s="3">
        <f t="shared" si="1"/>
        <v>23.590909090909129</v>
      </c>
      <c r="H44" s="3">
        <f>_xll.PDENSITY($G$44,Sheet1!$B$6:$B$14,$G$8,$G$9,1)</f>
        <v>0.1111111111111111</v>
      </c>
      <c r="I44" s="3">
        <f t="shared" si="2"/>
        <v>20.727272727272737</v>
      </c>
      <c r="J44" s="3">
        <f>_xll.PDENSITY($I$44,Sheet1!$C$6:$C$14,$I$8,$I$9,1)</f>
        <v>0.13316629840524183</v>
      </c>
    </row>
    <row r="45" spans="6:10">
      <c r="F45">
        <v>32</v>
      </c>
      <c r="G45" s="3">
        <f t="shared" si="1"/>
        <v>23.893939393939434</v>
      </c>
      <c r="H45" s="3">
        <f>_xll.PDENSITY($G$45,Sheet1!$B$6:$B$14,$G$8,$G$9,1)</f>
        <v>0.1111111111111111</v>
      </c>
      <c r="I45" s="3">
        <f t="shared" si="2"/>
        <v>21.151515151515163</v>
      </c>
      <c r="J45" s="3">
        <f>_xll.PDENSITY($I$45,Sheet1!$C$6:$C$14,$I$8,$I$9,1)</f>
        <v>0.13941176600158517</v>
      </c>
    </row>
    <row r="46" spans="6:10">
      <c r="F46">
        <v>33</v>
      </c>
      <c r="G46" s="3">
        <f t="shared" si="1"/>
        <v>24.196969696969738</v>
      </c>
      <c r="H46" s="3">
        <f>_xll.PDENSITY($G$46,Sheet1!$B$6:$B$14,$G$8,$G$9,1)</f>
        <v>0.1111111111111111</v>
      </c>
      <c r="I46" s="3">
        <f t="shared" si="2"/>
        <v>21.575757575757589</v>
      </c>
      <c r="J46" s="3">
        <f>_xll.PDENSITY($I$46,Sheet1!$C$6:$C$14,$I$8,$I$9,1)</f>
        <v>0.14590974946135132</v>
      </c>
    </row>
    <row r="47" spans="6:10">
      <c r="F47">
        <v>34</v>
      </c>
      <c r="G47" s="3">
        <f t="shared" ref="G47:G78" si="3">1/99*($G$7-$G$6)+G46</f>
        <v>24.500000000000043</v>
      </c>
      <c r="H47" s="3">
        <f>_xll.PDENSITY($G$47,Sheet1!$B$6:$B$14,$G$8,$G$9,1)</f>
        <v>0.22222222222222221</v>
      </c>
      <c r="I47" s="3">
        <f t="shared" ref="I47:I78" si="4">1/99*($I$7-$I$6)+I46</f>
        <v>22.000000000000014</v>
      </c>
      <c r="J47" s="3">
        <f>_xll.PDENSITY($I$47,Sheet1!$C$6:$C$14,$I$8,$I$9,1)</f>
        <v>0.15268191872340764</v>
      </c>
    </row>
    <row r="48" spans="6:10">
      <c r="F48">
        <v>35</v>
      </c>
      <c r="G48" s="3">
        <f t="shared" si="3"/>
        <v>24.803030303030347</v>
      </c>
      <c r="H48" s="3">
        <f>_xll.PDENSITY($G$48,Sheet1!$B$6:$B$14,$G$8,$G$9,1)</f>
        <v>0.22222222222222221</v>
      </c>
      <c r="I48" s="3">
        <f t="shared" si="4"/>
        <v>22.42424242424244</v>
      </c>
      <c r="J48" s="3">
        <f>_xll.PDENSITY($I$48,Sheet1!$C$6:$C$14,$I$8,$I$9,1)</f>
        <v>0.15974834164333773</v>
      </c>
    </row>
    <row r="49" spans="6:10">
      <c r="F49">
        <v>36</v>
      </c>
      <c r="G49" s="3">
        <f t="shared" si="3"/>
        <v>25.106060606060652</v>
      </c>
      <c r="H49" s="3">
        <f>_xll.PDENSITY($G$49,Sheet1!$B$6:$B$14,$G$8,$G$9,1)</f>
        <v>0.22222222222222221</v>
      </c>
      <c r="I49" s="3">
        <f t="shared" si="4"/>
        <v>22.848484848484865</v>
      </c>
      <c r="J49" s="3">
        <f>_xll.PDENSITY($I$49,Sheet1!$C$6:$C$14,$I$8,$I$9,1)</f>
        <v>0.16712692732450604</v>
      </c>
    </row>
    <row r="50" spans="6:10">
      <c r="F50">
        <v>37</v>
      </c>
      <c r="G50" s="3">
        <f t="shared" si="3"/>
        <v>25.409090909090956</v>
      </c>
      <c r="H50" s="3">
        <f>_xll.PDENSITY($G$50,Sheet1!$B$6:$B$14,$G$8,$G$9,1)</f>
        <v>0.22222222222222221</v>
      </c>
      <c r="I50" s="3">
        <f t="shared" si="4"/>
        <v>23.272727272727291</v>
      </c>
      <c r="J50" s="3">
        <f>_xll.PDENSITY($I$50,Sheet1!$C$6:$C$14,$I$8,$I$9,1)</f>
        <v>0.17483295107821556</v>
      </c>
    </row>
    <row r="51" spans="6:10">
      <c r="F51">
        <v>38</v>
      </c>
      <c r="G51" s="3">
        <f t="shared" si="3"/>
        <v>25.712121212121261</v>
      </c>
      <c r="H51" s="3">
        <f>_xll.PDENSITY($G$51,Sheet1!$B$6:$B$14,$G$8,$G$9,1)</f>
        <v>0.22222222222222221</v>
      </c>
      <c r="I51" s="3">
        <f t="shared" si="4"/>
        <v>23.696969696969717</v>
      </c>
      <c r="J51" s="3">
        <f>_xll.PDENSITY($I$51,Sheet1!$C$6:$C$14,$I$8,$I$9,1)</f>
        <v>0.18287867971588473</v>
      </c>
    </row>
    <row r="52" spans="6:10">
      <c r="F52">
        <v>39</v>
      </c>
      <c r="G52" s="3">
        <f t="shared" si="3"/>
        <v>26.015151515151565</v>
      </c>
      <c r="H52" s="3">
        <f>_xll.PDENSITY($G$52,Sheet1!$B$6:$B$14,$G$8,$G$9,1)</f>
        <v>0.22222222222222221</v>
      </c>
      <c r="I52" s="3">
        <f t="shared" si="4"/>
        <v>24.121212121212142</v>
      </c>
      <c r="J52" s="3">
        <f>_xll.PDENSITY($I$52,Sheet1!$C$6:$C$14,$I$8,$I$9,1)</f>
        <v>0.19127311267716662</v>
      </c>
    </row>
    <row r="53" spans="6:10">
      <c r="F53">
        <v>40</v>
      </c>
      <c r="G53" s="3">
        <f t="shared" si="3"/>
        <v>26.31818181818187</v>
      </c>
      <c r="H53" s="3">
        <f>_xll.PDENSITY($G$53,Sheet1!$B$6:$B$14,$G$8,$G$9,1)</f>
        <v>0.22222222222222221</v>
      </c>
      <c r="I53" s="3">
        <f t="shared" si="4"/>
        <v>24.545454545454568</v>
      </c>
      <c r="J53" s="3">
        <f>_xll.PDENSITY($I$53,Sheet1!$C$6:$C$14,$I$8,$I$9,1)</f>
        <v>0.20002184538448076</v>
      </c>
    </row>
    <row r="54" spans="6:10">
      <c r="F54">
        <v>41</v>
      </c>
      <c r="G54" s="3">
        <f t="shared" si="3"/>
        <v>26.621212121212174</v>
      </c>
      <c r="H54" s="3">
        <f>_xll.PDENSITY($G$54,Sheet1!$B$6:$B$14,$G$8,$G$9,1)</f>
        <v>0.22222222222222221</v>
      </c>
      <c r="I54" s="3">
        <f t="shared" si="4"/>
        <v>24.969696969696994</v>
      </c>
      <c r="J54" s="3">
        <f>_xll.PDENSITY($I$54,Sheet1!$C$6:$C$14,$I$8,$I$9,1)</f>
        <v>0.20912700717197918</v>
      </c>
    </row>
    <row r="55" spans="6:10">
      <c r="F55">
        <v>42</v>
      </c>
      <c r="G55" s="3">
        <f t="shared" si="3"/>
        <v>26.924242424242479</v>
      </c>
      <c r="H55" s="3">
        <f>_xll.PDENSITY($G$55,Sheet1!$B$6:$B$14,$G$8,$G$9,1)</f>
        <v>0.22222222222222221</v>
      </c>
      <c r="I55" s="3">
        <f t="shared" si="4"/>
        <v>25.393939393939419</v>
      </c>
      <c r="J55" s="3">
        <f>_xll.PDENSITY($I$55,Sheet1!$C$6:$C$14,$I$8,$I$9,1)</f>
        <v>0.21858747534726836</v>
      </c>
    </row>
    <row r="56" spans="6:10">
      <c r="F56">
        <v>43</v>
      </c>
      <c r="G56" s="3">
        <f t="shared" si="3"/>
        <v>27.227272727272783</v>
      </c>
      <c r="H56" s="3">
        <f>_xll.PDENSITY($G$56,Sheet1!$B$6:$B$14,$G$8,$G$9,1)</f>
        <v>0.22222222222222221</v>
      </c>
      <c r="I56" s="3">
        <f t="shared" si="4"/>
        <v>25.818181818181845</v>
      </c>
      <c r="J56" s="3">
        <f>_xll.PDENSITY($I$56,Sheet1!$C$6:$C$14,$I$8,$I$9,1)</f>
        <v>0.22839909990024182</v>
      </c>
    </row>
    <row r="57" spans="6:10">
      <c r="F57">
        <v>44</v>
      </c>
      <c r="G57" s="3">
        <f t="shared" si="3"/>
        <v>27.530303030303088</v>
      </c>
      <c r="H57" s="3">
        <f>_xll.PDENSITY($G$57,Sheet1!$B$6:$B$14,$G$8,$G$9,1)</f>
        <v>0.22222222222222221</v>
      </c>
      <c r="I57" s="3">
        <f t="shared" si="4"/>
        <v>26.242424242424271</v>
      </c>
      <c r="J57" s="3">
        <f>_xll.PDENSITY($I$57,Sheet1!$C$6:$C$14,$I$8,$I$9,1)</f>
        <v>0.23855507355134734</v>
      </c>
    </row>
    <row r="58" spans="6:10">
      <c r="F58">
        <v>45</v>
      </c>
      <c r="G58" s="3">
        <f t="shared" si="3"/>
        <v>27.833333333333393</v>
      </c>
      <c r="H58" s="3">
        <f>_xll.PDENSITY($G$58,Sheet1!$B$6:$B$14,$G$8,$G$9,1)</f>
        <v>0.22222222222222221</v>
      </c>
      <c r="I58" s="3">
        <f t="shared" si="4"/>
        <v>26.666666666666696</v>
      </c>
      <c r="J58" s="3">
        <f>_xll.PDENSITY($I$58,Sheet1!$C$6:$C$14,$I$8,$I$9,1)</f>
        <v>0.24904643036678722</v>
      </c>
    </row>
    <row r="59" spans="6:10">
      <c r="F59">
        <v>46</v>
      </c>
      <c r="G59" s="3">
        <f t="shared" si="3"/>
        <v>28.136363636363697</v>
      </c>
      <c r="H59" s="3">
        <f>_xll.PDENSITY($G$59,Sheet1!$B$6:$B$14,$G$8,$G$9,1)</f>
        <v>0.22222222222222221</v>
      </c>
      <c r="I59" s="3">
        <f t="shared" si="4"/>
        <v>27.090909090909122</v>
      </c>
      <c r="J59" s="3">
        <f>_xll.PDENSITY($I$59,Sheet1!$C$6:$C$14,$I$8,$I$9,1)</f>
        <v>0.2598626351730744</v>
      </c>
    </row>
    <row r="60" spans="6:10">
      <c r="F60">
        <v>47</v>
      </c>
      <c r="G60" s="3">
        <f t="shared" si="3"/>
        <v>28.439393939394002</v>
      </c>
      <c r="H60" s="3">
        <f>_xll.PDENSITY($G$60,Sheet1!$B$6:$B$14,$G$8,$G$9,1)</f>
        <v>0.22222222222222221</v>
      </c>
      <c r="I60" s="3">
        <f t="shared" si="4"/>
        <v>27.515151515151548</v>
      </c>
      <c r="J60" s="3">
        <f>_xll.PDENSITY($I$60,Sheet1!$C$6:$C$14,$I$8,$I$9,1)</f>
        <v>0.27099224167888891</v>
      </c>
    </row>
    <row r="61" spans="6:10">
      <c r="F61">
        <v>48</v>
      </c>
      <c r="G61" s="3">
        <f t="shared" si="3"/>
        <v>28.742424242424306</v>
      </c>
      <c r="H61" s="3">
        <f>_xll.PDENSITY($G$61,Sheet1!$B$6:$B$14,$G$8,$G$9,1)</f>
        <v>0.22222222222222221</v>
      </c>
      <c r="I61" s="3">
        <f t="shared" si="4"/>
        <v>27.939393939393973</v>
      </c>
      <c r="J61" s="3">
        <f>_xll.PDENSITY($I$61,Sheet1!$C$6:$C$14,$I$8,$I$9,1)</f>
        <v>0.28242359269233375</v>
      </c>
    </row>
    <row r="62" spans="6:10">
      <c r="F62">
        <v>49</v>
      </c>
      <c r="G62" s="3">
        <f t="shared" si="3"/>
        <v>29.045454545454611</v>
      </c>
      <c r="H62" s="3">
        <f>_xll.PDENSITY($G$62,Sheet1!$B$6:$B$14,$G$8,$G$9,1)</f>
        <v>0.22222222222222221</v>
      </c>
      <c r="I62" s="3">
        <f t="shared" si="4"/>
        <v>28.363636363636399</v>
      </c>
      <c r="J62" s="3">
        <f>_xll.PDENSITY($I$62,Sheet1!$C$6:$C$14,$I$8,$I$9,1)</f>
        <v>0.29414553205349114</v>
      </c>
    </row>
    <row r="63" spans="6:10">
      <c r="F63">
        <v>50</v>
      </c>
      <c r="G63" s="3">
        <f t="shared" si="3"/>
        <v>29.348484848484915</v>
      </c>
      <c r="H63" s="3">
        <f>_xll.PDENSITY($G$63,Sheet1!$B$6:$B$14,$G$8,$G$9,1)</f>
        <v>0.22222222222222221</v>
      </c>
      <c r="I63" s="3">
        <f t="shared" si="4"/>
        <v>28.787878787878824</v>
      </c>
      <c r="J63" s="3">
        <f>_xll.PDENSITY($I$63,Sheet1!$C$6:$C$14,$I$8,$I$9,1)</f>
        <v>0.30614809517613689</v>
      </c>
    </row>
    <row r="64" spans="6:10">
      <c r="F64">
        <v>51</v>
      </c>
      <c r="G64" s="3">
        <f t="shared" si="3"/>
        <v>29.65151515151522</v>
      </c>
      <c r="H64" s="3">
        <f>_xll.PDENSITY($G$64,Sheet1!$B$6:$B$14,$G$8,$G$9,1)</f>
        <v>0.33333333333333331</v>
      </c>
      <c r="I64" s="3">
        <f t="shared" si="4"/>
        <v>29.21212121212125</v>
      </c>
      <c r="J64" s="3">
        <f>_xll.PDENSITY($I$64,Sheet1!$C$6:$C$14,$I$8,$I$9,1)</f>
        <v>0.3184231436992303</v>
      </c>
    </row>
    <row r="65" spans="6:10">
      <c r="F65">
        <v>52</v>
      </c>
      <c r="G65" s="3">
        <f t="shared" si="3"/>
        <v>29.954545454545524</v>
      </c>
      <c r="H65" s="3">
        <f>_xll.PDENSITY($G$65,Sheet1!$B$6:$B$14,$G$8,$G$9,1)</f>
        <v>0.33333333333333331</v>
      </c>
      <c r="I65" s="3">
        <f t="shared" si="4"/>
        <v>29.636363636363676</v>
      </c>
      <c r="J65" s="3">
        <f>_xll.PDENSITY($I$65,Sheet1!$C$6:$C$14,$I$8,$I$9,1)</f>
        <v>0.33096489522535555</v>
      </c>
    </row>
    <row r="66" spans="6:10">
      <c r="F66">
        <v>53</v>
      </c>
      <c r="G66" s="3">
        <f t="shared" si="3"/>
        <v>30.257575757575829</v>
      </c>
      <c r="H66" s="3">
        <f>_xll.PDENSITY($G$66,Sheet1!$B$6:$B$14,$G$8,$G$9,1)</f>
        <v>0.44444444444444442</v>
      </c>
      <c r="I66" s="3">
        <f t="shared" si="4"/>
        <v>30.060606060606101</v>
      </c>
      <c r="J66" s="3">
        <f>_xll.PDENSITY($I$66,Sheet1!$C$6:$C$14,$I$8,$I$9,1)</f>
        <v>0.34377028899100748</v>
      </c>
    </row>
    <row r="67" spans="6:10">
      <c r="F67">
        <v>54</v>
      </c>
      <c r="G67" s="3">
        <f t="shared" si="3"/>
        <v>30.560606060606133</v>
      </c>
      <c r="H67" s="3">
        <f>_xll.PDENSITY($G$67,Sheet1!$B$6:$B$14,$G$8,$G$9,1)</f>
        <v>0.44444444444444442</v>
      </c>
      <c r="I67" s="3">
        <f t="shared" si="4"/>
        <v>30.484848484848527</v>
      </c>
      <c r="J67" s="3">
        <f>_xll.PDENSITY($I$67,Sheet1!$C$6:$C$14,$I$8,$I$9,1)</f>
        <v>0.35683929179994478</v>
      </c>
    </row>
    <row r="68" spans="6:10">
      <c r="F68">
        <v>55</v>
      </c>
      <c r="G68" s="3">
        <f t="shared" si="3"/>
        <v>30.863636363636438</v>
      </c>
      <c r="H68" s="3">
        <f>_xll.PDENSITY($G$68,Sheet1!$B$6:$B$14,$G$8,$G$9,1)</f>
        <v>0.44444444444444442</v>
      </c>
      <c r="I68" s="3">
        <f t="shared" si="4"/>
        <v>30.909090909090953</v>
      </c>
      <c r="J68" s="3">
        <f>_xll.PDENSITY($I$68,Sheet1!$C$6:$C$14,$I$8,$I$9,1)</f>
        <v>0.37017491513380779</v>
      </c>
    </row>
    <row r="69" spans="6:10">
      <c r="F69">
        <v>56</v>
      </c>
      <c r="G69" s="3">
        <f t="shared" si="3"/>
        <v>31.166666666666742</v>
      </c>
      <c r="H69" s="3">
        <f>_xll.PDENSITY($G$69,Sheet1!$B$6:$B$14,$G$8,$G$9,1)</f>
        <v>0.44444444444444442</v>
      </c>
      <c r="I69" s="3">
        <f t="shared" si="4"/>
        <v>31.333333333333378</v>
      </c>
      <c r="J69" s="3">
        <f>_xll.PDENSITY($I$69,Sheet1!$C$6:$C$14,$I$8,$I$9,1)</f>
        <v>0.38378312567005923</v>
      </c>
    </row>
    <row r="70" spans="6:10">
      <c r="F70">
        <v>57</v>
      </c>
      <c r="G70" s="3">
        <f t="shared" si="3"/>
        <v>31.469696969697047</v>
      </c>
      <c r="H70" s="3">
        <f>_xll.PDENSITY($G$70,Sheet1!$B$6:$B$14,$G$8,$G$9,1)</f>
        <v>0.44444444444444442</v>
      </c>
      <c r="I70" s="3">
        <f t="shared" si="4"/>
        <v>31.757575757575804</v>
      </c>
      <c r="J70" s="3">
        <f>_xll.PDENSITY($I$70,Sheet1!$C$6:$C$14,$I$8,$I$9,1)</f>
        <v>0.39767245231339188</v>
      </c>
    </row>
    <row r="71" spans="6:10">
      <c r="F71">
        <v>58</v>
      </c>
      <c r="G71" s="3">
        <f t="shared" si="3"/>
        <v>31.772727272727352</v>
      </c>
      <c r="H71" s="3">
        <f>_xll.PDENSITY($G$71,Sheet1!$B$6:$B$14,$G$8,$G$9,1)</f>
        <v>0.44444444444444442</v>
      </c>
      <c r="I71" s="3">
        <f t="shared" si="4"/>
        <v>32.18181818181823</v>
      </c>
      <c r="J71" s="3">
        <f>_xll.PDENSITY($I$71,Sheet1!$C$6:$C$14,$I$8,$I$9,1)</f>
        <v>0.41185343848865963</v>
      </c>
    </row>
    <row r="72" spans="6:10">
      <c r="F72">
        <v>59</v>
      </c>
      <c r="G72" s="3">
        <f t="shared" si="3"/>
        <v>32.075757575757656</v>
      </c>
      <c r="H72" s="3">
        <f>_xll.PDENSITY($G$72,Sheet1!$B$6:$B$14,$G$8,$G$9,1)</f>
        <v>0.44444444444444442</v>
      </c>
      <c r="I72" s="3">
        <f t="shared" si="4"/>
        <v>32.606060606060652</v>
      </c>
      <c r="J72" s="3">
        <f>_xll.PDENSITY($I$72,Sheet1!$C$6:$C$14,$I$8,$I$9,1)</f>
        <v>0.42633789627810098</v>
      </c>
    </row>
    <row r="73" spans="6:10">
      <c r="F73">
        <v>60</v>
      </c>
      <c r="G73" s="3">
        <f t="shared" si="3"/>
        <v>32.378787878787961</v>
      </c>
      <c r="H73" s="3">
        <f>_xll.PDENSITY($G$73,Sheet1!$B$6:$B$14,$G$8,$G$9,1)</f>
        <v>0.44444444444444442</v>
      </c>
      <c r="I73" s="3">
        <f t="shared" si="4"/>
        <v>33.030303030303074</v>
      </c>
      <c r="J73" s="3">
        <f>_xll.PDENSITY($I$73,Sheet1!$C$6:$C$14,$I$8,$I$9,1)</f>
        <v>0.44113798733056026</v>
      </c>
    </row>
    <row r="74" spans="6:10">
      <c r="F74">
        <v>61</v>
      </c>
      <c r="G74" s="3">
        <f t="shared" si="3"/>
        <v>32.681818181818265</v>
      </c>
      <c r="H74" s="3">
        <f>_xll.PDENSITY($G$74,Sheet1!$B$6:$B$14,$G$8,$G$9,1)</f>
        <v>0.44444444444444442</v>
      </c>
      <c r="I74" s="3">
        <f t="shared" si="4"/>
        <v>33.454545454545496</v>
      </c>
      <c r="J74" s="3">
        <f>_xll.PDENSITY($I$74,Sheet1!$C$6:$C$14,$I$8,$I$9,1)</f>
        <v>0.45626516597772226</v>
      </c>
    </row>
    <row r="75" spans="6:10">
      <c r="F75">
        <v>62</v>
      </c>
      <c r="G75" s="3">
        <f t="shared" si="3"/>
        <v>32.98484848484857</v>
      </c>
      <c r="H75" s="3">
        <f>_xll.PDENSITY($G$75,Sheet1!$B$6:$B$14,$G$8,$G$9,1)</f>
        <v>0.44444444444444442</v>
      </c>
      <c r="I75" s="3">
        <f t="shared" si="4"/>
        <v>33.878787878787918</v>
      </c>
      <c r="J75" s="3">
        <f>_xll.PDENSITY($I$75,Sheet1!$C$6:$C$14,$I$8,$I$9,1)</f>
        <v>0.47172902898415298</v>
      </c>
    </row>
    <row r="76" spans="6:10">
      <c r="F76">
        <v>63</v>
      </c>
      <c r="G76" s="3">
        <f t="shared" si="3"/>
        <v>33.287878787878874</v>
      </c>
      <c r="H76" s="3">
        <f>_xll.PDENSITY($G$76,Sheet1!$B$6:$B$14,$G$8,$G$9,1)</f>
        <v>0.44444444444444442</v>
      </c>
      <c r="I76" s="3">
        <f t="shared" si="4"/>
        <v>34.30303030303034</v>
      </c>
      <c r="J76" s="3">
        <f>_xll.PDENSITY($I$76,Sheet1!$C$6:$C$14,$I$8,$I$9,1)</f>
        <v>0.48753612347848729</v>
      </c>
    </row>
    <row r="77" spans="6:10">
      <c r="F77">
        <v>64</v>
      </c>
      <c r="G77" s="3">
        <f t="shared" si="3"/>
        <v>33.590909090909179</v>
      </c>
      <c r="H77" s="3">
        <f>_xll.PDENSITY($G$77,Sheet1!$B$6:$B$14,$G$8,$G$9,1)</f>
        <v>0.44444444444444442</v>
      </c>
      <c r="I77" s="3">
        <f t="shared" si="4"/>
        <v>34.727272727272762</v>
      </c>
      <c r="J77" s="3">
        <f>_xll.PDENSITY($I$77,Sheet1!$C$6:$C$14,$I$8,$I$9,1)</f>
        <v>0.50368876930681472</v>
      </c>
    </row>
    <row r="78" spans="6:10">
      <c r="F78">
        <v>65</v>
      </c>
      <c r="G78" s="3">
        <f t="shared" si="3"/>
        <v>33.893939393939483</v>
      </c>
      <c r="H78" s="3">
        <f>_xll.PDENSITY($G$78,Sheet1!$B$6:$B$14,$G$8,$G$9,1)</f>
        <v>0.44444444444444442</v>
      </c>
      <c r="I78" s="3">
        <f t="shared" si="4"/>
        <v>35.151515151515184</v>
      </c>
      <c r="J78" s="3">
        <f>_xll.PDENSITY($I$78,Sheet1!$C$6:$C$14,$I$8,$I$9,1)</f>
        <v>0.5201839538985964</v>
      </c>
    </row>
    <row r="79" spans="6:10">
      <c r="F79">
        <v>66</v>
      </c>
      <c r="G79" s="3">
        <f t="shared" ref="G79:G113" si="5">1/99*($G$7-$G$6)+G78</f>
        <v>34.196969696969788</v>
      </c>
      <c r="H79" s="3">
        <f>_xll.PDENSITY($G$79,Sheet1!$B$6:$B$14,$G$8,$G$9,1)</f>
        <v>0.44444444444444442</v>
      </c>
      <c r="I79" s="3">
        <f t="shared" ref="I79:I113" si="6">1/99*($I$7-$I$6)+I78</f>
        <v>35.575757575757606</v>
      </c>
      <c r="J79" s="3">
        <f>_xll.PDENSITY($I$79,Sheet1!$C$6:$C$14,$I$8,$I$9,1)</f>
        <v>0.5370123565010968</v>
      </c>
    </row>
    <row r="80" spans="6:10">
      <c r="F80">
        <v>67</v>
      </c>
      <c r="G80" s="3">
        <f t="shared" si="5"/>
        <v>34.500000000000092</v>
      </c>
      <c r="H80" s="3">
        <f>_xll.PDENSITY($G$80,Sheet1!$B$6:$B$14,$G$8,$G$9,1)</f>
        <v>0.44444444444444442</v>
      </c>
      <c r="I80" s="3">
        <f t="shared" si="6"/>
        <v>36.000000000000028</v>
      </c>
      <c r="J80" s="3">
        <f>_xll.PDENSITY($I$80,Sheet1!$C$6:$C$14,$I$8,$I$9,1)</f>
        <v>0.55415755428644564</v>
      </c>
    </row>
    <row r="81" spans="6:10">
      <c r="F81">
        <v>68</v>
      </c>
      <c r="G81" s="3">
        <f t="shared" si="5"/>
        <v>34.803030303030397</v>
      </c>
      <c r="H81" s="3">
        <f>_xll.PDENSITY($G$81,Sheet1!$B$6:$B$14,$G$8,$G$9,1)</f>
        <v>0.44444444444444442</v>
      </c>
      <c r="I81" s="3">
        <f t="shared" si="6"/>
        <v>36.424242424242451</v>
      </c>
      <c r="J81" s="3">
        <f>_xll.PDENSITY($I$81,Sheet1!$C$6:$C$14,$I$8,$I$9,1)</f>
        <v>0.57159545554802427</v>
      </c>
    </row>
    <row r="82" spans="6:10">
      <c r="F82">
        <v>69</v>
      </c>
      <c r="G82" s="3">
        <f t="shared" si="5"/>
        <v>35.106060606060701</v>
      </c>
      <c r="H82" s="3">
        <f>_xll.PDENSITY($G$82,Sheet1!$B$6:$B$14,$G$8,$G$9,1)</f>
        <v>0.44444444444444442</v>
      </c>
      <c r="I82" s="3">
        <f t="shared" si="6"/>
        <v>36.848484848484873</v>
      </c>
      <c r="J82" s="3">
        <f>_xll.PDENSITY($I$82,Sheet1!$C$6:$C$14,$I$8,$I$9,1)</f>
        <v>0.58929399537034299</v>
      </c>
    </row>
    <row r="83" spans="6:10">
      <c r="F83">
        <v>70</v>
      </c>
      <c r="G83" s="3">
        <f t="shared" si="5"/>
        <v>35.409090909091006</v>
      </c>
      <c r="H83" s="3">
        <f>_xll.PDENSITY($G$83,Sheet1!$B$6:$B$14,$G$8,$G$9,1)</f>
        <v>0.44444444444444442</v>
      </c>
      <c r="I83" s="3">
        <f t="shared" si="6"/>
        <v>37.272727272727295</v>
      </c>
      <c r="J83" s="3">
        <f>_xll.PDENSITY($I$83,Sheet1!$C$6:$C$14,$I$8,$I$9,1)</f>
        <v>0.60721311735275962</v>
      </c>
    </row>
    <row r="84" spans="6:10">
      <c r="F84">
        <v>71</v>
      </c>
      <c r="G84" s="3">
        <f t="shared" si="5"/>
        <v>35.712121212121311</v>
      </c>
      <c r="H84" s="3">
        <f>_xll.PDENSITY($G$84,Sheet1!$B$6:$B$14,$G$8,$G$9,1)</f>
        <v>0.44444444444444442</v>
      </c>
      <c r="I84" s="3">
        <f t="shared" si="6"/>
        <v>37.696969696969717</v>
      </c>
      <c r="J84" s="3">
        <f>_xll.PDENSITY($I$84,Sheet1!$C$6:$C$14,$I$8,$I$9,1)</f>
        <v>0.62530505189014773</v>
      </c>
    </row>
    <row r="85" spans="6:10">
      <c r="F85">
        <v>72</v>
      </c>
      <c r="G85" s="3">
        <f t="shared" si="5"/>
        <v>36.015151515151615</v>
      </c>
      <c r="H85" s="3">
        <f>_xll.PDENSITY($G$85,Sheet1!$B$6:$B$14,$G$8,$G$9,1)</f>
        <v>0.44444444444444442</v>
      </c>
      <c r="I85" s="3">
        <f t="shared" si="6"/>
        <v>38.121212121212139</v>
      </c>
      <c r="J85" s="3">
        <f>_xll.PDENSITY($I$85,Sheet1!$C$6:$C$14,$I$8,$I$9,1)</f>
        <v>0.6435148327552539</v>
      </c>
    </row>
    <row r="86" spans="6:10">
      <c r="F86">
        <v>73</v>
      </c>
      <c r="G86" s="3">
        <f t="shared" si="5"/>
        <v>36.31818181818192</v>
      </c>
      <c r="H86" s="3">
        <f>_xll.PDENSITY($G$86,Sheet1!$B$6:$B$14,$G$8,$G$9,1)</f>
        <v>0.44444444444444442</v>
      </c>
      <c r="I86" s="3">
        <f t="shared" si="6"/>
        <v>38.545454545454561</v>
      </c>
      <c r="J86" s="3">
        <f>_xll.PDENSITY($I$86,Sheet1!$C$6:$C$14,$I$8,$I$9,1)</f>
        <v>0.66178114616267292</v>
      </c>
    </row>
    <row r="87" spans="6:10">
      <c r="F87">
        <v>74</v>
      </c>
      <c r="G87" s="3">
        <f t="shared" si="5"/>
        <v>36.621212121212224</v>
      </c>
      <c r="H87" s="3">
        <f>_xll.PDENSITY($G$87,Sheet1!$B$6:$B$14,$G$8,$G$9,1)</f>
        <v>0.44444444444444442</v>
      </c>
      <c r="I87" s="3">
        <f t="shared" si="6"/>
        <v>38.969696969696983</v>
      </c>
      <c r="J87" s="3">
        <f>_xll.PDENSITY($I$87,Sheet1!$C$6:$C$14,$I$8,$I$9,1)</f>
        <v>0.68003739784789863</v>
      </c>
    </row>
    <row r="88" spans="6:10">
      <c r="F88">
        <v>75</v>
      </c>
      <c r="G88" s="3">
        <f t="shared" si="5"/>
        <v>36.924242424242529</v>
      </c>
      <c r="H88" s="3">
        <f>_xll.PDENSITY($G$88,Sheet1!$B$6:$B$14,$G$8,$G$9,1)</f>
        <v>0.44444444444444442</v>
      </c>
      <c r="I88" s="3">
        <f t="shared" si="6"/>
        <v>39.393939393939405</v>
      </c>
      <c r="J88" s="3">
        <f>_xll.PDENSITY($I$88,Sheet1!$C$6:$C$14,$I$8,$I$9,1)</f>
        <v>0.69821301470964792</v>
      </c>
    </row>
    <row r="89" spans="6:10">
      <c r="F89">
        <v>76</v>
      </c>
      <c r="G89" s="3">
        <f t="shared" si="5"/>
        <v>37.227272727272833</v>
      </c>
      <c r="H89" s="3">
        <f>_xll.PDENSITY($G$89,Sheet1!$B$6:$B$14,$G$8,$G$9,1)</f>
        <v>0.44444444444444442</v>
      </c>
      <c r="I89" s="3">
        <f t="shared" si="6"/>
        <v>39.818181818181827</v>
      </c>
      <c r="J89" s="3">
        <f>_xll.PDENSITY($I$89,Sheet1!$C$6:$C$14,$I$8,$I$9,1)</f>
        <v>0.71623474741962578</v>
      </c>
    </row>
    <row r="90" spans="6:10">
      <c r="F90">
        <v>77</v>
      </c>
      <c r="G90" s="3">
        <f t="shared" si="5"/>
        <v>37.530303030303138</v>
      </c>
      <c r="H90" s="3">
        <f>_xll.PDENSITY($G$90,Sheet1!$B$6:$B$14,$G$8,$G$9,1)</f>
        <v>0.44444444444444442</v>
      </c>
      <c r="I90" s="3">
        <f t="shared" si="6"/>
        <v>40.242424242424249</v>
      </c>
      <c r="J90" s="3">
        <f>_xll.PDENSITY($I$90,Sheet1!$C$6:$C$14,$I$8,$I$9,1)</f>
        <v>0.73402823361303804</v>
      </c>
    </row>
    <row r="91" spans="6:10">
      <c r="F91">
        <v>78</v>
      </c>
      <c r="G91" s="3">
        <f t="shared" si="5"/>
        <v>37.833333333333442</v>
      </c>
      <c r="H91" s="3">
        <f>_xll.PDENSITY($G$91,Sheet1!$B$6:$B$14,$G$8,$G$9,1)</f>
        <v>0.55555555555555558</v>
      </c>
      <c r="I91" s="3">
        <f t="shared" si="6"/>
        <v>40.666666666666671</v>
      </c>
      <c r="J91" s="3">
        <f>_xll.PDENSITY($I$91,Sheet1!$C$6:$C$14,$I$8,$I$9,1)</f>
        <v>0.7515194683833023</v>
      </c>
    </row>
    <row r="92" spans="6:10">
      <c r="F92">
        <v>79</v>
      </c>
      <c r="G92" s="3">
        <f t="shared" si="5"/>
        <v>38.136363636363747</v>
      </c>
      <c r="H92" s="3">
        <f>_xll.PDENSITY($G$92,Sheet1!$B$6:$B$14,$G$8,$G$9,1)</f>
        <v>0.55555555555555558</v>
      </c>
      <c r="I92" s="3">
        <f t="shared" si="6"/>
        <v>41.090909090909093</v>
      </c>
      <c r="J92" s="3">
        <f>_xll.PDENSITY($I$92,Sheet1!$C$6:$C$14,$I$8,$I$9,1)</f>
        <v>0.76863637504667937</v>
      </c>
    </row>
    <row r="93" spans="6:10">
      <c r="F93">
        <v>80</v>
      </c>
      <c r="G93" s="3">
        <f t="shared" si="5"/>
        <v>38.439393939394051</v>
      </c>
      <c r="H93" s="3">
        <f>_xll.PDENSITY($G$93,Sheet1!$B$6:$B$14,$G$8,$G$9,1)</f>
        <v>0.66666666666666663</v>
      </c>
      <c r="I93" s="3">
        <f t="shared" si="6"/>
        <v>41.515151515151516</v>
      </c>
      <c r="J93" s="3">
        <f>_xll.PDENSITY($I$93,Sheet1!$C$6:$C$14,$I$8,$I$9,1)</f>
        <v>0.78531017889787513</v>
      </c>
    </row>
    <row r="94" spans="6:10">
      <c r="F94">
        <v>81</v>
      </c>
      <c r="G94" s="3">
        <f t="shared" si="5"/>
        <v>38.742424242424356</v>
      </c>
      <c r="H94" s="3">
        <f>_xll.PDENSITY($G$94,Sheet1!$B$6:$B$14,$G$8,$G$9,1)</f>
        <v>0.66666666666666663</v>
      </c>
      <c r="I94" s="3">
        <f t="shared" si="6"/>
        <v>41.939393939393938</v>
      </c>
      <c r="J94" s="3">
        <f>_xll.PDENSITY($I$94,Sheet1!$C$6:$C$14,$I$8,$I$9,1)</f>
        <v>0.80147670468955912</v>
      </c>
    </row>
    <row r="95" spans="6:10">
      <c r="F95">
        <v>82</v>
      </c>
      <c r="G95" s="3">
        <f t="shared" si="5"/>
        <v>39.04545454545466</v>
      </c>
      <c r="H95" s="3">
        <f>_xll.PDENSITY($G$95,Sheet1!$B$6:$B$14,$G$8,$G$9,1)</f>
        <v>0.66666666666666663</v>
      </c>
      <c r="I95" s="3">
        <f t="shared" si="6"/>
        <v>42.36363636363636</v>
      </c>
      <c r="J95" s="3">
        <f>_xll.PDENSITY($I$95,Sheet1!$C$6:$C$14,$I$8,$I$9,1)</f>
        <v>0.81707751425918507</v>
      </c>
    </row>
    <row r="96" spans="6:10">
      <c r="F96">
        <v>83</v>
      </c>
      <c r="G96" s="3">
        <f t="shared" si="5"/>
        <v>39.348484848484965</v>
      </c>
      <c r="H96" s="3">
        <f>_xll.PDENSITY($G$96,Sheet1!$B$6:$B$14,$G$8,$G$9,1)</f>
        <v>0.77777777777777779</v>
      </c>
      <c r="I96" s="3">
        <f t="shared" si="6"/>
        <v>42.787878787878782</v>
      </c>
      <c r="J96" s="3">
        <f>_xll.PDENSITY($I$96,Sheet1!$C$6:$C$14,$I$8,$I$9,1)</f>
        <v>0.83206084806109526</v>
      </c>
    </row>
    <row r="97" spans="6:10">
      <c r="F97">
        <v>84</v>
      </c>
      <c r="G97" s="3">
        <f t="shared" si="5"/>
        <v>39.65151515151527</v>
      </c>
      <c r="H97" s="3">
        <f>_xll.PDENSITY($G$97,Sheet1!$B$6:$B$14,$G$8,$G$9,1)</f>
        <v>0.77777777777777779</v>
      </c>
      <c r="I97" s="3">
        <f t="shared" si="6"/>
        <v>43.212121212121204</v>
      </c>
      <c r="J97" s="3">
        <f>_xll.PDENSITY($I$97,Sheet1!$C$6:$C$14,$I$8,$I$9,1)</f>
        <v>0.84638235270725504</v>
      </c>
    </row>
    <row r="98" spans="6:10">
      <c r="F98">
        <v>85</v>
      </c>
      <c r="G98" s="3">
        <f t="shared" si="5"/>
        <v>39.954545454545574</v>
      </c>
      <c r="H98" s="3">
        <f>_xll.PDENSITY($G$98,Sheet1!$B$6:$B$14,$G$8,$G$9,1)</f>
        <v>0.77777777777777779</v>
      </c>
      <c r="I98" s="3">
        <f t="shared" si="6"/>
        <v>43.636363636363626</v>
      </c>
      <c r="J98" s="3">
        <f>_xll.PDENSITY($I$98,Sheet1!$C$6:$C$14,$I$8,$I$9,1)</f>
        <v>0.86000558650433989</v>
      </c>
    </row>
    <row r="99" spans="6:10">
      <c r="F99">
        <v>86</v>
      </c>
      <c r="G99" s="3">
        <f t="shared" si="5"/>
        <v>40.257575757575879</v>
      </c>
      <c r="H99" s="3">
        <f>_xll.PDENSITY($G$99,Sheet1!$B$6:$B$14,$G$8,$G$9,1)</f>
        <v>0.88888888888888884</v>
      </c>
      <c r="I99" s="3">
        <f t="shared" si="6"/>
        <v>44.060606060606048</v>
      </c>
      <c r="J99" s="3">
        <f>_xll.PDENSITY($I$99,Sheet1!$C$6:$C$14,$I$8,$I$9,1)</f>
        <v>0.87290230442688355</v>
      </c>
    </row>
    <row r="100" spans="6:10">
      <c r="F100">
        <v>87</v>
      </c>
      <c r="G100" s="3">
        <f t="shared" si="5"/>
        <v>40.560606060606183</v>
      </c>
      <c r="H100" s="3">
        <f>_xll.PDENSITY($G$100,Sheet1!$B$6:$B$14,$G$8,$G$9,1)</f>
        <v>0.88888888888888884</v>
      </c>
      <c r="I100" s="3">
        <f t="shared" si="6"/>
        <v>44.48484848484847</v>
      </c>
      <c r="J100" s="3">
        <f>_xll.PDENSITY($I$100,Sheet1!$C$6:$C$14,$I$8,$I$9,1)</f>
        <v>0.88505253249802252</v>
      </c>
    </row>
    <row r="101" spans="6:10">
      <c r="F101">
        <v>88</v>
      </c>
      <c r="G101" s="3">
        <f t="shared" si="5"/>
        <v>40.863636363636488</v>
      </c>
      <c r="H101" s="3">
        <f>_xll.PDENSITY($G$101,Sheet1!$B$6:$B$14,$G$8,$G$9,1)</f>
        <v>0.88888888888888884</v>
      </c>
      <c r="I101" s="3">
        <f t="shared" si="6"/>
        <v>44.909090909090892</v>
      </c>
      <c r="J101" s="3">
        <f>_xll.PDENSITY($I$101,Sheet1!$C$6:$C$14,$I$8,$I$9,1)</f>
        <v>0.89644440286225524</v>
      </c>
    </row>
    <row r="102" spans="6:10">
      <c r="F102">
        <v>89</v>
      </c>
      <c r="G102" s="3">
        <f t="shared" si="5"/>
        <v>41.166666666666792</v>
      </c>
      <c r="H102" s="3">
        <f>_xll.PDENSITY($G$102,Sheet1!$B$6:$B$14,$G$8,$G$9,1)</f>
        <v>0.88888888888888884</v>
      </c>
      <c r="I102" s="3">
        <f t="shared" si="6"/>
        <v>45.333333333333314</v>
      </c>
      <c r="J102" s="3">
        <f>_xll.PDENSITY($I$102,Sheet1!$C$6:$C$14,$I$8,$I$9,1)</f>
        <v>0.90707387149727714</v>
      </c>
    </row>
    <row r="103" spans="6:10">
      <c r="F103">
        <v>90</v>
      </c>
      <c r="G103" s="3">
        <f t="shared" si="5"/>
        <v>41.469696969697097</v>
      </c>
      <c r="H103" s="3">
        <f>_xll.PDENSITY($G$103,Sheet1!$B$6:$B$14,$G$8,$G$9,1)</f>
        <v>0.88888888888888884</v>
      </c>
      <c r="I103" s="3">
        <f t="shared" si="6"/>
        <v>45.757575757575736</v>
      </c>
      <c r="J103" s="3">
        <f>_xll.PDENSITY($I$103,Sheet1!$C$6:$C$14,$I$8,$I$9,1)</f>
        <v>0.91694430543482985</v>
      </c>
    </row>
    <row r="104" spans="6:10">
      <c r="F104">
        <v>91</v>
      </c>
      <c r="G104" s="3">
        <f t="shared" si="5"/>
        <v>41.772727272727401</v>
      </c>
      <c r="H104" s="3">
        <f>_xll.PDENSITY($G$104,Sheet1!$B$6:$B$14,$G$8,$G$9,1)</f>
        <v>0.88888888888888884</v>
      </c>
      <c r="I104" s="3">
        <f t="shared" si="6"/>
        <v>46.181818181818159</v>
      </c>
      <c r="J104" s="3">
        <f>_xll.PDENSITY($I$104,Sheet1!$C$6:$C$14,$I$8,$I$9,1)</f>
        <v>0.92606586544134595</v>
      </c>
    </row>
    <row r="105" spans="6:10">
      <c r="F105">
        <v>92</v>
      </c>
      <c r="G105" s="3">
        <f t="shared" si="5"/>
        <v>42.075757575757706</v>
      </c>
      <c r="H105" s="3">
        <f>_xll.PDENSITY($G$105,Sheet1!$B$6:$B$14,$G$8,$G$9,1)</f>
        <v>0.88888888888888884</v>
      </c>
      <c r="I105" s="3">
        <f t="shared" si="6"/>
        <v>46.606060606060581</v>
      </c>
      <c r="J105" s="3">
        <f>_xll.PDENSITY($I$105,Sheet1!$C$6:$C$14,$I$8,$I$9,1)</f>
        <v>0.93445484676458868</v>
      </c>
    </row>
    <row r="106" spans="6:10">
      <c r="F106">
        <v>93</v>
      </c>
      <c r="G106" s="3">
        <f t="shared" si="5"/>
        <v>42.37878787878801</v>
      </c>
      <c r="H106" s="3">
        <f>_xll.PDENSITY($G$106,Sheet1!$B$6:$B$14,$G$8,$G$9,1)</f>
        <v>0.88888888888888884</v>
      </c>
      <c r="I106" s="3">
        <f t="shared" si="6"/>
        <v>47.030303030303003</v>
      </c>
      <c r="J106" s="3">
        <f>_xll.PDENSITY($I$106,Sheet1!$C$6:$C$14,$I$8,$I$9,1)</f>
        <v>0.94213295311001088</v>
      </c>
    </row>
    <row r="107" spans="6:10">
      <c r="F107">
        <v>94</v>
      </c>
      <c r="G107" s="3">
        <f t="shared" si="5"/>
        <v>42.681818181818315</v>
      </c>
      <c r="H107" s="3">
        <f>_xll.PDENSITY($G$107,Sheet1!$B$6:$B$14,$G$8,$G$9,1)</f>
        <v>0.88888888888888884</v>
      </c>
      <c r="I107" s="3">
        <f t="shared" si="6"/>
        <v>47.454545454545425</v>
      </c>
      <c r="J107" s="3">
        <f>_xll.PDENSITY($I$107,Sheet1!$C$6:$C$14,$I$8,$I$9,1)</f>
        <v>0.94912653103270606</v>
      </c>
    </row>
    <row r="108" spans="6:10">
      <c r="F108">
        <v>95</v>
      </c>
      <c r="G108" s="3">
        <f t="shared" si="5"/>
        <v>42.984848484848619</v>
      </c>
      <c r="H108" s="3">
        <f>_xll.PDENSITY($G$108,Sheet1!$B$6:$B$14,$G$8,$G$9,1)</f>
        <v>0.88888888888888884</v>
      </c>
      <c r="I108" s="3">
        <f t="shared" si="6"/>
        <v>47.878787878787847</v>
      </c>
      <c r="J108" s="3">
        <f>_xll.PDENSITY($I$108,Sheet1!$C$6:$C$14,$I$8,$I$9,1)</f>
        <v>0.95546578922937542</v>
      </c>
    </row>
    <row r="109" spans="6:10">
      <c r="F109">
        <v>96</v>
      </c>
      <c r="G109" s="3">
        <f t="shared" si="5"/>
        <v>43.287878787878924</v>
      </c>
      <c r="H109" s="3">
        <f>_xll.PDENSITY($G$109,Sheet1!$B$6:$B$14,$G$8,$G$9,1)</f>
        <v>0.88888888888888884</v>
      </c>
      <c r="I109" s="3">
        <f t="shared" si="6"/>
        <v>48.303030303030269</v>
      </c>
      <c r="J109" s="3">
        <f>_xll.PDENSITY($I$109,Sheet1!$C$6:$C$14,$I$8,$I$9,1)</f>
        <v>0.96118402405531556</v>
      </c>
    </row>
    <row r="110" spans="6:10">
      <c r="F110">
        <v>97</v>
      </c>
      <c r="G110" s="3">
        <f t="shared" si="5"/>
        <v>43.590909090909228</v>
      </c>
      <c r="H110" s="3">
        <f>_xll.PDENSITY($G$110,Sheet1!$B$6:$B$14,$G$8,$G$9,1)</f>
        <v>0.88888888888888884</v>
      </c>
      <c r="I110" s="3">
        <f t="shared" si="6"/>
        <v>48.727272727272691</v>
      </c>
      <c r="J110" s="3">
        <f>_xll.PDENSITY($I$110,Sheet1!$C$6:$C$14,$I$8,$I$9,1)</f>
        <v>0.96631686917543524</v>
      </c>
    </row>
    <row r="111" spans="6:10">
      <c r="F111">
        <v>98</v>
      </c>
      <c r="G111" s="3">
        <f t="shared" si="5"/>
        <v>43.893939393939533</v>
      </c>
      <c r="H111" s="3">
        <f>_xll.PDENSITY($G$111,Sheet1!$B$6:$B$14,$G$8,$G$9,1)</f>
        <v>0.88888888888888884</v>
      </c>
      <c r="I111" s="3">
        <f t="shared" si="6"/>
        <v>49.151515151515113</v>
      </c>
      <c r="J111" s="3">
        <f>_xll.PDENSITY($I$111,Sheet1!$C$6:$C$14,$I$8,$I$9,1)</f>
        <v>0.97090158380606306</v>
      </c>
    </row>
    <row r="112" spans="6:10">
      <c r="F112">
        <v>99</v>
      </c>
      <c r="G112" s="3">
        <f t="shared" si="5"/>
        <v>44.196969696969838</v>
      </c>
      <c r="H112" s="3">
        <f>_xll.PDENSITY($G$112,Sheet1!$B$6:$B$14,$G$8,$G$9,1)</f>
        <v>0.88888888888888884</v>
      </c>
      <c r="I112" s="3">
        <f t="shared" si="6"/>
        <v>49.575757575757535</v>
      </c>
      <c r="J112" s="3">
        <f>_xll.PDENSITY($I$112,Sheet1!$C$6:$C$14,$I$8,$I$9,1)</f>
        <v>0.97497639068929209</v>
      </c>
    </row>
    <row r="113" spans="6:10">
      <c r="F113">
        <v>100</v>
      </c>
      <c r="G113" s="3">
        <f t="shared" si="5"/>
        <v>44.500000000000142</v>
      </c>
      <c r="H113" s="3">
        <f>_xll.PDENSITY($G$113,Sheet1!$B$6:$B$14,$G$8,$G$9,1)</f>
        <v>1</v>
      </c>
      <c r="I113" s="3">
        <f t="shared" si="6"/>
        <v>49.999999999999957</v>
      </c>
      <c r="J113" s="4">
        <v>1</v>
      </c>
    </row>
  </sheetData>
  <phoneticPr fontId="1" type="noConversion"/>
  <dataValidations count="1">
    <dataValidation type="list" allowBlank="1" showInputMessage="1" showErrorMessage="1" sqref="G9 I9">
      <formula1>"Cauchy,Cosinus,Double Exp,Epanechnikov,Gaussian,Histogram,Parzen,Quartic,Triangle,Triweight,Uniform"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2005-11-27T04:17:51Z</dcterms:created>
  <dcterms:modified xsi:type="dcterms:W3CDTF">2011-02-07T04:55:51Z</dcterms:modified>
</cp:coreProperties>
</file>