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255" windowWidth="11160" windowHeight="6900" activeTab="1"/>
  </bookViews>
  <sheets>
    <sheet name="SimData" sheetId="5" r:id="rId1"/>
    <sheet name="Sheet1" sheetId="1" r:id="rId2"/>
  </sheets>
  <definedNames>
    <definedName name="_xlnm.Print_Area" localSheetId="1">Sheet1!$A$1:$L$363</definedName>
  </definedNames>
  <calcPr calcId="125725"/>
</workbook>
</file>

<file path=xl/calcChain.xml><?xml version="1.0" encoding="utf-8"?>
<calcChain xmlns="http://schemas.openxmlformats.org/spreadsheetml/2006/main">
  <c r="AI228" i="1"/>
  <c r="AG229"/>
  <c r="I244"/>
  <c r="H244"/>
  <c r="G244"/>
  <c r="F244"/>
  <c r="E244"/>
  <c r="D244"/>
  <c r="F233"/>
  <c r="H339" s="1"/>
  <c r="E233"/>
  <c r="D233"/>
  <c r="F339" s="1"/>
  <c r="C233"/>
  <c r="A226"/>
  <c r="A245" a="1"/>
  <c r="A246" s="1"/>
  <c r="A247"/>
  <c r="A248"/>
  <c r="A250"/>
  <c r="A252"/>
  <c r="A254"/>
  <c r="A255"/>
  <c r="A258"/>
  <c r="A259"/>
  <c r="A260"/>
  <c r="A263"/>
  <c r="A264"/>
  <c r="A266"/>
  <c r="A268"/>
  <c r="B244"/>
  <c r="A244"/>
  <c r="B135"/>
  <c r="N118"/>
  <c r="M118"/>
  <c r="L118"/>
  <c r="K118"/>
  <c r="J118"/>
  <c r="I118"/>
  <c r="H107"/>
  <c r="F100"/>
  <c r="F119" a="1"/>
  <c r="F128" s="1"/>
  <c r="F122"/>
  <c r="F124"/>
  <c r="F129"/>
  <c r="F133"/>
  <c r="F134"/>
  <c r="F140"/>
  <c r="G118"/>
  <c r="F118"/>
  <c r="B87"/>
  <c r="B88"/>
  <c r="L51"/>
  <c r="L50" s="1"/>
  <c r="L67" s="1"/>
  <c r="L48"/>
  <c r="L65" s="1"/>
  <c r="L78"/>
  <c r="L76"/>
  <c r="L75"/>
  <c r="L42"/>
  <c r="L59" s="1"/>
  <c r="L52"/>
  <c r="L53" s="1"/>
  <c r="L70"/>
  <c r="L57"/>
  <c r="L40"/>
  <c r="B28"/>
  <c r="B29"/>
  <c r="G29"/>
  <c r="A377"/>
  <c r="A393"/>
  <c r="A378"/>
  <c r="A379"/>
  <c r="A395" s="1"/>
  <c r="A380"/>
  <c r="A381"/>
  <c r="A397" s="1"/>
  <c r="A382"/>
  <c r="A398" s="1"/>
  <c r="A383"/>
  <c r="I8" i="5" s="1"/>
  <c r="AJ2" s="1"/>
  <c r="A399" i="1"/>
  <c r="A384"/>
  <c r="A385"/>
  <c r="A401"/>
  <c r="A376"/>
  <c r="C8" i="5"/>
  <c r="AD2" s="1"/>
  <c r="D8"/>
  <c r="AE2" s="1"/>
  <c r="E8"/>
  <c r="AF2" s="1"/>
  <c r="G8"/>
  <c r="AH2" s="1"/>
  <c r="H8"/>
  <c r="AI2" s="1"/>
  <c r="J8"/>
  <c r="AK2" s="1"/>
  <c r="K8"/>
  <c r="AL2" s="1"/>
  <c r="D375" i="1"/>
  <c r="C377"/>
  <c r="M8" i="5" s="1"/>
  <c r="AN2" s="1"/>
  <c r="C379" i="1"/>
  <c r="O8" i="5"/>
  <c r="AP2" s="1"/>
  <c r="C381" i="1"/>
  <c r="Q8" i="5" s="1"/>
  <c r="AR2" s="1"/>
  <c r="C382" i="1"/>
  <c r="R8" i="5"/>
  <c r="AS2" s="1"/>
  <c r="C383" i="1"/>
  <c r="S8" i="5" s="1"/>
  <c r="AT2" s="1"/>
  <c r="C385" i="1"/>
  <c r="U8" i="5" s="1"/>
  <c r="AV2" s="1"/>
  <c r="B8"/>
  <c r="AC2" s="1"/>
  <c r="A352" i="1"/>
  <c r="A354"/>
  <c r="A356"/>
  <c r="A357"/>
  <c r="A358"/>
  <c r="A359"/>
  <c r="A360"/>
  <c r="A361"/>
  <c r="U119" i="5"/>
  <c r="U117"/>
  <c r="U115"/>
  <c r="U113"/>
  <c r="U111"/>
  <c r="U7"/>
  <c r="U6"/>
  <c r="U4"/>
  <c r="U5" s="1"/>
  <c r="U3"/>
  <c r="T119"/>
  <c r="T117"/>
  <c r="T115"/>
  <c r="T113"/>
  <c r="T111"/>
  <c r="T7"/>
  <c r="T6"/>
  <c r="T4"/>
  <c r="T3"/>
  <c r="S119"/>
  <c r="S117"/>
  <c r="S115"/>
  <c r="S113"/>
  <c r="S111"/>
  <c r="S7"/>
  <c r="S6"/>
  <c r="S4"/>
  <c r="S5" s="1"/>
  <c r="S3"/>
  <c r="R119"/>
  <c r="R117"/>
  <c r="R115"/>
  <c r="R113"/>
  <c r="R111"/>
  <c r="R7"/>
  <c r="R6"/>
  <c r="R4"/>
  <c r="R3"/>
  <c r="R5" s="1"/>
  <c r="Q119"/>
  <c r="Q117"/>
  <c r="Q115"/>
  <c r="Q113"/>
  <c r="Q111"/>
  <c r="Q7"/>
  <c r="Q6"/>
  <c r="Q4"/>
  <c r="Q3"/>
  <c r="Q5"/>
  <c r="P119"/>
  <c r="P117"/>
  <c r="P115"/>
  <c r="P113"/>
  <c r="P111"/>
  <c r="P7"/>
  <c r="P6"/>
  <c r="P4"/>
  <c r="P5" s="1"/>
  <c r="P3"/>
  <c r="O119"/>
  <c r="O117"/>
  <c r="O115"/>
  <c r="O113"/>
  <c r="O111"/>
  <c r="O7"/>
  <c r="O6"/>
  <c r="O4"/>
  <c r="O3"/>
  <c r="O5"/>
  <c r="N119"/>
  <c r="N117"/>
  <c r="N115"/>
  <c r="N113"/>
  <c r="N111"/>
  <c r="N7"/>
  <c r="N6"/>
  <c r="N4"/>
  <c r="N3"/>
  <c r="N5" s="1"/>
  <c r="M119"/>
  <c r="M117"/>
  <c r="M115"/>
  <c r="M113"/>
  <c r="M111"/>
  <c r="M7"/>
  <c r="M6"/>
  <c r="M4"/>
  <c r="M5" s="1"/>
  <c r="M3"/>
  <c r="L119"/>
  <c r="L117"/>
  <c r="L115"/>
  <c r="L113"/>
  <c r="L111"/>
  <c r="L7"/>
  <c r="L6"/>
  <c r="L4"/>
  <c r="L3"/>
  <c r="K119"/>
  <c r="K117"/>
  <c r="K115"/>
  <c r="K113"/>
  <c r="K111"/>
  <c r="K7"/>
  <c r="K6"/>
  <c r="K4"/>
  <c r="K5" s="1"/>
  <c r="K3"/>
  <c r="J119"/>
  <c r="J117"/>
  <c r="J115"/>
  <c r="J113"/>
  <c r="J111"/>
  <c r="J7"/>
  <c r="J6"/>
  <c r="J4"/>
  <c r="J3"/>
  <c r="J5"/>
  <c r="I119"/>
  <c r="I117"/>
  <c r="I115"/>
  <c r="I113"/>
  <c r="I111"/>
  <c r="I7"/>
  <c r="I6"/>
  <c r="I4"/>
  <c r="I5" s="1"/>
  <c r="I3"/>
  <c r="H119"/>
  <c r="H117"/>
  <c r="H115"/>
  <c r="H113"/>
  <c r="H111"/>
  <c r="H7"/>
  <c r="H6"/>
  <c r="H4"/>
  <c r="H3"/>
  <c r="G119"/>
  <c r="G117"/>
  <c r="G115"/>
  <c r="G113"/>
  <c r="G111"/>
  <c r="G7"/>
  <c r="G6"/>
  <c r="G4"/>
  <c r="G3"/>
  <c r="G5" s="1"/>
  <c r="F119"/>
  <c r="F117"/>
  <c r="F115"/>
  <c r="F113"/>
  <c r="F111"/>
  <c r="F7"/>
  <c r="F6"/>
  <c r="F4"/>
  <c r="F3"/>
  <c r="F5" s="1"/>
  <c r="E119"/>
  <c r="E117"/>
  <c r="E115"/>
  <c r="E113"/>
  <c r="E111"/>
  <c r="E7"/>
  <c r="E6"/>
  <c r="E4"/>
  <c r="E5" s="1"/>
  <c r="E3"/>
  <c r="D119"/>
  <c r="D117"/>
  <c r="D115"/>
  <c r="D113"/>
  <c r="D111"/>
  <c r="D7"/>
  <c r="D6"/>
  <c r="D4"/>
  <c r="D3"/>
  <c r="C119"/>
  <c r="C117"/>
  <c r="C115"/>
  <c r="C113"/>
  <c r="C111"/>
  <c r="C7"/>
  <c r="C6"/>
  <c r="C4"/>
  <c r="C5" s="1"/>
  <c r="C3"/>
  <c r="B119"/>
  <c r="B117"/>
  <c r="B115"/>
  <c r="B113"/>
  <c r="B111"/>
  <c r="B7"/>
  <c r="B6"/>
  <c r="B4"/>
  <c r="B3"/>
  <c r="B5"/>
  <c r="A375" i="1"/>
  <c r="B375"/>
  <c r="D368" a="1"/>
  <c r="D368" s="1"/>
  <c r="H368" s="1"/>
  <c r="B352"/>
  <c r="D337"/>
  <c r="E337"/>
  <c r="F337"/>
  <c r="E339"/>
  <c r="G339"/>
  <c r="D339"/>
  <c r="B315"/>
  <c r="B280"/>
  <c r="A312"/>
  <c r="B311"/>
  <c r="B36"/>
  <c r="B35"/>
  <c r="B34"/>
  <c r="B33"/>
  <c r="B32"/>
  <c r="N23"/>
  <c r="G16"/>
  <c r="G21" s="1"/>
  <c r="G22" s="1"/>
  <c r="G20"/>
  <c r="G18"/>
  <c r="G19" s="1"/>
  <c r="G17"/>
  <c r="G15"/>
  <c r="G14"/>
  <c r="B351"/>
  <c r="C375"/>
  <c r="B223"/>
  <c r="B222"/>
  <c r="B221"/>
  <c r="E220"/>
  <c r="D220"/>
  <c r="C220"/>
  <c r="B220"/>
  <c r="I152"/>
  <c r="G152"/>
  <c r="E152"/>
  <c r="C152"/>
  <c r="A52"/>
  <c r="I44"/>
  <c r="I45"/>
  <c r="I46"/>
  <c r="I47" s="1"/>
  <c r="I48" s="1"/>
  <c r="I49" s="1"/>
  <c r="I50" s="1"/>
  <c r="I51" s="1"/>
  <c r="I52" s="1"/>
  <c r="B52"/>
  <c r="A51"/>
  <c r="B51"/>
  <c r="A50"/>
  <c r="B50"/>
  <c r="A49"/>
  <c r="B49"/>
  <c r="A48"/>
  <c r="B48"/>
  <c r="A47"/>
  <c r="B47"/>
  <c r="A46"/>
  <c r="B46"/>
  <c r="A45"/>
  <c r="B45"/>
  <c r="A44"/>
  <c r="B44"/>
  <c r="A43"/>
  <c r="B43"/>
  <c r="C41"/>
  <c r="B41"/>
  <c r="A41"/>
  <c r="F239"/>
  <c r="D240"/>
  <c r="B232"/>
  <c r="F230"/>
  <c r="D229"/>
  <c r="B227"/>
  <c r="C145"/>
  <c r="G108" a="1"/>
  <c r="G106"/>
  <c r="K104"/>
  <c r="I103"/>
  <c r="G101"/>
  <c r="E30"/>
  <c r="E34"/>
  <c r="E28"/>
  <c r="AD1" i="5"/>
  <c r="AH1"/>
  <c r="AL1"/>
  <c r="AP1"/>
  <c r="AT1"/>
  <c r="S2"/>
  <c r="O2"/>
  <c r="K2"/>
  <c r="G2"/>
  <c r="C2"/>
  <c r="D363" i="1" a="1"/>
  <c r="E344"/>
  <c r="E333"/>
  <c r="B95"/>
  <c r="E239"/>
  <c r="D239"/>
  <c r="C240"/>
  <c r="F231"/>
  <c r="F229"/>
  <c r="C142"/>
  <c r="G119" a="1"/>
  <c r="G102"/>
  <c r="G105"/>
  <c r="G103"/>
  <c r="F87"/>
  <c r="E32"/>
  <c r="E37"/>
  <c r="AE1" i="5"/>
  <c r="AJ1"/>
  <c r="R2"/>
  <c r="J2"/>
  <c r="B245" i="1" a="1"/>
  <c r="F241"/>
  <c r="C239"/>
  <c r="B228"/>
  <c r="B231"/>
  <c r="B229"/>
  <c r="C143"/>
  <c r="K106"/>
  <c r="I104"/>
  <c r="K102"/>
  <c r="E33"/>
  <c r="AF1" i="5"/>
  <c r="AK1"/>
  <c r="AV1"/>
  <c r="U2"/>
  <c r="P2"/>
  <c r="M2"/>
  <c r="H2"/>
  <c r="E2"/>
  <c r="F363" i="1" a="1"/>
  <c r="D356" a="1"/>
  <c r="E241"/>
  <c r="D230"/>
  <c r="C144"/>
  <c r="I105"/>
  <c r="C55"/>
  <c r="E36"/>
  <c r="AI1" i="5"/>
  <c r="AS1"/>
  <c r="T2"/>
  <c r="I2"/>
  <c r="D360" i="1" a="1"/>
  <c r="E342"/>
  <c r="AN1" i="5"/>
  <c r="Q2"/>
  <c r="F356" i="1" a="1"/>
  <c r="F365" a="1"/>
  <c r="B234" a="1"/>
  <c r="D241"/>
  <c r="D231"/>
  <c r="K103"/>
  <c r="E35"/>
  <c r="AR1" i="5"/>
  <c r="N2"/>
  <c r="H372" i="1"/>
  <c r="F360" a="1"/>
  <c r="F240"/>
  <c r="F232"/>
  <c r="F228"/>
  <c r="G104"/>
  <c r="E87"/>
  <c r="H32"/>
  <c r="E31"/>
  <c r="L2" i="5"/>
  <c r="E240" i="1"/>
  <c r="B230"/>
  <c r="C141"/>
  <c r="AC1" i="5"/>
  <c r="F2"/>
  <c r="B2"/>
  <c r="K105" i="1"/>
  <c r="E29"/>
  <c r="D365" a="1"/>
  <c r="D2" i="5"/>
  <c r="A1" i="1"/>
  <c r="C241"/>
  <c r="D364" a="1"/>
  <c r="D355" a="1"/>
  <c r="L44" l="1"/>
  <c r="L61" s="1"/>
  <c r="L47"/>
  <c r="L64" s="1"/>
  <c r="L74"/>
  <c r="L46"/>
  <c r="L63" s="1"/>
  <c r="L80"/>
  <c r="E355"/>
  <c r="D355"/>
  <c r="H355" s="1"/>
  <c r="B376" s="1"/>
  <c r="D364"/>
  <c r="E364"/>
  <c r="D365"/>
  <c r="E365"/>
  <c r="G360"/>
  <c r="F360"/>
  <c r="E234"/>
  <c r="D235"/>
  <c r="D236" s="1"/>
  <c r="D234"/>
  <c r="E235"/>
  <c r="E236" s="1"/>
  <c r="F234"/>
  <c r="F235"/>
  <c r="B235"/>
  <c r="C234"/>
  <c r="B234"/>
  <c r="D340" s="1"/>
  <c r="C235"/>
  <c r="F365"/>
  <c r="G365"/>
  <c r="G356"/>
  <c r="F356"/>
  <c r="D360"/>
  <c r="E360"/>
  <c r="E356"/>
  <c r="D356"/>
  <c r="F363"/>
  <c r="G363"/>
  <c r="I363" s="1"/>
  <c r="D384" s="1"/>
  <c r="D228"/>
  <c r="C245"/>
  <c r="C247"/>
  <c r="C249"/>
  <c r="C251"/>
  <c r="C253"/>
  <c r="C255"/>
  <c r="C257"/>
  <c r="C259"/>
  <c r="C261"/>
  <c r="C263"/>
  <c r="C265"/>
  <c r="C267"/>
  <c r="C269"/>
  <c r="C271"/>
  <c r="C246"/>
  <c r="B249"/>
  <c r="B252"/>
  <c r="C254"/>
  <c r="B257"/>
  <c r="B260"/>
  <c r="C262"/>
  <c r="B265"/>
  <c r="B268"/>
  <c r="C270"/>
  <c r="B247"/>
  <c r="B250"/>
  <c r="C252"/>
  <c r="B255"/>
  <c r="B258"/>
  <c r="C260"/>
  <c r="B263"/>
  <c r="B266"/>
  <c r="C268"/>
  <c r="B271"/>
  <c r="C248"/>
  <c r="B254"/>
  <c r="B259"/>
  <c r="C264"/>
  <c r="B270"/>
  <c r="B248"/>
  <c r="B253"/>
  <c r="C258"/>
  <c r="B264"/>
  <c r="B269"/>
  <c r="B246"/>
  <c r="B251"/>
  <c r="C256"/>
  <c r="B262"/>
  <c r="B267"/>
  <c r="C272"/>
  <c r="B256"/>
  <c r="B245"/>
  <c r="C250"/>
  <c r="B272"/>
  <c r="C266"/>
  <c r="B261"/>
  <c r="I102"/>
  <c r="H119"/>
  <c r="H121"/>
  <c r="C159" s="1"/>
  <c r="H123"/>
  <c r="H125"/>
  <c r="C163" s="1"/>
  <c r="H127"/>
  <c r="H129"/>
  <c r="H131"/>
  <c r="H133"/>
  <c r="C171" s="1"/>
  <c r="H135"/>
  <c r="C173" s="1"/>
  <c r="H137"/>
  <c r="H139"/>
  <c r="H141"/>
  <c r="C179" s="1"/>
  <c r="C180" s="1"/>
  <c r="H143"/>
  <c r="H145"/>
  <c r="G121"/>
  <c r="G124"/>
  <c r="H126"/>
  <c r="G129"/>
  <c r="G132"/>
  <c r="H134"/>
  <c r="C172" s="1"/>
  <c r="G137"/>
  <c r="G140"/>
  <c r="H142"/>
  <c r="G145"/>
  <c r="G119"/>
  <c r="G122"/>
  <c r="H124"/>
  <c r="G127"/>
  <c r="G130"/>
  <c r="H132"/>
  <c r="C170" s="1"/>
  <c r="G135"/>
  <c r="G138"/>
  <c r="H140"/>
  <c r="C178" s="1"/>
  <c r="G143"/>
  <c r="G146"/>
  <c r="H120"/>
  <c r="C158" s="1"/>
  <c r="G126"/>
  <c r="G131"/>
  <c r="H136"/>
  <c r="G142"/>
  <c r="G120"/>
  <c r="G125"/>
  <c r="H130"/>
  <c r="G136"/>
  <c r="G141"/>
  <c r="H146"/>
  <c r="G123"/>
  <c r="H128"/>
  <c r="C166" s="1"/>
  <c r="G134"/>
  <c r="G139"/>
  <c r="H144"/>
  <c r="H138"/>
  <c r="C176" s="1"/>
  <c r="G133"/>
  <c r="G128"/>
  <c r="H122"/>
  <c r="G144"/>
  <c r="E363"/>
  <c r="D363"/>
  <c r="H363" s="1"/>
  <c r="B384" s="1"/>
  <c r="G109"/>
  <c r="G110" s="1"/>
  <c r="G108"/>
  <c r="H109"/>
  <c r="H110" s="1"/>
  <c r="H108"/>
  <c r="H112" s="1"/>
  <c r="D367" a="1"/>
  <c r="F357"/>
  <c r="F370" a="1"/>
  <c r="F367" a="1"/>
  <c r="D357"/>
  <c r="D370" a="1"/>
  <c r="F368" a="1"/>
  <c r="F368" s="1"/>
  <c r="I368" s="1"/>
  <c r="A392"/>
  <c r="C376"/>
  <c r="L8" i="5" s="1"/>
  <c r="A396" i="1"/>
  <c r="C380"/>
  <c r="P8" i="5" s="1"/>
  <c r="F8"/>
  <c r="G28" i="1"/>
  <c r="B31"/>
  <c r="B30"/>
  <c r="A394"/>
  <c r="C378"/>
  <c r="N8" i="5" s="1"/>
  <c r="F138" i="1"/>
  <c r="F119"/>
  <c r="F123"/>
  <c r="F127"/>
  <c r="F131"/>
  <c r="F135"/>
  <c r="F139"/>
  <c r="F120"/>
  <c r="F125"/>
  <c r="F130"/>
  <c r="F136"/>
  <c r="F141"/>
  <c r="F121"/>
  <c r="F126"/>
  <c r="F132"/>
  <c r="F137"/>
  <c r="H5" i="5"/>
  <c r="D5"/>
  <c r="L5"/>
  <c r="T5"/>
  <c r="L72" i="1"/>
  <c r="L71" s="1"/>
  <c r="L43"/>
  <c r="L60" s="1"/>
  <c r="L79"/>
  <c r="A267"/>
  <c r="A262"/>
  <c r="A256"/>
  <c r="A251"/>
  <c r="A400"/>
  <c r="C384"/>
  <c r="T8" i="5" s="1"/>
  <c r="L81" i="1"/>
  <c r="L82" s="1"/>
  <c r="L49"/>
  <c r="L66" s="1"/>
  <c r="L77"/>
  <c r="L45"/>
  <c r="L62" s="1"/>
  <c r="L73"/>
  <c r="L41"/>
  <c r="A245"/>
  <c r="A249"/>
  <c r="A253"/>
  <c r="A257"/>
  <c r="A261"/>
  <c r="A265"/>
  <c r="AM1" i="5"/>
  <c r="G32" i="1"/>
  <c r="AG1" i="5"/>
  <c r="B392" i="1" s="1" a="1"/>
  <c r="AO1" i="5"/>
  <c r="AU1"/>
  <c r="AQ1"/>
  <c r="C392" i="1" s="1" a="1"/>
  <c r="I360"/>
  <c r="D237"/>
  <c r="I356"/>
  <c r="H356"/>
  <c r="H111"/>
  <c r="F369" a="1"/>
  <c r="F359" a="1"/>
  <c r="D362" a="1"/>
  <c r="F362" a="1"/>
  <c r="H364"/>
  <c r="D245" a="1"/>
  <c r="D361" a="1"/>
  <c r="F364" a="1"/>
  <c r="D358" a="1"/>
  <c r="F361" a="1"/>
  <c r="E237"/>
  <c r="G111"/>
  <c r="D227"/>
  <c r="F355" a="1"/>
  <c r="D369" a="1"/>
  <c r="H365"/>
  <c r="I365"/>
  <c r="H360"/>
  <c r="I119" a="1"/>
  <c r="I101"/>
  <c r="F366" a="1"/>
  <c r="G357" a="1"/>
  <c r="D366" a="1"/>
  <c r="E357" a="1"/>
  <c r="F358" a="1"/>
  <c r="D359" a="1"/>
  <c r="E359" l="1"/>
  <c r="D359"/>
  <c r="G358"/>
  <c r="F358"/>
  <c r="E357"/>
  <c r="D366"/>
  <c r="E366"/>
  <c r="G357"/>
  <c r="G366"/>
  <c r="F366"/>
  <c r="I119"/>
  <c r="K119" s="1" a="1"/>
  <c r="I123"/>
  <c r="I127"/>
  <c r="I131"/>
  <c r="I135"/>
  <c r="I139"/>
  <c r="I143"/>
  <c r="I122"/>
  <c r="L119" s="1" a="1"/>
  <c r="I128"/>
  <c r="I133"/>
  <c r="I138"/>
  <c r="I144"/>
  <c r="I124"/>
  <c r="I129"/>
  <c r="I134"/>
  <c r="I140"/>
  <c r="I145"/>
  <c r="I120"/>
  <c r="I130"/>
  <c r="I141"/>
  <c r="I126"/>
  <c r="I137"/>
  <c r="I125"/>
  <c r="I136"/>
  <c r="I146"/>
  <c r="I132"/>
  <c r="I121"/>
  <c r="I142"/>
  <c r="B381"/>
  <c r="D369"/>
  <c r="F355"/>
  <c r="G355"/>
  <c r="F361"/>
  <c r="G361"/>
  <c r="D358"/>
  <c r="E358"/>
  <c r="G364"/>
  <c r="F364"/>
  <c r="E361"/>
  <c r="D361"/>
  <c r="D246"/>
  <c r="I245" s="1" a="1"/>
  <c r="D250"/>
  <c r="D254"/>
  <c r="D258"/>
  <c r="D262"/>
  <c r="D266"/>
  <c r="D270"/>
  <c r="D247"/>
  <c r="F245" s="1" a="1"/>
  <c r="D252"/>
  <c r="D257"/>
  <c r="D263"/>
  <c r="D268"/>
  <c r="D248"/>
  <c r="D253"/>
  <c r="D259"/>
  <c r="D264"/>
  <c r="D269"/>
  <c r="D255"/>
  <c r="D265"/>
  <c r="D251"/>
  <c r="D261"/>
  <c r="D272"/>
  <c r="D249"/>
  <c r="D260"/>
  <c r="D271"/>
  <c r="D267"/>
  <c r="D245"/>
  <c r="D256"/>
  <c r="B385"/>
  <c r="G362"/>
  <c r="F362"/>
  <c r="I362" s="1"/>
  <c r="D383" s="1"/>
  <c r="D362"/>
  <c r="H362" s="1"/>
  <c r="B383" s="1"/>
  <c r="E362"/>
  <c r="G359"/>
  <c r="F359"/>
  <c r="F369"/>
  <c r="B377"/>
  <c r="D377"/>
  <c r="D381"/>
  <c r="C400"/>
  <c r="C396"/>
  <c r="C392"/>
  <c r="C397"/>
  <c r="C398"/>
  <c r="C393"/>
  <c r="C399"/>
  <c r="C394"/>
  <c r="C395"/>
  <c r="C401"/>
  <c r="B401"/>
  <c r="B397"/>
  <c r="B393"/>
  <c r="B396"/>
  <c r="B398"/>
  <c r="B392"/>
  <c r="B399"/>
  <c r="B394"/>
  <c r="B400"/>
  <c r="B395"/>
  <c r="L54"/>
  <c r="L58"/>
  <c r="G367"/>
  <c r="F367"/>
  <c r="I367" s="1"/>
  <c r="D145"/>
  <c r="K250"/>
  <c r="B286"/>
  <c r="B304"/>
  <c r="K268"/>
  <c r="K262"/>
  <c r="B298"/>
  <c r="K261"/>
  <c r="B297"/>
  <c r="K253"/>
  <c r="B289"/>
  <c r="K245"/>
  <c r="B281"/>
  <c r="B243" a="1"/>
  <c r="B243" s="1"/>
  <c r="B337"/>
  <c r="B334"/>
  <c r="B329"/>
  <c r="B326"/>
  <c r="B321"/>
  <c r="B318"/>
  <c r="B305"/>
  <c r="B338"/>
  <c r="B335"/>
  <c r="B331"/>
  <c r="B324"/>
  <c r="B320"/>
  <c r="B317"/>
  <c r="B316" s="1"/>
  <c r="B306"/>
  <c r="B336"/>
  <c r="B322"/>
  <c r="B339"/>
  <c r="B332"/>
  <c r="B328"/>
  <c r="B325"/>
  <c r="B307"/>
  <c r="B340"/>
  <c r="B341" s="1"/>
  <c r="B333"/>
  <c r="B319"/>
  <c r="B323"/>
  <c r="B327"/>
  <c r="B330"/>
  <c r="D238"/>
  <c r="F340"/>
  <c r="C160"/>
  <c r="C168"/>
  <c r="C174"/>
  <c r="C162"/>
  <c r="C177"/>
  <c r="C169"/>
  <c r="C161"/>
  <c r="B236"/>
  <c r="AQ2" i="5"/>
  <c r="D367" i="1"/>
  <c r="H367" s="1"/>
  <c r="E367"/>
  <c r="D143"/>
  <c r="D141"/>
  <c r="D144"/>
  <c r="K258"/>
  <c r="B294"/>
  <c r="K264"/>
  <c r="B300"/>
  <c r="K260"/>
  <c r="B296"/>
  <c r="K254"/>
  <c r="B290"/>
  <c r="B299"/>
  <c r="K263"/>
  <c r="B291"/>
  <c r="K255"/>
  <c r="B283"/>
  <c r="K247"/>
  <c r="C238"/>
  <c r="E340"/>
  <c r="AU2" i="5"/>
  <c r="AO2"/>
  <c r="AG2"/>
  <c r="M119" i="1" a="1"/>
  <c r="G117" a="1"/>
  <c r="G117" s="1"/>
  <c r="B136" s="1"/>
  <c r="C157"/>
  <c r="K266"/>
  <c r="B302"/>
  <c r="B292"/>
  <c r="K256"/>
  <c r="K248"/>
  <c r="B284"/>
  <c r="B288"/>
  <c r="K252"/>
  <c r="K246"/>
  <c r="B282"/>
  <c r="K265"/>
  <c r="B301"/>
  <c r="K257"/>
  <c r="B293"/>
  <c r="K249"/>
  <c r="B285"/>
  <c r="F238"/>
  <c r="H340"/>
  <c r="E238"/>
  <c r="G340"/>
  <c r="C28"/>
  <c r="C30"/>
  <c r="C32"/>
  <c r="C34"/>
  <c r="C36"/>
  <c r="C37"/>
  <c r="C33"/>
  <c r="C31"/>
  <c r="C29"/>
  <c r="C35"/>
  <c r="AM2" i="5"/>
  <c r="E370" i="1"/>
  <c r="D370"/>
  <c r="H370" s="1"/>
  <c r="F370"/>
  <c r="I370" s="1"/>
  <c r="E386" s="1"/>
  <c r="G370"/>
  <c r="D142"/>
  <c r="C175"/>
  <c r="E157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G245" a="1"/>
  <c r="B303"/>
  <c r="K267"/>
  <c r="B295"/>
  <c r="K259"/>
  <c r="B287"/>
  <c r="K251"/>
  <c r="C164"/>
  <c r="C165"/>
  <c r="D342"/>
  <c r="C167"/>
  <c r="C236"/>
  <c r="F236"/>
  <c r="I357"/>
  <c r="H369"/>
  <c r="I364"/>
  <c r="B237"/>
  <c r="C237"/>
  <c r="I361"/>
  <c r="H359"/>
  <c r="H366"/>
  <c r="I366"/>
  <c r="H361"/>
  <c r="B137"/>
  <c r="H357"/>
  <c r="I359"/>
  <c r="F237"/>
  <c r="I369"/>
  <c r="D380" l="1"/>
  <c r="B378"/>
  <c r="B382"/>
  <c r="B380"/>
  <c r="D382"/>
  <c r="D385"/>
  <c r="D378"/>
  <c r="L146"/>
  <c r="L142"/>
  <c r="L138"/>
  <c r="L134"/>
  <c r="L130"/>
  <c r="L126"/>
  <c r="L122"/>
  <c r="L145"/>
  <c r="L140"/>
  <c r="L135"/>
  <c r="L129"/>
  <c r="L124"/>
  <c r="L119"/>
  <c r="L141"/>
  <c r="L136"/>
  <c r="L131"/>
  <c r="L125"/>
  <c r="L120"/>
  <c r="L137"/>
  <c r="L127"/>
  <c r="L139"/>
  <c r="L128"/>
  <c r="L144"/>
  <c r="L133"/>
  <c r="L123"/>
  <c r="L143"/>
  <c r="L132"/>
  <c r="L121"/>
  <c r="K145"/>
  <c r="K141"/>
  <c r="K137"/>
  <c r="K133"/>
  <c r="K129"/>
  <c r="K125"/>
  <c r="K121"/>
  <c r="K143"/>
  <c r="K138"/>
  <c r="K132"/>
  <c r="K127"/>
  <c r="K122"/>
  <c r="K144"/>
  <c r="K139"/>
  <c r="K134"/>
  <c r="K128"/>
  <c r="K123"/>
  <c r="K140"/>
  <c r="K130"/>
  <c r="K119"/>
  <c r="K142"/>
  <c r="K131"/>
  <c r="K120"/>
  <c r="K136"/>
  <c r="K126"/>
  <c r="K146"/>
  <c r="K135"/>
  <c r="K124"/>
  <c r="F272"/>
  <c r="F268"/>
  <c r="F264"/>
  <c r="F260"/>
  <c r="F256"/>
  <c r="F252"/>
  <c r="F248"/>
  <c r="F269"/>
  <c r="F263"/>
  <c r="F258"/>
  <c r="F253"/>
  <c r="F247"/>
  <c r="F270"/>
  <c r="F265"/>
  <c r="F259"/>
  <c r="F254"/>
  <c r="F249"/>
  <c r="F266"/>
  <c r="F255"/>
  <c r="F245"/>
  <c r="F267"/>
  <c r="F257"/>
  <c r="F246"/>
  <c r="F271"/>
  <c r="F261"/>
  <c r="F250"/>
  <c r="F262"/>
  <c r="F251"/>
  <c r="I269"/>
  <c r="I265"/>
  <c r="I261"/>
  <c r="I257"/>
  <c r="I253"/>
  <c r="I249"/>
  <c r="I245"/>
  <c r="I270"/>
  <c r="I266"/>
  <c r="I262"/>
  <c r="I258"/>
  <c r="I254"/>
  <c r="I250"/>
  <c r="I246"/>
  <c r="I267"/>
  <c r="I259"/>
  <c r="I251"/>
  <c r="I268"/>
  <c r="I260"/>
  <c r="I252"/>
  <c r="I271"/>
  <c r="I263"/>
  <c r="I255"/>
  <c r="I247"/>
  <c r="I272"/>
  <c r="I264"/>
  <c r="I256"/>
  <c r="I248"/>
  <c r="M143"/>
  <c r="M139"/>
  <c r="M135"/>
  <c r="M131"/>
  <c r="M127"/>
  <c r="M123"/>
  <c r="M119"/>
  <c r="M142"/>
  <c r="M137"/>
  <c r="M132"/>
  <c r="M126"/>
  <c r="M121"/>
  <c r="M144"/>
  <c r="M138"/>
  <c r="M133"/>
  <c r="M128"/>
  <c r="M122"/>
  <c r="M145"/>
  <c r="M134"/>
  <c r="M124"/>
  <c r="M146"/>
  <c r="M136"/>
  <c r="M125"/>
  <c r="M141"/>
  <c r="M130"/>
  <c r="M120"/>
  <c r="M140"/>
  <c r="M129"/>
  <c r="B308"/>
  <c r="B312"/>
  <c r="C46"/>
  <c r="D31"/>
  <c r="D46" s="1"/>
  <c r="C49"/>
  <c r="D34"/>
  <c r="D49" s="1"/>
  <c r="BD126"/>
  <c r="BD122"/>
  <c r="BD118"/>
  <c r="BD114"/>
  <c r="BD110"/>
  <c r="BD106"/>
  <c r="BD124"/>
  <c r="BD119"/>
  <c r="BD113"/>
  <c r="BD108"/>
  <c r="BD103"/>
  <c r="C156"/>
  <c r="BE104"/>
  <c r="BE105" s="1"/>
  <c r="BE106" s="1"/>
  <c r="BE107" s="1"/>
  <c r="BE108" s="1"/>
  <c r="BE109" s="1"/>
  <c r="BE110" s="1"/>
  <c r="BE111" s="1"/>
  <c r="BE112" s="1"/>
  <c r="BE113" s="1"/>
  <c r="BE114" s="1"/>
  <c r="BE115" s="1"/>
  <c r="BE116" s="1"/>
  <c r="BE117" s="1"/>
  <c r="BE118" s="1"/>
  <c r="BE119" s="1"/>
  <c r="BE120" s="1"/>
  <c r="BE121" s="1"/>
  <c r="BE122" s="1"/>
  <c r="BE123" s="1"/>
  <c r="BE124" s="1"/>
  <c r="BE125" s="1"/>
  <c r="BE126" s="1"/>
  <c r="BD123"/>
  <c r="BD117"/>
  <c r="BD112"/>
  <c r="BD107"/>
  <c r="BA104"/>
  <c r="BD120"/>
  <c r="BD109"/>
  <c r="BA109"/>
  <c r="BD121"/>
  <c r="BD111"/>
  <c r="BA103"/>
  <c r="BA111" s="1"/>
  <c r="BD125"/>
  <c r="BD115"/>
  <c r="BD104"/>
  <c r="BD116"/>
  <c r="BD105"/>
  <c r="D35"/>
  <c r="D50" s="1"/>
  <c r="C50"/>
  <c r="C52"/>
  <c r="D37"/>
  <c r="D52" s="1"/>
  <c r="E52" s="1"/>
  <c r="C45"/>
  <c r="D30"/>
  <c r="D45" s="1"/>
  <c r="AJ230"/>
  <c r="AJ231" s="1"/>
  <c r="AJ232" s="1"/>
  <c r="AJ233" s="1"/>
  <c r="AJ234" s="1"/>
  <c r="AJ235" s="1"/>
  <c r="AJ236" s="1"/>
  <c r="AJ237" s="1"/>
  <c r="AJ238" s="1"/>
  <c r="AJ239" s="1"/>
  <c r="AJ240" s="1"/>
  <c r="AJ241" s="1"/>
  <c r="AJ242" s="1"/>
  <c r="AJ243" s="1"/>
  <c r="AJ244" s="1"/>
  <c r="AJ245" s="1"/>
  <c r="AJ246" s="1"/>
  <c r="AJ247" s="1"/>
  <c r="AJ248" s="1"/>
  <c r="AJ249" s="1"/>
  <c r="AJ250" s="1"/>
  <c r="AJ251" s="1"/>
  <c r="AJ252" s="1"/>
  <c r="AI251"/>
  <c r="AI247"/>
  <c r="AI243"/>
  <c r="AI239"/>
  <c r="AI235"/>
  <c r="AI231"/>
  <c r="AG231"/>
  <c r="AI248"/>
  <c r="AI242"/>
  <c r="AI237"/>
  <c r="AI232"/>
  <c r="AG230"/>
  <c r="AG238" s="1"/>
  <c r="AI252"/>
  <c r="AI246"/>
  <c r="AI241"/>
  <c r="AI236"/>
  <c r="AI230"/>
  <c r="AG236"/>
  <c r="AI244"/>
  <c r="AI233"/>
  <c r="AI245"/>
  <c r="AI234"/>
  <c r="AI249"/>
  <c r="AI238"/>
  <c r="AI250"/>
  <c r="AI229"/>
  <c r="AI240"/>
  <c r="H245" a="1"/>
  <c r="E245" a="1"/>
  <c r="H358"/>
  <c r="B379" s="1"/>
  <c r="I355"/>
  <c r="D376" s="1"/>
  <c r="G269"/>
  <c r="G265"/>
  <c r="G261"/>
  <c r="G257"/>
  <c r="G253"/>
  <c r="G249"/>
  <c r="G245"/>
  <c r="G271"/>
  <c r="G266"/>
  <c r="G260"/>
  <c r="G255"/>
  <c r="G250"/>
  <c r="G272"/>
  <c r="G267"/>
  <c r="G262"/>
  <c r="G256"/>
  <c r="G251"/>
  <c r="G246"/>
  <c r="G263"/>
  <c r="G252"/>
  <c r="G264"/>
  <c r="G254"/>
  <c r="G268"/>
  <c r="G258"/>
  <c r="G247"/>
  <c r="G270"/>
  <c r="G259"/>
  <c r="G248"/>
  <c r="C48"/>
  <c r="D33"/>
  <c r="D48" s="1"/>
  <c r="E48" s="1"/>
  <c r="C47"/>
  <c r="D32"/>
  <c r="D47" s="1"/>
  <c r="D29"/>
  <c r="D44" s="1"/>
  <c r="C44"/>
  <c r="C51"/>
  <c r="D36"/>
  <c r="D51" s="1"/>
  <c r="C43"/>
  <c r="D28"/>
  <c r="D43" s="1"/>
  <c r="E43" s="1"/>
  <c r="J119" a="1"/>
  <c r="N119" a="1"/>
  <c r="I358"/>
  <c r="D379" s="1"/>
  <c r="E50" l="1"/>
  <c r="J145"/>
  <c r="J141"/>
  <c r="J137"/>
  <c r="J133"/>
  <c r="J129"/>
  <c r="J125"/>
  <c r="J121"/>
  <c r="J146"/>
  <c r="J142"/>
  <c r="J138"/>
  <c r="J134"/>
  <c r="J130"/>
  <c r="J126"/>
  <c r="J122"/>
  <c r="J143"/>
  <c r="J135"/>
  <c r="J127"/>
  <c r="J119"/>
  <c r="J144"/>
  <c r="J136"/>
  <c r="J128"/>
  <c r="J120"/>
  <c r="J139"/>
  <c r="J131"/>
  <c r="J123"/>
  <c r="J140"/>
  <c r="J132"/>
  <c r="J124"/>
  <c r="BA112"/>
  <c r="H270"/>
  <c r="H268"/>
  <c r="H264"/>
  <c r="H260"/>
  <c r="H256"/>
  <c r="H252"/>
  <c r="H248"/>
  <c r="H269"/>
  <c r="H265"/>
  <c r="H261"/>
  <c r="H257"/>
  <c r="H253"/>
  <c r="H249"/>
  <c r="H245"/>
  <c r="H271"/>
  <c r="H262"/>
  <c r="H254"/>
  <c r="H246"/>
  <c r="H272"/>
  <c r="H263"/>
  <c r="H255"/>
  <c r="H247"/>
  <c r="H266"/>
  <c r="H258"/>
  <c r="H250"/>
  <c r="H267"/>
  <c r="H259"/>
  <c r="H251"/>
  <c r="BD102"/>
  <c r="BA102"/>
  <c r="E46"/>
  <c r="E44"/>
  <c r="F44" s="1"/>
  <c r="H44" s="1"/>
  <c r="E49"/>
  <c r="E271"/>
  <c r="E267"/>
  <c r="E263"/>
  <c r="E259"/>
  <c r="E255"/>
  <c r="E251"/>
  <c r="E247"/>
  <c r="E272"/>
  <c r="E266"/>
  <c r="E261"/>
  <c r="E256"/>
  <c r="E250"/>
  <c r="E245"/>
  <c r="E268"/>
  <c r="E262"/>
  <c r="E257"/>
  <c r="E252"/>
  <c r="E246"/>
  <c r="E269"/>
  <c r="E258"/>
  <c r="E248"/>
  <c r="E270"/>
  <c r="E260"/>
  <c r="E249"/>
  <c r="E265"/>
  <c r="E254"/>
  <c r="E264"/>
  <c r="E253"/>
  <c r="N144"/>
  <c r="N140"/>
  <c r="N136"/>
  <c r="N132"/>
  <c r="N128"/>
  <c r="N124"/>
  <c r="N120"/>
  <c r="N145"/>
  <c r="N139"/>
  <c r="N134"/>
  <c r="N129"/>
  <c r="N123"/>
  <c r="N146"/>
  <c r="N141"/>
  <c r="N135"/>
  <c r="N130"/>
  <c r="N125"/>
  <c r="N119"/>
  <c r="N142"/>
  <c r="N131"/>
  <c r="N121"/>
  <c r="N133"/>
  <c r="N122"/>
  <c r="N138"/>
  <c r="N127"/>
  <c r="N143"/>
  <c r="N137"/>
  <c r="N126"/>
  <c r="AG239"/>
  <c r="E51"/>
  <c r="E47"/>
  <c r="F48" s="1"/>
  <c r="H48" s="1"/>
  <c r="E45"/>
  <c r="F145"/>
  <c r="F142"/>
  <c r="F146"/>
  <c r="A271"/>
  <c r="F143"/>
  <c r="F144"/>
  <c r="A269"/>
  <c r="A270"/>
  <c r="A272"/>
  <c r="F46" l="1"/>
  <c r="H46" s="1"/>
  <c r="E143"/>
  <c r="E142"/>
  <c r="F49"/>
  <c r="H49" s="1"/>
  <c r="F52"/>
  <c r="F45"/>
  <c r="H45" s="1"/>
  <c r="F50"/>
  <c r="H50" s="1"/>
  <c r="F43"/>
  <c r="F47"/>
  <c r="H47" s="1"/>
  <c r="E145"/>
  <c r="E141"/>
  <c r="E144"/>
  <c r="AG240"/>
  <c r="BA113"/>
  <c r="F51"/>
  <c r="H51" s="1"/>
  <c r="B144"/>
  <c r="B142"/>
  <c r="B141"/>
  <c r="B143"/>
  <c r="B145"/>
  <c r="BA114" l="1"/>
  <c r="G42"/>
  <c r="H42" s="1"/>
  <c r="H43"/>
  <c r="AG241"/>
  <c r="H53"/>
  <c r="H52"/>
  <c r="AG242" l="1"/>
  <c r="BA115"/>
  <c r="BA116" l="1"/>
  <c r="AG243"/>
  <c r="AG244" l="1"/>
  <c r="BA117"/>
  <c r="BA118" l="1"/>
  <c r="AG245"/>
  <c r="AG246" l="1"/>
  <c r="BA119"/>
  <c r="BA120" l="1"/>
  <c r="AG247"/>
  <c r="AG248" l="1"/>
  <c r="BA121"/>
  <c r="BA122" l="1"/>
  <c r="AG249"/>
  <c r="AG250" l="1"/>
  <c r="BA123"/>
  <c r="BA124" l="1"/>
  <c r="AG251"/>
  <c r="AG252" l="1"/>
  <c r="BA125"/>
  <c r="BA126" l="1"/>
  <c r="AG253"/>
  <c r="AG254" l="1"/>
  <c r="BA127"/>
  <c r="BA128" l="1"/>
  <c r="AG255"/>
  <c r="BA129" l="1"/>
  <c r="AG256"/>
  <c r="BA130" l="1"/>
  <c r="AG257"/>
  <c r="BA131" l="1"/>
  <c r="AG258"/>
  <c r="AG259" l="1"/>
  <c r="BA132"/>
  <c r="BA133" l="1"/>
  <c r="AG260"/>
  <c r="BA134" l="1"/>
  <c r="AG261"/>
  <c r="BA135" l="1"/>
  <c r="AG262"/>
  <c r="BA136" l="1"/>
  <c r="AG263"/>
  <c r="BA137" l="1"/>
  <c r="AG264"/>
  <c r="BA138" l="1"/>
  <c r="AG265"/>
  <c r="BA139" l="1"/>
  <c r="AG266"/>
  <c r="AG267" l="1"/>
  <c r="BA140"/>
  <c r="BA141" l="1"/>
  <c r="AG268"/>
  <c r="BA142" l="1"/>
  <c r="AG269"/>
  <c r="BA143" l="1"/>
  <c r="AG270"/>
  <c r="BA144" l="1"/>
  <c r="AG271"/>
  <c r="BA145" l="1"/>
  <c r="AG272"/>
  <c r="AG273" l="1"/>
  <c r="BA146"/>
  <c r="AG274" l="1"/>
  <c r="BA147"/>
  <c r="AG275" l="1"/>
  <c r="BA148"/>
  <c r="AG276" l="1"/>
  <c r="BA149"/>
  <c r="AG277" l="1"/>
  <c r="BA150"/>
  <c r="BA151" l="1"/>
  <c r="AG278"/>
  <c r="AG279" l="1"/>
  <c r="BA152"/>
  <c r="BA153" l="1"/>
  <c r="AG280"/>
  <c r="AG281" l="1"/>
  <c r="BA154"/>
  <c r="AG282" l="1"/>
  <c r="BA155"/>
  <c r="AG283" l="1"/>
  <c r="BA156"/>
  <c r="AG284" l="1"/>
  <c r="BA157"/>
  <c r="AG285" l="1"/>
  <c r="BA158"/>
  <c r="BA159" l="1"/>
  <c r="AG286"/>
  <c r="BA160" l="1"/>
  <c r="AG287"/>
  <c r="BA161" l="1"/>
  <c r="AG288"/>
  <c r="BA162" l="1"/>
  <c r="AG289"/>
  <c r="BA163" l="1"/>
  <c r="AG290"/>
  <c r="BA164" l="1"/>
  <c r="AG291"/>
  <c r="BA165" l="1"/>
  <c r="AG292"/>
  <c r="AG293" l="1"/>
  <c r="BA166"/>
  <c r="BA167" l="1"/>
  <c r="AG294"/>
  <c r="AG295" l="1"/>
  <c r="BA168"/>
  <c r="AG296" l="1"/>
  <c r="BA169"/>
  <c r="AG297" l="1"/>
  <c r="BA170"/>
  <c r="BA171" l="1"/>
  <c r="AG298"/>
  <c r="BA172" l="1"/>
  <c r="AG299"/>
  <c r="BA173" l="1"/>
  <c r="AG300"/>
  <c r="BA174" l="1"/>
  <c r="AG301"/>
  <c r="BA175" l="1"/>
  <c r="AG302"/>
  <c r="BA176" l="1"/>
  <c r="AG303"/>
  <c r="BA177" l="1"/>
  <c r="AG304"/>
  <c r="BA178" l="1"/>
  <c r="AG305"/>
  <c r="BA179" l="1"/>
  <c r="AG306"/>
  <c r="AG307" l="1"/>
  <c r="BA180"/>
  <c r="BA181" l="1"/>
  <c r="AG308"/>
  <c r="BA182" l="1"/>
  <c r="AG309"/>
  <c r="BA183" l="1"/>
  <c r="AG310"/>
  <c r="BA184" l="1"/>
  <c r="AG311"/>
  <c r="BA185" l="1"/>
  <c r="AG312"/>
  <c r="AG313" l="1"/>
  <c r="BA186"/>
  <c r="BA187" l="1"/>
  <c r="AG314"/>
  <c r="BA188" l="1"/>
  <c r="AG315"/>
  <c r="BA189" l="1"/>
  <c r="AG316"/>
  <c r="AG317" l="1"/>
  <c r="BA190"/>
  <c r="AG318" l="1"/>
  <c r="BA191"/>
  <c r="AG319" l="1"/>
  <c r="BA192"/>
  <c r="AG320" l="1"/>
  <c r="BA193"/>
  <c r="AG321" l="1"/>
  <c r="BA194"/>
  <c r="BA195" l="1"/>
  <c r="AG322"/>
  <c r="AG323" l="1"/>
  <c r="BA196"/>
  <c r="AG324" l="1"/>
  <c r="BA197"/>
  <c r="AG325" l="1"/>
  <c r="BA198"/>
  <c r="AG326" l="1"/>
  <c r="BA199"/>
  <c r="AG327" l="1"/>
  <c r="BA200"/>
  <c r="BA201" l="1"/>
  <c r="AG328"/>
  <c r="BA202" l="1"/>
  <c r="AG329"/>
  <c r="BA203" l="1"/>
  <c r="AG330"/>
  <c r="BA204" l="1"/>
  <c r="AG331"/>
  <c r="BA205" l="1"/>
  <c r="AG332"/>
  <c r="BA206" l="1"/>
  <c r="AG333"/>
  <c r="BA207" l="1"/>
  <c r="AG334"/>
  <c r="BA208" l="1"/>
  <c r="AG335"/>
  <c r="BA209" l="1"/>
  <c r="AG336"/>
  <c r="BA210" l="1"/>
  <c r="AG337"/>
  <c r="BA110"/>
  <c r="BA108"/>
  <c r="I117"/>
  <c r="AG232"/>
  <c r="AG237"/>
  <c r="AH237"/>
  <c r="D243"/>
  <c r="BA105"/>
  <c r="BB108"/>
  <c r="AG235"/>
  <c r="AH235"/>
  <c r="D333"/>
  <c r="BB110"/>
  <c r="D344"/>
  <c r="BB109"/>
  <c r="BB111"/>
  <c r="B55"/>
  <c r="AH238"/>
  <c r="AH236"/>
  <c r="BB112"/>
  <c r="AH239"/>
  <c r="AH240"/>
  <c r="BB113"/>
  <c r="BB114"/>
  <c r="AH241"/>
  <c r="AH242"/>
  <c r="BB115"/>
  <c r="BB116"/>
  <c r="AH243"/>
  <c r="AH244"/>
  <c r="BB117"/>
  <c r="BB118"/>
  <c r="AH245"/>
  <c r="AH246"/>
  <c r="BB119"/>
  <c r="BB120"/>
  <c r="AH247"/>
  <c r="AH248"/>
  <c r="BB121"/>
  <c r="BB122"/>
  <c r="AH249"/>
  <c r="AH250"/>
  <c r="BB123"/>
  <c r="BB124"/>
  <c r="AH251"/>
  <c r="AH252"/>
  <c r="BB125"/>
  <c r="BB126"/>
  <c r="AH253"/>
  <c r="AH254"/>
  <c r="BB127"/>
  <c r="AH255"/>
  <c r="BB128"/>
  <c r="AH256"/>
  <c r="BB129"/>
  <c r="AH257"/>
  <c r="BB130"/>
  <c r="BB131"/>
  <c r="AH258"/>
  <c r="AH259"/>
  <c r="BB132"/>
  <c r="AH260"/>
  <c r="BB133"/>
  <c r="AH261"/>
  <c r="BB134"/>
  <c r="AH262"/>
  <c r="BB135"/>
  <c r="AH263"/>
  <c r="BB136"/>
  <c r="AH264"/>
  <c r="BB137"/>
  <c r="AH265"/>
  <c r="BB138"/>
  <c r="BB139"/>
  <c r="AH266"/>
  <c r="AH267"/>
  <c r="BB140"/>
  <c r="AH268"/>
  <c r="BB141"/>
  <c r="AH269"/>
  <c r="BB142"/>
  <c r="AH270"/>
  <c r="BB143"/>
  <c r="AH271"/>
  <c r="BB144"/>
  <c r="BB145"/>
  <c r="AH272"/>
  <c r="BB146"/>
  <c r="AH273"/>
  <c r="BB147"/>
  <c r="AH274"/>
  <c r="BB148"/>
  <c r="AH275"/>
  <c r="BB149"/>
  <c r="AH276"/>
  <c r="AH277"/>
  <c r="BB150"/>
  <c r="BB151"/>
  <c r="AH278"/>
  <c r="AH279"/>
  <c r="BB152"/>
  <c r="BB153"/>
  <c r="AH280"/>
  <c r="BB154"/>
  <c r="AH281"/>
  <c r="BB155"/>
  <c r="AH282"/>
  <c r="BB156"/>
  <c r="AH283"/>
  <c r="BB157"/>
  <c r="AH284"/>
  <c r="AH285"/>
  <c r="BB158"/>
  <c r="AH286"/>
  <c r="BB159"/>
  <c r="AH287"/>
  <c r="BB160"/>
  <c r="AH288"/>
  <c r="BB161"/>
  <c r="AH289"/>
  <c r="BB162"/>
  <c r="AH290"/>
  <c r="BB163"/>
  <c r="AH291"/>
  <c r="BB164"/>
  <c r="BB165"/>
  <c r="AH292"/>
  <c r="AH293"/>
  <c r="BB166"/>
  <c r="BB167"/>
  <c r="AH294"/>
  <c r="BB168"/>
  <c r="AH295"/>
  <c r="BB169"/>
  <c r="AH296"/>
  <c r="AH297"/>
  <c r="BB170"/>
  <c r="AH298"/>
  <c r="BB171"/>
  <c r="AH299"/>
  <c r="BB172"/>
  <c r="AH300"/>
  <c r="BB173"/>
  <c r="AH301"/>
  <c r="BB174"/>
  <c r="AH302"/>
  <c r="BB175"/>
  <c r="AH303"/>
  <c r="BB176"/>
  <c r="AH304"/>
  <c r="BB177"/>
  <c r="AH305"/>
  <c r="BB178"/>
  <c r="BB179"/>
  <c r="AH306"/>
  <c r="AH307"/>
  <c r="BB180"/>
  <c r="AH308"/>
  <c r="BB181"/>
  <c r="AH309"/>
  <c r="BB182"/>
  <c r="AH310"/>
  <c r="BB183"/>
  <c r="AH311"/>
  <c r="BB184"/>
  <c r="BB185"/>
  <c r="AH312"/>
  <c r="AH313"/>
  <c r="BB186"/>
  <c r="AH314"/>
  <c r="BB187"/>
  <c r="AH315"/>
  <c r="BB188"/>
  <c r="BB189"/>
  <c r="AH316"/>
  <c r="BB190"/>
  <c r="AH317"/>
  <c r="BB191"/>
  <c r="AH318"/>
  <c r="BB192"/>
  <c r="AH319"/>
  <c r="BB193"/>
  <c r="AH320"/>
  <c r="AH321"/>
  <c r="BB194"/>
  <c r="BB195"/>
  <c r="AH322"/>
  <c r="BB196"/>
  <c r="AH323"/>
  <c r="BB197"/>
  <c r="AH324"/>
  <c r="BB198"/>
  <c r="AH325"/>
  <c r="BB199"/>
  <c r="AH326"/>
  <c r="AH327"/>
  <c r="BB200"/>
  <c r="AH328"/>
  <c r="BB201"/>
  <c r="AH329"/>
  <c r="BB202"/>
  <c r="AH330"/>
  <c r="BB203"/>
  <c r="AH331"/>
  <c r="BB204"/>
  <c r="AH332"/>
  <c r="BB205"/>
  <c r="AH333"/>
  <c r="BB206"/>
  <c r="AH334"/>
  <c r="BB207"/>
  <c r="AH335"/>
  <c r="BB208"/>
  <c r="AH336"/>
  <c r="BB209"/>
  <c r="AH337"/>
  <c r="BB210"/>
</calcChain>
</file>

<file path=xl/sharedStrings.xml><?xml version="1.0" encoding="utf-8"?>
<sst xmlns="http://schemas.openxmlformats.org/spreadsheetml/2006/main" count="310" uniqueCount="208">
  <si>
    <t>Demonstration of parameter estimation for several distributions.</t>
  </si>
  <si>
    <t>Year</t>
  </si>
  <si>
    <t>Minimum</t>
  </si>
  <si>
    <t>Maximum</t>
  </si>
  <si>
    <t>Mean</t>
  </si>
  <si>
    <t>Normal</t>
  </si>
  <si>
    <t>Empirical</t>
  </si>
  <si>
    <t>James W. Richardson</t>
  </si>
  <si>
    <t>Summary Statistics</t>
  </si>
  <si>
    <t>X</t>
  </si>
  <si>
    <t>Std Dev</t>
  </si>
  <si>
    <t>Min</t>
  </si>
  <si>
    <t>Max</t>
  </si>
  <si>
    <t>Intercept</t>
  </si>
  <si>
    <t>Slope</t>
  </si>
  <si>
    <t>Simulate Historical Period</t>
  </si>
  <si>
    <t>Simulate Period 25</t>
  </si>
  <si>
    <t>Means</t>
  </si>
  <si>
    <t>Harvested Area</t>
  </si>
  <si>
    <t>Price t-1</t>
  </si>
  <si>
    <t>acres t-1</t>
  </si>
  <si>
    <t>acres idled+crp</t>
  </si>
  <si>
    <t>The random variable (X) is the harvested acres series.</t>
  </si>
  <si>
    <t>Average</t>
  </si>
  <si>
    <t>Simulate Period 24</t>
  </si>
  <si>
    <t>Pseudo Minimum</t>
  </si>
  <si>
    <t>Pseudo Maximum</t>
  </si>
  <si>
    <t>R-Square</t>
  </si>
  <si>
    <t>F-Ratio</t>
  </si>
  <si>
    <t>Prob(F)</t>
  </si>
  <si>
    <t>S.E.</t>
  </si>
  <si>
    <t>T-Test</t>
  </si>
  <si>
    <t>Prob(T)</t>
  </si>
  <si>
    <t xml:space="preserve">Simple Regression on Trend </t>
  </si>
  <si>
    <t>Harvested Acres</t>
  </si>
  <si>
    <t>F-test</t>
  </si>
  <si>
    <t>CV Regr</t>
  </si>
  <si>
    <t>Beta</t>
  </si>
  <si>
    <t>Raw Data</t>
  </si>
  <si>
    <t xml:space="preserve">Residuals </t>
  </si>
  <si>
    <t>From Mean</t>
  </si>
  <si>
    <t>Table 1.  Random variables with few observations and no trend</t>
  </si>
  <si>
    <t>Test for the Presence of a Trend</t>
  </si>
  <si>
    <t>Table 3.  Estimate the Parameters for an Empirical Distribution.</t>
  </si>
  <si>
    <t>Obs.</t>
  </si>
  <si>
    <t>C.V.</t>
  </si>
  <si>
    <t>Residuals</t>
  </si>
  <si>
    <t>Res/Mean</t>
  </si>
  <si>
    <t>Pmin</t>
  </si>
  <si>
    <t>Pmax</t>
  </si>
  <si>
    <t>E-hat</t>
  </si>
  <si>
    <t>Fi</t>
  </si>
  <si>
    <t>Si</t>
  </si>
  <si>
    <t>X-Bar</t>
  </si>
  <si>
    <t>Pmin &amp;</t>
  </si>
  <si>
    <t xml:space="preserve">Final Si </t>
  </si>
  <si>
    <t>Values</t>
  </si>
  <si>
    <t>Probabilities</t>
  </si>
  <si>
    <t>P(Si)</t>
  </si>
  <si>
    <t>Table 4.  Parameters for a Uniform Distribution.</t>
  </si>
  <si>
    <t>Table 5.  Parameter Estimation for a Bernoulli Distribution.</t>
  </si>
  <si>
    <t>Determine the Probability that X is less than a Critical Value.</t>
  </si>
  <si>
    <t>Critical Value</t>
  </si>
  <si>
    <t>P(X,Value)</t>
  </si>
  <si>
    <t>Simulate Period 26</t>
  </si>
  <si>
    <t>P(Si's)</t>
  </si>
  <si>
    <t>Table 8. Random variables that are a function of other variables</t>
  </si>
  <si>
    <t>Durbin-Watson</t>
  </si>
  <si>
    <t>Goldfeld-Quandt</t>
  </si>
  <si>
    <t>Rho</t>
  </si>
  <si>
    <t>t-test</t>
  </si>
  <si>
    <t>Prob(t)</t>
  </si>
  <si>
    <t>Elasticity at Mean</t>
  </si>
  <si>
    <t>Table 9.  Parameters for a Normal and an Empirical Distribution.</t>
  </si>
  <si>
    <t>Observed</t>
  </si>
  <si>
    <t>Chapter 6</t>
  </si>
  <si>
    <t>Table 10.  Use Simetar's Parameter Estimator for Univariate Distributions</t>
  </si>
  <si>
    <t>Distribution</t>
  </si>
  <si>
    <t>Parameters</t>
  </si>
  <si>
    <t>Exponential</t>
  </si>
  <si>
    <t>Gamma</t>
  </si>
  <si>
    <t>Lognormal</t>
  </si>
  <si>
    <t>Uniform</t>
  </si>
  <si>
    <t>Weibull</t>
  </si>
  <si>
    <t>Binomial</t>
  </si>
  <si>
    <t>Geometric</t>
  </si>
  <si>
    <t>Poisson</t>
  </si>
  <si>
    <t>Negative Binomial</t>
  </si>
  <si>
    <r>
      <t>α, β</t>
    </r>
    <r>
      <rPr>
        <sz val="9"/>
        <rFont val="Arial"/>
      </rPr>
      <t>; A≤x≤B, α,β&gt;0</t>
    </r>
  </si>
  <si>
    <r>
      <t>α, β</t>
    </r>
    <r>
      <rPr>
        <sz val="9"/>
        <rFont val="Arial"/>
      </rPr>
      <t>; 0≤x&lt;∞, α,β&gt;0</t>
    </r>
  </si>
  <si>
    <r>
      <t>μ, σ</t>
    </r>
    <r>
      <rPr>
        <sz val="9"/>
        <rFont val="Arial"/>
      </rPr>
      <t>; 0≤x&lt;∞, -∞&lt;μ&lt;∞, σ&gt;0</t>
    </r>
  </si>
  <si>
    <r>
      <t>μ, σ</t>
    </r>
    <r>
      <rPr>
        <sz val="9"/>
        <rFont val="Arial"/>
      </rPr>
      <t>; -∞&lt;x&lt;∞, -∞&lt;μ&lt;∞, σ&gt;0</t>
    </r>
  </si>
  <si>
    <r>
      <t>a, b</t>
    </r>
    <r>
      <rPr>
        <sz val="9"/>
        <rFont val="Arial"/>
      </rPr>
      <t>; a≤x≤b</t>
    </r>
  </si>
  <si>
    <t>Parm. 1</t>
  </si>
  <si>
    <t>Parm. 2</t>
  </si>
  <si>
    <t>Common USD</t>
  </si>
  <si>
    <t>Random Variables</t>
  </si>
  <si>
    <t>MLE</t>
  </si>
  <si>
    <t>Double Exponential</t>
  </si>
  <si>
    <t>Logistic</t>
  </si>
  <si>
    <t>Log-Log</t>
  </si>
  <si>
    <t>Log-Logistic</t>
  </si>
  <si>
    <t>Pareto</t>
  </si>
  <si>
    <r>
      <t>α, β</t>
    </r>
    <r>
      <rPr>
        <sz val="9"/>
        <rFont val="Arial"/>
      </rPr>
      <t>; α≤x&lt;∞, -∞&lt;α&lt;∞, β&gt;0</t>
    </r>
  </si>
  <si>
    <r>
      <t>α, β</t>
    </r>
    <r>
      <rPr>
        <sz val="9"/>
        <rFont val="Arial"/>
      </rPr>
      <t>; α≤x&lt;∞, α,β&gt;0</t>
    </r>
  </si>
  <si>
    <t>MLEs</t>
  </si>
  <si>
    <t>MOM Estimates</t>
  </si>
  <si>
    <t>MOM</t>
  </si>
  <si>
    <t>Random Var.</t>
  </si>
  <si>
    <t>Set up a Simulation experiment for the two methods of estimationg parameters for Random Variable</t>
  </si>
  <si>
    <t>Variable</t>
  </si>
  <si>
    <t>StDev</t>
  </si>
  <si>
    <t>CV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</si>
  <si>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</si>
  <si>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</si>
  <si>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</si>
  <si>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</si>
  <si>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</si>
  <si>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</si>
  <si>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</si>
  <si>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</si>
  <si>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</si>
  <si>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</si>
  <si>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</si>
  <si>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CDFDEV</t>
  </si>
  <si>
    <t xml:space="preserve">CDFDEV Values comparing the different distributions for simulating the Random Variable </t>
  </si>
  <si>
    <t>and the two methods for estimating parameters for the distributions.</t>
  </si>
  <si>
    <t>CDFDEV if MLE</t>
  </si>
  <si>
    <t>CDFDEV if MOM</t>
  </si>
  <si>
    <r>
      <t>n, p</t>
    </r>
    <r>
      <rPr>
        <sz val="9"/>
        <rFont val="Arial"/>
      </rPr>
      <t>; x=0,1,2,...,n; 0≤p≤1</t>
    </r>
  </si>
  <si>
    <r>
      <t xml:space="preserve">p   </t>
    </r>
    <r>
      <rPr>
        <sz val="9"/>
        <rFont val="Arial"/>
      </rPr>
      <t>; x=1,2,...; 0≤p≤1</t>
    </r>
  </si>
  <si>
    <r>
      <t xml:space="preserve">λ   </t>
    </r>
    <r>
      <rPr>
        <sz val="9"/>
        <rFont val="Arial"/>
      </rPr>
      <t>; x=0,1,...; 0≤λ&lt;∞</t>
    </r>
  </si>
  <si>
    <r>
      <t>s, p</t>
    </r>
    <r>
      <rPr>
        <sz val="9"/>
        <rFont val="Arial"/>
      </rPr>
      <t>; x=1,2,...; 0≤p≤1</t>
    </r>
  </si>
  <si>
    <t>95 % LCI</t>
  </si>
  <si>
    <t>95 % UCI</t>
  </si>
  <si>
    <t>Median</t>
  </si>
  <si>
    <t>Skewness</t>
  </si>
  <si>
    <t>Kurtosis</t>
  </si>
  <si>
    <t>S.D. Resids</t>
  </si>
  <si>
    <t>MAPE</t>
  </si>
  <si>
    <t>Unrestricted Model</t>
  </si>
  <si>
    <r>
      <t>R</t>
    </r>
    <r>
      <rPr>
        <b/>
        <vertAlign val="superscript"/>
        <sz val="9"/>
        <rFont val="Arial"/>
        <family val="2"/>
      </rPr>
      <t>2</t>
    </r>
  </si>
  <si>
    <r>
      <t>RBar</t>
    </r>
    <r>
      <rPr>
        <b/>
        <vertAlign val="superscript"/>
        <sz val="9"/>
        <rFont val="Arial"/>
        <family val="2"/>
      </rPr>
      <t>2</t>
    </r>
  </si>
  <si>
    <t>Akaike Information Criterion</t>
  </si>
  <si>
    <t>Schwarz Information Criterion</t>
  </si>
  <si>
    <t>Variance Inflation Factor</t>
  </si>
  <si>
    <t>Partial Correlation</t>
  </si>
  <si>
    <t>Semipartial Correlation</t>
  </si>
  <si>
    <t>Restriction</t>
  </si>
  <si>
    <t>Lower</t>
  </si>
  <si>
    <t>Upper</t>
  </si>
  <si>
    <r>
      <t>MSE</t>
    </r>
    <r>
      <rPr>
        <b/>
        <vertAlign val="superscript"/>
        <sz val="9"/>
        <rFont val="Arial"/>
        <family val="2"/>
      </rPr>
      <t>1/2</t>
    </r>
  </si>
  <si>
    <t>Unsorted Actual Data</t>
  </si>
  <si>
    <t>Min.</t>
  </si>
  <si>
    <t>Max.</t>
  </si>
  <si>
    <t>Autocorrelation Coefficient</t>
  </si>
  <si>
    <t>Correlation Matrix</t>
  </si>
  <si>
    <t>Sorted Actual Data</t>
  </si>
  <si>
    <t>F(x)</t>
  </si>
  <si>
    <t>Output for Empirical Distribution with 24 Observations Using Actual Data</t>
  </si>
  <si>
    <t>Stochastic Residual using =EMP()</t>
  </si>
  <si>
    <t>Stocahstic Mean</t>
  </si>
  <si>
    <t>Trend</t>
  </si>
  <si>
    <t>Betas</t>
  </si>
  <si>
    <t>Forecasted Mean</t>
  </si>
  <si>
    <t>Stochastic Value</t>
  </si>
  <si>
    <t>Simetar Simulation Results for 100 Iterations.  9:58:17 PM 11/17/2005 (0.59 sec.).  © 2005.</t>
  </si>
  <si>
    <t>Parameters for Normal Distribution</t>
  </si>
  <si>
    <t>Formulas</t>
  </si>
  <si>
    <t>in D</t>
  </si>
  <si>
    <t>Parameters for an Empirical Distribution Without Trend</t>
  </si>
  <si>
    <t>Sorted Fi</t>
  </si>
  <si>
    <t xml:space="preserve">Simulate Normal Distribution </t>
  </si>
  <si>
    <t>Table 2.  Estimate the Parameters and Simulate a Normal Distribution.</t>
  </si>
  <si>
    <t>Simulate the Empirical Distribution</t>
  </si>
  <si>
    <t>EMP</t>
  </si>
  <si>
    <t>Unsorted Deviations from Mean</t>
  </si>
  <si>
    <t>St.Dev.</t>
  </si>
  <si>
    <t>Unsorted Deviations from Mean as a Percent of Mean</t>
  </si>
  <si>
    <t>Sorted Deviations from Mean as a Percent of Mean</t>
  </si>
  <si>
    <t>Output for Empirical Distribution with 10 Observations as Percent Deviations from Mean</t>
  </si>
  <si>
    <t>Example of estimating the parameters using the EMP Icon</t>
  </si>
  <si>
    <t>Table 6. Random variable that is a function of a trend</t>
  </si>
  <si>
    <t>Variability for all periods simulated if we assume an empirical distribution.</t>
  </si>
  <si>
    <t>NA</t>
  </si>
  <si>
    <t>SD Residuals</t>
  </si>
  <si>
    <t>Stoch Val</t>
  </si>
  <si>
    <t>X-Hat</t>
  </si>
  <si>
    <t>SEPt</t>
  </si>
  <si>
    <t>Stoch Xs</t>
  </si>
  <si>
    <t>Formula</t>
  </si>
  <si>
    <t>Simulate X for Mean Values Outside the Range of the Data</t>
  </si>
  <si>
    <t>Simulate X about the Historical Mean</t>
  </si>
  <si>
    <t>Res/Y-Hat</t>
  </si>
  <si>
    <t>PDF Approximation</t>
  </si>
  <si>
    <t>Start</t>
  </si>
  <si>
    <t>End</t>
  </si>
  <si>
    <t>Band Width</t>
  </si>
  <si>
    <t>Kernel</t>
  </si>
  <si>
    <t>Confidence Level</t>
  </si>
  <si>
    <t>Lower Quantile</t>
  </si>
  <si>
    <t>Upper Quantile</t>
  </si>
  <si>
    <t>Gaussian</t>
  </si>
  <si>
    <t>CDFProb.</t>
  </si>
  <si>
    <t>Si's = e-hat/Y-Hat</t>
  </si>
  <si>
    <t>Figure 6.6</t>
  </si>
  <si>
    <t>Figure 6.7</t>
  </si>
  <si>
    <t>© November 2011</t>
  </si>
</sst>
</file>

<file path=xl/styles.xml><?xml version="1.0" encoding="utf-8"?>
<styleSheet xmlns="http://schemas.openxmlformats.org/spreadsheetml/2006/main">
  <numFmts count="5">
    <numFmt numFmtId="164" formatCode="0.0000"/>
    <numFmt numFmtId="167" formatCode="0.00000"/>
    <numFmt numFmtId="169" formatCode="0.000"/>
    <numFmt numFmtId="170" formatCode="0.0"/>
    <numFmt numFmtId="175" formatCode="0.0%"/>
  </numFmts>
  <fonts count="12">
    <font>
      <sz val="9"/>
      <name val="Arial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</font>
    <font>
      <b/>
      <i/>
      <sz val="9"/>
      <name val="Arial"/>
      <family val="2"/>
    </font>
    <font>
      <b/>
      <i/>
      <sz val="9"/>
      <name val="Arial"/>
    </font>
    <font>
      <sz val="8"/>
      <name val="Arial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4" fillId="0" borderId="0" xfId="0" applyNumberFormat="1" applyFont="1"/>
    <xf numFmtId="164" fontId="3" fillId="0" borderId="0" xfId="0" applyNumberFormat="1" applyFont="1"/>
    <xf numFmtId="0" fontId="3" fillId="0" borderId="1" xfId="0" applyNumberFormat="1" applyFont="1" applyBorder="1"/>
    <xf numFmtId="0" fontId="3" fillId="0" borderId="2" xfId="0" applyNumberFormat="1" applyFont="1" applyBorder="1"/>
    <xf numFmtId="0" fontId="3" fillId="0" borderId="0" xfId="0" applyNumberFormat="1" applyFont="1" applyBorder="1"/>
    <xf numFmtId="0" fontId="2" fillId="0" borderId="2" xfId="0" applyNumberFormat="1" applyFont="1" applyBorder="1"/>
    <xf numFmtId="0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4" fillId="0" borderId="2" xfId="0" applyNumberFormat="1" applyFont="1" applyBorder="1"/>
    <xf numFmtId="0" fontId="4" fillId="0" borderId="0" xfId="0" applyNumberFormat="1" applyFont="1" applyBorder="1"/>
    <xf numFmtId="164" fontId="3" fillId="0" borderId="0" xfId="0" applyNumberFormat="1" applyFont="1" applyBorder="1"/>
    <xf numFmtId="0" fontId="3" fillId="0" borderId="3" xfId="0" applyNumberFormat="1" applyFont="1" applyBorder="1"/>
    <xf numFmtId="0" fontId="3" fillId="0" borderId="4" xfId="0" applyNumberFormat="1" applyFont="1" applyBorder="1"/>
    <xf numFmtId="0" fontId="1" fillId="0" borderId="5" xfId="0" applyNumberFormat="1" applyFont="1" applyBorder="1"/>
    <xf numFmtId="0" fontId="0" fillId="0" borderId="0" xfId="0" applyFill="1" applyBorder="1" applyAlignment="1"/>
    <xf numFmtId="0" fontId="0" fillId="0" borderId="4" xfId="0" applyBorder="1"/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indent="1"/>
    </xf>
    <xf numFmtId="0" fontId="3" fillId="0" borderId="2" xfId="0" applyNumberFormat="1" applyFont="1" applyBorder="1" applyAlignment="1">
      <alignment horizontal="left" indent="2"/>
    </xf>
    <xf numFmtId="0" fontId="1" fillId="0" borderId="2" xfId="0" applyNumberFormat="1" applyFont="1" applyBorder="1" applyAlignment="1">
      <alignment horizontal="left" indent="1"/>
    </xf>
    <xf numFmtId="0" fontId="4" fillId="0" borderId="2" xfId="0" applyNumberFormat="1" applyFont="1" applyBorder="1" applyAlignment="1">
      <alignment horizontal="left" indent="2"/>
    </xf>
    <xf numFmtId="0" fontId="0" fillId="0" borderId="0" xfId="0" applyBorder="1"/>
    <xf numFmtId="0" fontId="0" fillId="0" borderId="2" xfId="0" applyBorder="1"/>
    <xf numFmtId="0" fontId="0" fillId="0" borderId="2" xfId="0" applyFill="1" applyBorder="1" applyAlignment="1"/>
    <xf numFmtId="0" fontId="3" fillId="0" borderId="0" xfId="0" applyFont="1" applyBorder="1"/>
    <xf numFmtId="0" fontId="3" fillId="0" borderId="4" xfId="0" applyFont="1" applyBorder="1"/>
    <xf numFmtId="0" fontId="1" fillId="0" borderId="3" xfId="0" applyNumberFormat="1" applyFont="1" applyBorder="1"/>
    <xf numFmtId="0" fontId="0" fillId="0" borderId="1" xfId="0" applyBorder="1"/>
    <xf numFmtId="2" fontId="3" fillId="0" borderId="1" xfId="0" applyNumberFormat="1" applyFont="1" applyBorder="1"/>
    <xf numFmtId="0" fontId="3" fillId="0" borderId="2" xfId="0" applyFont="1" applyBorder="1"/>
    <xf numFmtId="170" fontId="0" fillId="0" borderId="0" xfId="0" applyNumberFormat="1" applyBorder="1"/>
    <xf numFmtId="164" fontId="0" fillId="0" borderId="0" xfId="0" applyNumberFormat="1" applyBorder="1"/>
    <xf numFmtId="0" fontId="0" fillId="0" borderId="2" xfId="0" applyBorder="1" applyAlignment="1">
      <alignment horizontal="left" indent="2"/>
    </xf>
    <xf numFmtId="2" fontId="0" fillId="0" borderId="0" xfId="0" applyNumberFormat="1" applyBorder="1"/>
    <xf numFmtId="0" fontId="4" fillId="0" borderId="3" xfId="0" applyNumberFormat="1" applyFont="1" applyBorder="1" applyAlignment="1">
      <alignment horizontal="left" indent="2"/>
    </xf>
    <xf numFmtId="169" fontId="3" fillId="0" borderId="0" xfId="0" applyNumberFormat="1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169" fontId="0" fillId="0" borderId="0" xfId="0" applyNumberFormat="1" applyBorder="1"/>
    <xf numFmtId="0" fontId="5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6" xfId="0" applyNumberFormat="1" applyFont="1" applyBorder="1"/>
    <xf numFmtId="2" fontId="3" fillId="0" borderId="7" xfId="0" applyNumberFormat="1" applyFont="1" applyBorder="1"/>
    <xf numFmtId="0" fontId="3" fillId="0" borderId="7" xfId="0" applyNumberFormat="1" applyFont="1" applyBorder="1"/>
    <xf numFmtId="2" fontId="1" fillId="0" borderId="0" xfId="0" applyNumberFormat="1" applyFont="1" applyBorder="1"/>
    <xf numFmtId="0" fontId="1" fillId="0" borderId="0" xfId="0" applyNumberFormat="1" applyFont="1" applyBorder="1"/>
    <xf numFmtId="164" fontId="1" fillId="0" borderId="0" xfId="0" applyNumberFormat="1" applyFont="1" applyBorder="1"/>
    <xf numFmtId="0" fontId="1" fillId="0" borderId="4" xfId="0" applyNumberFormat="1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167" fontId="1" fillId="0" borderId="0" xfId="0" applyNumberFormat="1" applyFont="1" applyBorder="1"/>
    <xf numFmtId="0" fontId="2" fillId="0" borderId="0" xfId="0" applyNumberFormat="1" applyFont="1" applyBorder="1"/>
    <xf numFmtId="167" fontId="1" fillId="0" borderId="4" xfId="0" applyNumberFormat="1" applyFont="1" applyBorder="1"/>
    <xf numFmtId="2" fontId="1" fillId="0" borderId="4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0" fillId="0" borderId="8" xfId="0" applyBorder="1"/>
    <xf numFmtId="164" fontId="1" fillId="0" borderId="4" xfId="0" applyNumberFormat="1" applyFont="1" applyBorder="1"/>
    <xf numFmtId="0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/>
    <xf numFmtId="0" fontId="1" fillId="0" borderId="0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2"/>
    </xf>
    <xf numFmtId="0" fontId="1" fillId="0" borderId="7" xfId="0" applyNumberFormat="1" applyFont="1" applyBorder="1"/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4" fillId="0" borderId="0" xfId="0" applyNumberFormat="1" applyFont="1" applyBorder="1" applyAlignment="1">
      <alignment horizontal="left" indent="2"/>
    </xf>
    <xf numFmtId="2" fontId="0" fillId="0" borderId="0" xfId="0" applyNumberFormat="1" applyFill="1" applyBorder="1" applyAlignment="1"/>
    <xf numFmtId="2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3" fillId="0" borderId="4" xfId="0" applyNumberFormat="1" applyFont="1" applyBorder="1"/>
    <xf numFmtId="0" fontId="5" fillId="0" borderId="4" xfId="0" applyFont="1" applyFill="1" applyBorder="1" applyAlignment="1">
      <alignment horizontal="center"/>
    </xf>
    <xf numFmtId="0" fontId="1" fillId="0" borderId="6" xfId="0" applyNumberFormat="1" applyFont="1" applyBorder="1"/>
    <xf numFmtId="169" fontId="3" fillId="0" borderId="4" xfId="0" applyNumberFormat="1" applyFont="1" applyBorder="1"/>
    <xf numFmtId="0" fontId="6" fillId="0" borderId="0" xfId="0" applyFont="1" applyFill="1" applyBorder="1" applyAlignment="1"/>
    <xf numFmtId="0" fontId="0" fillId="0" borderId="0" xfId="0" applyNumberFormat="1" applyFon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 applyAlignment="1"/>
    <xf numFmtId="164" fontId="0" fillId="0" borderId="0" xfId="0" quotePrefix="1" applyNumberFormat="1" applyFill="1" applyBorder="1" applyAlignment="1"/>
    <xf numFmtId="164" fontId="0" fillId="0" borderId="11" xfId="0" applyNumberFormat="1" applyBorder="1"/>
    <xf numFmtId="164" fontId="0" fillId="0" borderId="12" xfId="0" applyNumberFormat="1" applyBorder="1"/>
    <xf numFmtId="0" fontId="1" fillId="0" borderId="2" xfId="0" applyNumberFormat="1" applyFont="1" applyBorder="1"/>
    <xf numFmtId="169" fontId="0" fillId="0" borderId="0" xfId="0" applyNumberFormat="1"/>
    <xf numFmtId="169" fontId="0" fillId="0" borderId="13" xfId="0" applyNumberFormat="1" applyBorder="1"/>
    <xf numFmtId="169" fontId="0" fillId="0" borderId="14" xfId="0" applyNumberFormat="1" applyBorder="1"/>
    <xf numFmtId="169" fontId="1" fillId="0" borderId="0" xfId="0" applyNumberFormat="1" applyFont="1"/>
    <xf numFmtId="169" fontId="7" fillId="0" borderId="0" xfId="0" applyNumberFormat="1" applyFont="1"/>
    <xf numFmtId="169" fontId="0" fillId="0" borderId="14" xfId="0" applyNumberFormat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4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167" fontId="0" fillId="0" borderId="0" xfId="0" applyNumberFormat="1"/>
    <xf numFmtId="0" fontId="1" fillId="0" borderId="4" xfId="0" applyNumberFormat="1" applyFont="1" applyBorder="1" applyAlignment="1">
      <alignment horizontal="right"/>
    </xf>
    <xf numFmtId="167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left" indent="2"/>
    </xf>
    <xf numFmtId="169" fontId="0" fillId="0" borderId="15" xfId="0" applyNumberFormat="1" applyBorder="1"/>
    <xf numFmtId="169" fontId="0" fillId="0" borderId="16" xfId="0" applyNumberFormat="1" applyBorder="1"/>
    <xf numFmtId="169" fontId="0" fillId="0" borderId="17" xfId="0" applyNumberFormat="1" applyBorder="1"/>
    <xf numFmtId="169" fontId="0" fillId="0" borderId="18" xfId="0" applyNumberFormat="1" applyBorder="1"/>
    <xf numFmtId="169" fontId="0" fillId="0" borderId="19" xfId="0" applyNumberFormat="1" applyBorder="1"/>
    <xf numFmtId="169" fontId="0" fillId="0" borderId="11" xfId="0" applyNumberFormat="1" applyBorder="1"/>
    <xf numFmtId="169" fontId="0" fillId="0" borderId="9" xfId="0" applyNumberFormat="1" applyBorder="1"/>
    <xf numFmtId="169" fontId="0" fillId="0" borderId="12" xfId="0" applyNumberFormat="1" applyBorder="1"/>
    <xf numFmtId="169" fontId="0" fillId="0" borderId="10" xfId="0" applyNumberFormat="1" applyBorder="1"/>
    <xf numFmtId="0" fontId="9" fillId="0" borderId="0" xfId="0" applyFont="1"/>
    <xf numFmtId="169" fontId="0" fillId="0" borderId="7" xfId="0" applyNumberFormat="1" applyBorder="1"/>
    <xf numFmtId="9" fontId="1" fillId="0" borderId="8" xfId="0" applyNumberFormat="1" applyFont="1" applyBorder="1"/>
    <xf numFmtId="0" fontId="0" fillId="0" borderId="7" xfId="0" applyBorder="1"/>
    <xf numFmtId="0" fontId="1" fillId="0" borderId="20" xfId="0" applyFont="1" applyBorder="1"/>
    <xf numFmtId="0" fontId="0" fillId="0" borderId="20" xfId="0" applyBorder="1"/>
    <xf numFmtId="169" fontId="11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169" fontId="0" fillId="0" borderId="0" xfId="0" applyNumberForma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164" fontId="0" fillId="0" borderId="0" xfId="0" applyNumberFormat="1"/>
    <xf numFmtId="0" fontId="3" fillId="0" borderId="0" xfId="0" applyNumberFormat="1" applyFont="1" applyBorder="1" applyAlignment="1"/>
    <xf numFmtId="0" fontId="3" fillId="0" borderId="7" xfId="0" applyNumberFormat="1" applyFont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0" fontId="3" fillId="0" borderId="0" xfId="0" applyNumberFormat="1" applyFont="1" applyFill="1" applyBorder="1"/>
    <xf numFmtId="169" fontId="3" fillId="0" borderId="0" xfId="0" applyNumberFormat="1" applyFont="1" applyBorder="1" applyAlignment="1">
      <alignment horizontal="left" indent="2"/>
    </xf>
    <xf numFmtId="0" fontId="1" fillId="0" borderId="0" xfId="0" applyNumberFormat="1" applyFont="1" applyFill="1" applyBorder="1"/>
    <xf numFmtId="0" fontId="1" fillId="0" borderId="0" xfId="0" applyNumberFormat="1" applyFont="1" applyBorder="1" applyAlignment="1">
      <alignment horizontal="left"/>
    </xf>
    <xf numFmtId="2" fontId="0" fillId="0" borderId="7" xfId="0" applyNumberFormat="1" applyBorder="1"/>
    <xf numFmtId="0" fontId="1" fillId="0" borderId="7" xfId="0" applyNumberFormat="1" applyFont="1" applyFill="1" applyBorder="1" applyAlignment="1">
      <alignment horizontal="left"/>
    </xf>
    <xf numFmtId="164" fontId="1" fillId="0" borderId="7" xfId="0" applyNumberFormat="1" applyFont="1" applyBorder="1"/>
    <xf numFmtId="2" fontId="1" fillId="0" borderId="7" xfId="0" applyNumberFormat="1" applyFont="1" applyBorder="1"/>
    <xf numFmtId="169" fontId="1" fillId="0" borderId="0" xfId="0" applyNumberFormat="1" applyFont="1" applyBorder="1"/>
    <xf numFmtId="169" fontId="3" fillId="0" borderId="0" xfId="0" applyNumberFormat="1" applyFont="1"/>
    <xf numFmtId="0" fontId="1" fillId="0" borderId="0" xfId="0" applyNumberFormat="1" applyFont="1"/>
    <xf numFmtId="0" fontId="0" fillId="0" borderId="7" xfId="0" applyBorder="1" applyAlignment="1">
      <alignment horizontal="center"/>
    </xf>
    <xf numFmtId="175" fontId="0" fillId="0" borderId="0" xfId="0" applyNumberFormat="1"/>
    <xf numFmtId="0" fontId="1" fillId="0" borderId="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</cellXfs>
  <cellStyles count="1">
    <cellStyle name="Normal" xfId="0" builtinId="0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Observed and Predicted Values for X</a:t>
            </a:r>
          </a:p>
        </c:rich>
      </c:tx>
      <c:layout>
        <c:manualLayout>
          <c:xMode val="edge"/>
          <c:yMode val="edge"/>
          <c:x val="0.23453706632347007"/>
          <c:y val="3.81187013110071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85274902657956"/>
          <c:y val="0.2287122078660431"/>
          <c:w val="0.85066221674464937"/>
          <c:h val="0.45395907924926732"/>
        </c:manualLayout>
      </c:layout>
      <c:scatterChart>
        <c:scatterStyle val="lineMarker"/>
        <c:ser>
          <c:idx val="0"/>
          <c:order val="0"/>
          <c:tx>
            <c:v>Predicted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yVal>
            <c:numRef>
              <c:f>Sheet1!$G$119:$G$146</c:f>
              <c:numCache>
                <c:formatCode>0.000</c:formatCode>
                <c:ptCount val="28"/>
                <c:pt idx="0">
                  <c:v>30.446739130434814</c:v>
                </c:pt>
                <c:pt idx="1">
                  <c:v>30.781620553359716</c:v>
                </c:pt>
                <c:pt idx="2">
                  <c:v>31.116501976284617</c:v>
                </c:pt>
                <c:pt idx="3">
                  <c:v>31.451383399209519</c:v>
                </c:pt>
                <c:pt idx="4">
                  <c:v>31.78626482213442</c:v>
                </c:pt>
                <c:pt idx="5">
                  <c:v>32.121146245059322</c:v>
                </c:pt>
                <c:pt idx="6">
                  <c:v>32.456027667984223</c:v>
                </c:pt>
                <c:pt idx="7">
                  <c:v>32.790909090909125</c:v>
                </c:pt>
                <c:pt idx="8">
                  <c:v>33.125790513834026</c:v>
                </c:pt>
                <c:pt idx="9">
                  <c:v>33.460671936758928</c:v>
                </c:pt>
                <c:pt idx="10">
                  <c:v>33.795553359683829</c:v>
                </c:pt>
                <c:pt idx="11">
                  <c:v>34.130434782608731</c:v>
                </c:pt>
                <c:pt idx="12">
                  <c:v>34.465316205533632</c:v>
                </c:pt>
                <c:pt idx="13">
                  <c:v>34.800197628458534</c:v>
                </c:pt>
                <c:pt idx="14">
                  <c:v>35.135079051383435</c:v>
                </c:pt>
                <c:pt idx="15">
                  <c:v>35.469960474308337</c:v>
                </c:pt>
                <c:pt idx="16">
                  <c:v>35.804841897233239</c:v>
                </c:pt>
                <c:pt idx="17">
                  <c:v>36.13972332015814</c:v>
                </c:pt>
                <c:pt idx="18">
                  <c:v>36.474604743083042</c:v>
                </c:pt>
                <c:pt idx="19">
                  <c:v>36.809486166007943</c:v>
                </c:pt>
                <c:pt idx="20">
                  <c:v>37.144367588932845</c:v>
                </c:pt>
                <c:pt idx="21">
                  <c:v>37.479249011857746</c:v>
                </c:pt>
                <c:pt idx="22">
                  <c:v>37.814130434782648</c:v>
                </c:pt>
                <c:pt idx="23">
                  <c:v>38.149011857707549</c:v>
                </c:pt>
                <c:pt idx="24">
                  <c:v>38.483893280632451</c:v>
                </c:pt>
                <c:pt idx="25">
                  <c:v>38.818774703557352</c:v>
                </c:pt>
                <c:pt idx="26">
                  <c:v>39.153656126482254</c:v>
                </c:pt>
                <c:pt idx="27">
                  <c:v>39.488537549407155</c:v>
                </c:pt>
              </c:numCache>
            </c:numRef>
          </c:yVal>
        </c:ser>
        <c:ser>
          <c:idx val="1"/>
          <c:order val="1"/>
          <c:tx>
            <c:v>Observed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Ref>
              <c:f>Sheet1!$F$119:$F$146</c:f>
              <c:numCache>
                <c:formatCode>0.000</c:formatCode>
                <c:ptCount val="28"/>
                <c:pt idx="0">
                  <c:v>31</c:v>
                </c:pt>
                <c:pt idx="1">
                  <c:v>33.9</c:v>
                </c:pt>
                <c:pt idx="2">
                  <c:v>32.700000000000003</c:v>
                </c:pt>
                <c:pt idx="3">
                  <c:v>31.6</c:v>
                </c:pt>
                <c:pt idx="4">
                  <c:v>27.3</c:v>
                </c:pt>
                <c:pt idx="5">
                  <c:v>30.6</c:v>
                </c:pt>
                <c:pt idx="6">
                  <c:v>30.3</c:v>
                </c:pt>
                <c:pt idx="7">
                  <c:v>30.7</c:v>
                </c:pt>
                <c:pt idx="8">
                  <c:v>31.4</c:v>
                </c:pt>
                <c:pt idx="9">
                  <c:v>34.200000000000003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39.4</c:v>
                </c:pt>
                <c:pt idx="14">
                  <c:v>38.799999999999997</c:v>
                </c:pt>
                <c:pt idx="15">
                  <c:v>37.5</c:v>
                </c:pt>
                <c:pt idx="16">
                  <c:v>34.4</c:v>
                </c:pt>
                <c:pt idx="17">
                  <c:v>37.700000000000003</c:v>
                </c:pt>
                <c:pt idx="18">
                  <c:v>34.1</c:v>
                </c:pt>
                <c:pt idx="19">
                  <c:v>32.700000000000003</c:v>
                </c:pt>
                <c:pt idx="20">
                  <c:v>39.5</c:v>
                </c:pt>
                <c:pt idx="21">
                  <c:v>34.299999999999997</c:v>
                </c:pt>
                <c:pt idx="22">
                  <c:v>39.4</c:v>
                </c:pt>
                <c:pt idx="23">
                  <c:v>41.971874819238828</c:v>
                </c:pt>
                <c:pt idx="24">
                  <c:v>39.098115934624886</c:v>
                </c:pt>
                <c:pt idx="25">
                  <c:v>40.214167594623092</c:v>
                </c:pt>
                <c:pt idx="26">
                  <c:v>32.439493720379836</c:v>
                </c:pt>
                <c:pt idx="27">
                  <c:v>37.785425496773385</c:v>
                </c:pt>
              </c:numCache>
            </c:numRef>
          </c:yVal>
        </c:ser>
        <c:ser>
          <c:idx val="2"/>
          <c:order val="2"/>
          <c:tx>
            <c:strRef>
              <c:f>Sheet1!$M$117:$M$118</c:f>
              <c:strCache>
                <c:ptCount val="1"/>
                <c:pt idx="0">
                  <c:v>Lower 95% Predict. Interval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yVal>
            <c:numRef>
              <c:f>Sheet1!$M$119:$M$146</c:f>
              <c:numCache>
                <c:formatCode>0.000</c:formatCode>
                <c:ptCount val="28"/>
                <c:pt idx="0">
                  <c:v>24.809885778351621</c:v>
                </c:pt>
                <c:pt idx="1">
                  <c:v>25.195279813823589</c:v>
                </c:pt>
                <c:pt idx="2">
                  <c:v>25.576259950528232</c:v>
                </c:pt>
                <c:pt idx="3">
                  <c:v>25.952715174069894</c:v>
                </c:pt>
                <c:pt idx="4">
                  <c:v>26.32454215462284</c:v>
                </c:pt>
                <c:pt idx="5">
                  <c:v>26.691646411381623</c:v>
                </c:pt>
                <c:pt idx="6">
                  <c:v>27.053943432112924</c:v>
                </c:pt>
                <c:pt idx="7">
                  <c:v>27.411359719499007</c:v>
                </c:pt>
                <c:pt idx="8">
                  <c:v>27.763833735951952</c:v>
                </c:pt>
                <c:pt idx="9">
                  <c:v>28.111316719841781</c:v>
                </c:pt>
                <c:pt idx="10">
                  <c:v>28.453773348667966</c:v>
                </c:pt>
                <c:pt idx="11">
                  <c:v>28.79118222856474</c:v>
                </c:pt>
                <c:pt idx="12">
                  <c:v>29.123536194517769</c:v>
                </c:pt>
                <c:pt idx="13">
                  <c:v>29.450842411541387</c:v>
                </c:pt>
                <c:pt idx="14">
                  <c:v>29.773122273501361</c:v>
                </c:pt>
                <c:pt idx="15">
                  <c:v>30.090411102898219</c:v>
                </c:pt>
                <c:pt idx="16">
                  <c:v>30.402757661361939</c:v>
                </c:pt>
                <c:pt idx="17">
                  <c:v>30.710223486480441</c:v>
                </c:pt>
                <c:pt idx="18">
                  <c:v>31.012882075571461</c:v>
                </c:pt>
                <c:pt idx="19">
                  <c:v>31.310817940868318</c:v>
                </c:pt>
                <c:pt idx="20">
                  <c:v>31.60412556317646</c:v>
                </c:pt>
                <c:pt idx="21">
                  <c:v>31.89290827232162</c:v>
                </c:pt>
                <c:pt idx="22">
                  <c:v>32.177277082699455</c:v>
                </c:pt>
                <c:pt idx="23">
                  <c:v>32.457349511079045</c:v>
                </c:pt>
                <c:pt idx="24">
                  <c:v>32.733248401698205</c:v>
                </c:pt>
                <c:pt idx="25">
                  <c:v>33.005100780843478</c:v>
                </c:pt>
                <c:pt idx="26">
                  <c:v>33.273036759772602</c:v>
                </c:pt>
                <c:pt idx="27">
                  <c:v>33.537188501246334</c:v>
                </c:pt>
              </c:numCache>
            </c:numRef>
          </c:yVal>
        </c:ser>
        <c:ser>
          <c:idx val="3"/>
          <c:order val="3"/>
          <c:tx>
            <c:strRef>
              <c:f>Sheet1!$N$117:$N$118</c:f>
              <c:strCache>
                <c:ptCount val="1"/>
                <c:pt idx="0">
                  <c:v>Upper 95% Predict. Interval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yVal>
            <c:numRef>
              <c:f>Sheet1!$N$119:$N$146</c:f>
              <c:numCache>
                <c:formatCode>0.000</c:formatCode>
                <c:ptCount val="28"/>
                <c:pt idx="0">
                  <c:v>36.083592482518007</c:v>
                </c:pt>
                <c:pt idx="1">
                  <c:v>36.367961292895842</c:v>
                </c:pt>
                <c:pt idx="2">
                  <c:v>36.656744002041002</c:v>
                </c:pt>
                <c:pt idx="3">
                  <c:v>36.950051624349143</c:v>
                </c:pt>
                <c:pt idx="4">
                  <c:v>37.247987489646</c:v>
                </c:pt>
                <c:pt idx="5">
                  <c:v>37.550646078737017</c:v>
                </c:pt>
                <c:pt idx="6">
                  <c:v>37.858111903855523</c:v>
                </c:pt>
                <c:pt idx="7">
                  <c:v>38.170458462319246</c:v>
                </c:pt>
                <c:pt idx="8">
                  <c:v>38.487747291716097</c:v>
                </c:pt>
                <c:pt idx="9">
                  <c:v>38.810027153676074</c:v>
                </c:pt>
                <c:pt idx="10">
                  <c:v>39.137333370699693</c:v>
                </c:pt>
                <c:pt idx="11">
                  <c:v>39.469687336652726</c:v>
                </c:pt>
                <c:pt idx="12">
                  <c:v>39.807096216549496</c:v>
                </c:pt>
                <c:pt idx="13">
                  <c:v>40.14955284537568</c:v>
                </c:pt>
                <c:pt idx="14">
                  <c:v>40.497035829265506</c:v>
                </c:pt>
                <c:pt idx="15">
                  <c:v>40.849509845718458</c:v>
                </c:pt>
                <c:pt idx="16">
                  <c:v>41.206926133104538</c:v>
                </c:pt>
                <c:pt idx="17">
                  <c:v>41.569223153835836</c:v>
                </c:pt>
                <c:pt idx="18">
                  <c:v>41.936327410594622</c:v>
                </c:pt>
                <c:pt idx="19">
                  <c:v>42.308154391147568</c:v>
                </c:pt>
                <c:pt idx="20">
                  <c:v>42.684609614689229</c:v>
                </c:pt>
                <c:pt idx="21">
                  <c:v>43.065589751393873</c:v>
                </c:pt>
                <c:pt idx="22">
                  <c:v>43.450983786865841</c:v>
                </c:pt>
                <c:pt idx="23">
                  <c:v>43.840674204336054</c:v>
                </c:pt>
                <c:pt idx="24">
                  <c:v>44.234538159566696</c:v>
                </c:pt>
                <c:pt idx="25">
                  <c:v>44.632448626271227</c:v>
                </c:pt>
                <c:pt idx="26">
                  <c:v>45.034275493191906</c:v>
                </c:pt>
                <c:pt idx="27">
                  <c:v>45.439886597567977</c:v>
                </c:pt>
              </c:numCache>
            </c:numRef>
          </c:yVal>
        </c:ser>
        <c:ser>
          <c:idx val="4"/>
          <c:order val="4"/>
          <c:tx>
            <c:strRef>
              <c:f>Sheet1!$K$117:$K$118</c:f>
              <c:strCache>
                <c:ptCount val="1"/>
                <c:pt idx="0">
                  <c:v>Lower 95% Conf. Interval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Ref>
              <c:f>Sheet1!$K$119:$K$146</c:f>
              <c:numCache>
                <c:formatCode>0.000</c:formatCode>
                <c:ptCount val="28"/>
                <c:pt idx="0">
                  <c:v>28.336214246228529</c:v>
                </c:pt>
                <c:pt idx="1">
                  <c:v>28.809970880582259</c:v>
                </c:pt>
                <c:pt idx="2">
                  <c:v>29.279525852890615</c:v>
                </c:pt>
                <c:pt idx="3">
                  <c:v>29.743884695220967</c:v>
                </c:pt>
                <c:pt idx="4">
                  <c:v>30.201773083193434</c:v>
                </c:pt>
                <c:pt idx="5">
                  <c:v>30.651565346344118</c:v>
                </c:pt>
                <c:pt idx="6">
                  <c:v>31.091214982883571</c:v>
                </c:pt>
                <c:pt idx="7">
                  <c:v>31.518214699705393</c:v>
                </c:pt>
                <c:pt idx="8">
                  <c:v>31.929638323752037</c:v>
                </c:pt>
                <c:pt idx="9">
                  <c:v>32.322339467433224</c:v>
                </c:pt>
                <c:pt idx="10">
                  <c:v>32.693367685647431</c:v>
                </c:pt>
                <c:pt idx="11">
                  <c:v>33.040564418837093</c:v>
                </c:pt>
                <c:pt idx="12">
                  <c:v>33.363130531497234</c:v>
                </c:pt>
                <c:pt idx="13">
                  <c:v>33.66186515913283</c:v>
                </c:pt>
                <c:pt idx="14">
                  <c:v>33.938926861301447</c:v>
                </c:pt>
                <c:pt idx="15">
                  <c:v>34.197266083104608</c:v>
                </c:pt>
                <c:pt idx="16">
                  <c:v>34.440029212132586</c:v>
                </c:pt>
                <c:pt idx="17">
                  <c:v>34.670142421442939</c:v>
                </c:pt>
                <c:pt idx="18">
                  <c:v>34.890113004142059</c:v>
                </c:pt>
                <c:pt idx="19">
                  <c:v>35.101987462019387</c:v>
                </c:pt>
                <c:pt idx="20">
                  <c:v>35.307391465538842</c:v>
                </c:pt>
                <c:pt idx="21">
                  <c:v>35.507599339080294</c:v>
                </c:pt>
                <c:pt idx="22">
                  <c:v>35.703605550576363</c:v>
                </c:pt>
                <c:pt idx="23">
                  <c:v>35.896186999448219</c:v>
                </c:pt>
                <c:pt idx="24">
                  <c:v>36.085953311080438</c:v>
                </c:pt>
                <c:pt idx="25">
                  <c:v>36.273385921149888</c:v>
                </c:pt>
                <c:pt idx="26">
                  <c:v>36.458867876900648</c:v>
                </c:pt>
                <c:pt idx="27">
                  <c:v>36.642706376092903</c:v>
                </c:pt>
              </c:numCache>
            </c:numRef>
          </c:yVal>
        </c:ser>
        <c:ser>
          <c:idx val="5"/>
          <c:order val="5"/>
          <c:tx>
            <c:strRef>
              <c:f>Sheet1!$L$117:$L$118</c:f>
              <c:strCache>
                <c:ptCount val="1"/>
                <c:pt idx="0">
                  <c:v>Upper 95% Conf. Interval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Ref>
              <c:f>Sheet1!$L$119:$L$146</c:f>
              <c:numCache>
                <c:formatCode>0.000</c:formatCode>
                <c:ptCount val="28"/>
                <c:pt idx="0">
                  <c:v>32.557264014641099</c:v>
                </c:pt>
                <c:pt idx="1">
                  <c:v>32.753270226137168</c:v>
                </c:pt>
                <c:pt idx="2">
                  <c:v>32.95347809967862</c:v>
                </c:pt>
                <c:pt idx="3">
                  <c:v>33.158882103198074</c:v>
                </c:pt>
                <c:pt idx="4">
                  <c:v>33.370756561075403</c:v>
                </c:pt>
                <c:pt idx="5">
                  <c:v>33.590727143774522</c:v>
                </c:pt>
                <c:pt idx="6">
                  <c:v>33.820840353084876</c:v>
                </c:pt>
                <c:pt idx="7">
                  <c:v>34.063603482112853</c:v>
                </c:pt>
                <c:pt idx="8">
                  <c:v>34.321942703916015</c:v>
                </c:pt>
                <c:pt idx="9">
                  <c:v>34.599004406084632</c:v>
                </c:pt>
                <c:pt idx="10">
                  <c:v>34.897739033720228</c:v>
                </c:pt>
                <c:pt idx="11">
                  <c:v>35.220305146380369</c:v>
                </c:pt>
                <c:pt idx="12">
                  <c:v>35.567501879570031</c:v>
                </c:pt>
                <c:pt idx="13">
                  <c:v>35.938530097784238</c:v>
                </c:pt>
                <c:pt idx="14">
                  <c:v>36.331231241465424</c:v>
                </c:pt>
                <c:pt idx="15">
                  <c:v>36.742654865512065</c:v>
                </c:pt>
                <c:pt idx="16">
                  <c:v>37.169654582333891</c:v>
                </c:pt>
                <c:pt idx="17">
                  <c:v>37.609304218873341</c:v>
                </c:pt>
                <c:pt idx="18">
                  <c:v>38.059096482024025</c:v>
                </c:pt>
                <c:pt idx="19">
                  <c:v>38.516984869996499</c:v>
                </c:pt>
                <c:pt idx="20">
                  <c:v>38.981343712326847</c:v>
                </c:pt>
                <c:pt idx="21">
                  <c:v>39.450898684635199</c:v>
                </c:pt>
                <c:pt idx="22">
                  <c:v>39.924655318988933</c:v>
                </c:pt>
                <c:pt idx="23">
                  <c:v>40.40183671596688</c:v>
                </c:pt>
                <c:pt idx="24">
                  <c:v>40.881833250184464</c:v>
                </c:pt>
                <c:pt idx="25">
                  <c:v>41.364163485964816</c:v>
                </c:pt>
                <c:pt idx="26">
                  <c:v>41.84844437606386</c:v>
                </c:pt>
                <c:pt idx="27">
                  <c:v>42.334368722721408</c:v>
                </c:pt>
              </c:numCache>
            </c:numRef>
          </c:yVal>
        </c:ser>
        <c:axId val="48866816"/>
        <c:axId val="48868352"/>
      </c:scatterChart>
      <c:valAx>
        <c:axId val="48866816"/>
        <c:scaling>
          <c:orientation val="minMax"/>
          <c:max val="28"/>
          <c:min val="1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8868352"/>
        <c:crosses val="autoZero"/>
        <c:crossBetween val="midCat"/>
      </c:valAx>
      <c:valAx>
        <c:axId val="48868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668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358614998127688"/>
          <c:y val="0.75890868973732484"/>
          <c:w val="0.70733400954697323"/>
          <c:h val="0.2217815349004054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Panel 1 Observed and Predicted Values </a:t>
            </a:r>
          </a:p>
        </c:rich>
      </c:tx>
      <c:layout>
        <c:manualLayout>
          <c:xMode val="edge"/>
          <c:yMode val="edge"/>
          <c:x val="0.26245814564769271"/>
          <c:y val="3.82709312842438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3474538375124E-2"/>
          <c:y val="0.1645650045222487"/>
          <c:w val="0.88602891722199806"/>
          <c:h val="0.55110141049311201"/>
        </c:manualLayout>
      </c:layout>
      <c:scatterChart>
        <c:scatterStyle val="lineMarker"/>
        <c:ser>
          <c:idx val="0"/>
          <c:order val="0"/>
          <c:tx>
            <c:v>Predicted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yVal>
            <c:numRef>
              <c:f>Sheet1!$B$245:$B$272</c:f>
              <c:numCache>
                <c:formatCode>0.000</c:formatCode>
                <c:ptCount val="28"/>
                <c:pt idx="0">
                  <c:v>45.990916731469184</c:v>
                </c:pt>
                <c:pt idx="1">
                  <c:v>52.382798494464382</c:v>
                </c:pt>
                <c:pt idx="2">
                  <c:v>68.941747720644585</c:v>
                </c:pt>
                <c:pt idx="3">
                  <c:v>73.091667195034177</c:v>
                </c:pt>
                <c:pt idx="4">
                  <c:v>71.391026584447246</c:v>
                </c:pt>
                <c:pt idx="5">
                  <c:v>67.345900261931291</c:v>
                </c:pt>
                <c:pt idx="6">
                  <c:v>60.94730032823778</c:v>
                </c:pt>
                <c:pt idx="7">
                  <c:v>61.921140402420754</c:v>
                </c:pt>
                <c:pt idx="8">
                  <c:v>70.99276238553081</c:v>
                </c:pt>
                <c:pt idx="9">
                  <c:v>74.67198455841563</c:v>
                </c:pt>
                <c:pt idx="10">
                  <c:v>74.026239389571685</c:v>
                </c:pt>
                <c:pt idx="11">
                  <c:v>64.271849178627434</c:v>
                </c:pt>
                <c:pt idx="12">
                  <c:v>63.112788339100149</c:v>
                </c:pt>
                <c:pt idx="13">
                  <c:v>64.409960848617544</c:v>
                </c:pt>
                <c:pt idx="14">
                  <c:v>61.231804516565759</c:v>
                </c:pt>
                <c:pt idx="15">
                  <c:v>54.413249354305911</c:v>
                </c:pt>
                <c:pt idx="16">
                  <c:v>53.422503771156123</c:v>
                </c:pt>
                <c:pt idx="17">
                  <c:v>62.613201392975007</c:v>
                </c:pt>
                <c:pt idx="18">
                  <c:v>65.5386931295116</c:v>
                </c:pt>
                <c:pt idx="19">
                  <c:v>58.843490065096731</c:v>
                </c:pt>
                <c:pt idx="20">
                  <c:v>60.327395181953804</c:v>
                </c:pt>
                <c:pt idx="21">
                  <c:v>63.6796773530493</c:v>
                </c:pt>
                <c:pt idx="22">
                  <c:v>63.998502001376799</c:v>
                </c:pt>
                <c:pt idx="23">
                  <c:v>65.133400815499272</c:v>
                </c:pt>
                <c:pt idx="24">
                  <c:v>65.72425018575845</c:v>
                </c:pt>
                <c:pt idx="25">
                  <c:v>66.451111916983422</c:v>
                </c:pt>
                <c:pt idx="26">
                  <c:v>67.177973648208436</c:v>
                </c:pt>
                <c:pt idx="27">
                  <c:v>67.90483537943345</c:v>
                </c:pt>
              </c:numCache>
            </c:numRef>
          </c:yVal>
        </c:ser>
        <c:ser>
          <c:idx val="1"/>
          <c:order val="1"/>
          <c:tx>
            <c:v>Observed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Ref>
              <c:f>Sheet1!$A$245:$A$272</c:f>
              <c:numCache>
                <c:formatCode>0.000</c:formatCode>
                <c:ptCount val="28"/>
                <c:pt idx="0">
                  <c:v>47.3</c:v>
                </c:pt>
                <c:pt idx="1">
                  <c:v>54.1</c:v>
                </c:pt>
                <c:pt idx="2">
                  <c:v>65.400000000000006</c:v>
                </c:pt>
                <c:pt idx="3">
                  <c:v>69.5</c:v>
                </c:pt>
                <c:pt idx="4">
                  <c:v>70.900000000000006</c:v>
                </c:pt>
                <c:pt idx="5">
                  <c:v>66.7</c:v>
                </c:pt>
                <c:pt idx="6">
                  <c:v>56.5</c:v>
                </c:pt>
                <c:pt idx="7">
                  <c:v>62.5</c:v>
                </c:pt>
                <c:pt idx="8">
                  <c:v>71.099999999999994</c:v>
                </c:pt>
                <c:pt idx="9">
                  <c:v>80.599999999999994</c:v>
                </c:pt>
                <c:pt idx="10">
                  <c:v>77.900000000000006</c:v>
                </c:pt>
                <c:pt idx="11">
                  <c:v>61.4</c:v>
                </c:pt>
                <c:pt idx="12">
                  <c:v>66.900000000000006</c:v>
                </c:pt>
                <c:pt idx="13">
                  <c:v>64.7</c:v>
                </c:pt>
                <c:pt idx="14">
                  <c:v>60.7</c:v>
                </c:pt>
                <c:pt idx="15">
                  <c:v>55.9</c:v>
                </c:pt>
                <c:pt idx="16">
                  <c:v>53.2</c:v>
                </c:pt>
                <c:pt idx="17">
                  <c:v>62.2</c:v>
                </c:pt>
                <c:pt idx="18">
                  <c:v>69.3</c:v>
                </c:pt>
                <c:pt idx="19">
                  <c:v>57.7</c:v>
                </c:pt>
                <c:pt idx="20">
                  <c:v>62.8</c:v>
                </c:pt>
                <c:pt idx="21">
                  <c:v>62.7</c:v>
                </c:pt>
                <c:pt idx="22">
                  <c:v>61.8</c:v>
                </c:pt>
                <c:pt idx="23">
                  <c:v>60.9</c:v>
                </c:pt>
                <c:pt idx="24">
                  <c:v>69.046971188323084</c:v>
                </c:pt>
                <c:pt idx="25">
                  <c:v>68.521390952343864</c:v>
                </c:pt>
                <c:pt idx="26">
                  <c:v>65.058614145530413</c:v>
                </c:pt>
                <c:pt idx="27">
                  <c:v>67.769322441707942</c:v>
                </c:pt>
              </c:numCache>
            </c:numRef>
          </c:yVal>
        </c:ser>
        <c:ser>
          <c:idx val="2"/>
          <c:order val="2"/>
          <c:tx>
            <c:strRef>
              <c:f>Sheet1!$H$243:$H$244</c:f>
              <c:strCache>
                <c:ptCount val="1"/>
                <c:pt idx="0">
                  <c:v>Lower 95% Predict. Interval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yVal>
            <c:numRef>
              <c:f>Sheet1!$H$245:$H$272</c:f>
              <c:numCache>
                <c:formatCode>0.000</c:formatCode>
                <c:ptCount val="28"/>
                <c:pt idx="0">
                  <c:v>38.446269243495514</c:v>
                </c:pt>
                <c:pt idx="1">
                  <c:v>45.076807151507438</c:v>
                </c:pt>
                <c:pt idx="2">
                  <c:v>61.670375702182554</c:v>
                </c:pt>
                <c:pt idx="3">
                  <c:v>66.142529114515028</c:v>
                </c:pt>
                <c:pt idx="4">
                  <c:v>64.645652373802406</c:v>
                </c:pt>
                <c:pt idx="5">
                  <c:v>60.204095527904158</c:v>
                </c:pt>
                <c:pt idx="6">
                  <c:v>54.071960010773637</c:v>
                </c:pt>
                <c:pt idx="7">
                  <c:v>55.363802625795238</c:v>
                </c:pt>
                <c:pt idx="8">
                  <c:v>64.28116235749053</c:v>
                </c:pt>
                <c:pt idx="9">
                  <c:v>67.895386700831963</c:v>
                </c:pt>
                <c:pt idx="10">
                  <c:v>66.954666671369253</c:v>
                </c:pt>
                <c:pt idx="11">
                  <c:v>56.508010176242024</c:v>
                </c:pt>
                <c:pt idx="12">
                  <c:v>56.427803571350765</c:v>
                </c:pt>
                <c:pt idx="13">
                  <c:v>57.867830935562075</c:v>
                </c:pt>
                <c:pt idx="14">
                  <c:v>54.707177302682958</c:v>
                </c:pt>
                <c:pt idx="15">
                  <c:v>47.683722116968049</c:v>
                </c:pt>
                <c:pt idx="16">
                  <c:v>46.6145968604148</c:v>
                </c:pt>
                <c:pt idx="17">
                  <c:v>55.618106403885832</c:v>
                </c:pt>
                <c:pt idx="18">
                  <c:v>58.901372659713132</c:v>
                </c:pt>
                <c:pt idx="19">
                  <c:v>51.960308322462595</c:v>
                </c:pt>
                <c:pt idx="20">
                  <c:v>53.569067501704822</c:v>
                </c:pt>
                <c:pt idx="21">
                  <c:v>56.922371609421383</c:v>
                </c:pt>
                <c:pt idx="22">
                  <c:v>57.143187312961224</c:v>
                </c:pt>
                <c:pt idx="23">
                  <c:v>58.187992531277018</c:v>
                </c:pt>
                <c:pt idx="24">
                  <c:v>58.660815871270756</c:v>
                </c:pt>
                <c:pt idx="25">
                  <c:v>59.255282394467358</c:v>
                </c:pt>
                <c:pt idx="26">
                  <c:v>59.835047609664869</c:v>
                </c:pt>
                <c:pt idx="27">
                  <c:v>60.400976026653439</c:v>
                </c:pt>
              </c:numCache>
            </c:numRef>
          </c:yVal>
        </c:ser>
        <c:ser>
          <c:idx val="3"/>
          <c:order val="3"/>
          <c:tx>
            <c:strRef>
              <c:f>Sheet1!$I$243:$I$244</c:f>
              <c:strCache>
                <c:ptCount val="1"/>
                <c:pt idx="0">
                  <c:v>Upper 95% Predict. Interval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yVal>
            <c:numRef>
              <c:f>Sheet1!$I$245:$I$272</c:f>
              <c:numCache>
                <c:formatCode>0.000</c:formatCode>
                <c:ptCount val="28"/>
                <c:pt idx="0">
                  <c:v>53.535564219442854</c:v>
                </c:pt>
                <c:pt idx="1">
                  <c:v>59.688789837421325</c:v>
                </c:pt>
                <c:pt idx="2">
                  <c:v>76.213119739106617</c:v>
                </c:pt>
                <c:pt idx="3">
                  <c:v>80.040805275553325</c:v>
                </c:pt>
                <c:pt idx="4">
                  <c:v>78.136400795092086</c:v>
                </c:pt>
                <c:pt idx="5">
                  <c:v>74.487704995958424</c:v>
                </c:pt>
                <c:pt idx="6">
                  <c:v>67.822640645701924</c:v>
                </c:pt>
                <c:pt idx="7">
                  <c:v>68.478478179046263</c:v>
                </c:pt>
                <c:pt idx="8">
                  <c:v>77.70436241357109</c:v>
                </c:pt>
                <c:pt idx="9">
                  <c:v>81.448582415999297</c:v>
                </c:pt>
                <c:pt idx="10">
                  <c:v>81.097812107774118</c:v>
                </c:pt>
                <c:pt idx="11">
                  <c:v>72.035688181012844</c:v>
                </c:pt>
                <c:pt idx="12">
                  <c:v>69.797773106849533</c:v>
                </c:pt>
                <c:pt idx="13">
                  <c:v>70.952090761673006</c:v>
                </c:pt>
                <c:pt idx="14">
                  <c:v>67.756431730448568</c:v>
                </c:pt>
                <c:pt idx="15">
                  <c:v>61.142776591643774</c:v>
                </c:pt>
                <c:pt idx="16">
                  <c:v>60.230410681897446</c:v>
                </c:pt>
                <c:pt idx="17">
                  <c:v>69.608296382064182</c:v>
                </c:pt>
                <c:pt idx="18">
                  <c:v>72.176013599310068</c:v>
                </c:pt>
                <c:pt idx="19">
                  <c:v>65.726671807730867</c:v>
                </c:pt>
                <c:pt idx="20">
                  <c:v>67.085722862202786</c:v>
                </c:pt>
                <c:pt idx="21">
                  <c:v>70.43698309667721</c:v>
                </c:pt>
                <c:pt idx="22">
                  <c:v>70.853816689792382</c:v>
                </c:pt>
                <c:pt idx="23">
                  <c:v>72.078809099721525</c:v>
                </c:pt>
                <c:pt idx="24">
                  <c:v>72.787684500246144</c:v>
                </c:pt>
                <c:pt idx="25">
                  <c:v>73.646941439499486</c:v>
                </c:pt>
                <c:pt idx="26">
                  <c:v>74.520899686752003</c:v>
                </c:pt>
                <c:pt idx="27">
                  <c:v>75.408694732213462</c:v>
                </c:pt>
              </c:numCache>
            </c:numRef>
          </c:yVal>
        </c:ser>
        <c:ser>
          <c:idx val="4"/>
          <c:order val="4"/>
          <c:tx>
            <c:strRef>
              <c:f>Sheet1!$F$243:$F$244</c:f>
              <c:strCache>
                <c:ptCount val="1"/>
                <c:pt idx="0">
                  <c:v>Lower 95% Conf. Interval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Ref>
              <c:f>Sheet1!$F$245:$F$272</c:f>
              <c:numCache>
                <c:formatCode>0.000</c:formatCode>
                <c:ptCount val="28"/>
                <c:pt idx="0">
                  <c:v>41.827806564007048</c:v>
                </c:pt>
                <c:pt idx="1">
                  <c:v>48.669674465832827</c:v>
                </c:pt>
                <c:pt idx="2">
                  <c:v>65.297213240150285</c:v>
                </c:pt>
                <c:pt idx="3">
                  <c:v>70.142039996427428</c:v>
                </c:pt>
                <c:pt idx="4">
                  <c:v>68.960007499727467</c:v>
                </c:pt>
                <c:pt idx="5">
                  <c:v>63.967268081949037</c:v>
                </c:pt>
                <c:pt idx="6">
                  <c:v>58.176003694965331</c:v>
                </c:pt>
                <c:pt idx="7">
                  <c:v>60.074939095574912</c:v>
                </c:pt>
                <c:pt idx="8">
                  <c:v>68.657092142318035</c:v>
                </c:pt>
                <c:pt idx="9">
                  <c:v>72.155626262773524</c:v>
                </c:pt>
                <c:pt idx="10">
                  <c:v>70.798713826936407</c:v>
                </c:pt>
                <c:pt idx="11">
                  <c:v>59.723555366262168</c:v>
                </c:pt>
                <c:pt idx="12">
                  <c:v>60.854735661751697</c:v>
                </c:pt>
                <c:pt idx="13">
                  <c:v>62.618524456240088</c:v>
                </c:pt>
                <c:pt idx="14">
                  <c:v>59.505380226659213</c:v>
                </c:pt>
                <c:pt idx="15">
                  <c:v>52.026553440136823</c:v>
                </c:pt>
                <c:pt idx="16">
                  <c:v>50.823008232795125</c:v>
                </c:pt>
                <c:pt idx="17">
                  <c:v>59.556874438112395</c:v>
                </c:pt>
                <c:pt idx="18">
                  <c:v>63.425921592538181</c:v>
                </c:pt>
                <c:pt idx="19">
                  <c:v>56.052796342960399</c:v>
                </c:pt>
                <c:pt idx="20">
                  <c:v>57.860661799064836</c:v>
                </c:pt>
                <c:pt idx="21">
                  <c:v>61.215745239230806</c:v>
                </c:pt>
                <c:pt idx="22">
                  <c:v>61.277266982888754</c:v>
                </c:pt>
                <c:pt idx="23">
                  <c:v>62.192571547557598</c:v>
                </c:pt>
                <c:pt idx="24">
                  <c:v>62.514595241107621</c:v>
                </c:pt>
                <c:pt idx="25">
                  <c:v>62.959730662271603</c:v>
                </c:pt>
                <c:pt idx="26">
                  <c:v>63.392693822863897</c:v>
                </c:pt>
                <c:pt idx="27">
                  <c:v>63.816108715184136</c:v>
                </c:pt>
              </c:numCache>
            </c:numRef>
          </c:yVal>
        </c:ser>
        <c:ser>
          <c:idx val="5"/>
          <c:order val="5"/>
          <c:tx>
            <c:strRef>
              <c:f>Sheet1!$G$243:$G$244</c:f>
              <c:strCache>
                <c:ptCount val="1"/>
                <c:pt idx="0">
                  <c:v>Upper 95% Conf. Interval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Ref>
              <c:f>Sheet1!$G$245:$G$272</c:f>
              <c:numCache>
                <c:formatCode>0.000</c:formatCode>
                <c:ptCount val="28"/>
                <c:pt idx="0">
                  <c:v>50.15402689893132</c:v>
                </c:pt>
                <c:pt idx="1">
                  <c:v>56.095922523095936</c:v>
                </c:pt>
                <c:pt idx="2">
                  <c:v>72.586282201138886</c:v>
                </c:pt>
                <c:pt idx="3">
                  <c:v>76.041294393640925</c:v>
                </c:pt>
                <c:pt idx="4">
                  <c:v>73.822045669167025</c:v>
                </c:pt>
                <c:pt idx="5">
                  <c:v>70.724532441913539</c:v>
                </c:pt>
                <c:pt idx="6">
                  <c:v>63.718596961510229</c:v>
                </c:pt>
                <c:pt idx="7">
                  <c:v>63.767341709266596</c:v>
                </c:pt>
                <c:pt idx="8">
                  <c:v>73.328432628743585</c:v>
                </c:pt>
                <c:pt idx="9">
                  <c:v>77.188342854057737</c:v>
                </c:pt>
                <c:pt idx="10">
                  <c:v>77.253764952206964</c:v>
                </c:pt>
                <c:pt idx="11">
                  <c:v>68.820142990992707</c:v>
                </c:pt>
                <c:pt idx="12">
                  <c:v>65.370841016448608</c:v>
                </c:pt>
                <c:pt idx="13">
                  <c:v>66.201397240995007</c:v>
                </c:pt>
                <c:pt idx="14">
                  <c:v>62.958228806472306</c:v>
                </c:pt>
                <c:pt idx="15">
                  <c:v>56.799945268475</c:v>
                </c:pt>
                <c:pt idx="16">
                  <c:v>56.02199930951712</c:v>
                </c:pt>
                <c:pt idx="17">
                  <c:v>65.669528347837627</c:v>
                </c:pt>
                <c:pt idx="18">
                  <c:v>67.651464666485012</c:v>
                </c:pt>
                <c:pt idx="19">
                  <c:v>61.634183787233063</c:v>
                </c:pt>
                <c:pt idx="20">
                  <c:v>62.794128564842772</c:v>
                </c:pt>
                <c:pt idx="21">
                  <c:v>66.143609466867787</c:v>
                </c:pt>
                <c:pt idx="22">
                  <c:v>66.719737019864837</c:v>
                </c:pt>
                <c:pt idx="23">
                  <c:v>68.074230083440938</c:v>
                </c:pt>
                <c:pt idx="24">
                  <c:v>68.933905130409286</c:v>
                </c:pt>
                <c:pt idx="25">
                  <c:v>69.942493171695247</c:v>
                </c:pt>
                <c:pt idx="26">
                  <c:v>70.963253473552967</c:v>
                </c:pt>
                <c:pt idx="27">
                  <c:v>71.993562043682758</c:v>
                </c:pt>
              </c:numCache>
            </c:numRef>
          </c:yVal>
        </c:ser>
        <c:axId val="48905600"/>
        <c:axId val="48927872"/>
      </c:scatterChart>
      <c:valAx>
        <c:axId val="48905600"/>
        <c:scaling>
          <c:orientation val="minMax"/>
          <c:max val="28"/>
          <c:min val="1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8927872"/>
        <c:crosses val="autoZero"/>
        <c:crossBetween val="midCat"/>
      </c:valAx>
      <c:valAx>
        <c:axId val="48927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05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63523363908368"/>
          <c:y val="0.74245606691433141"/>
          <c:w val="0.76689897877198154"/>
          <c:h val="0.244933960219160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Panel 2 Residuals/Y-Hat</a:t>
            </a:r>
          </a:p>
        </c:rich>
      </c:tx>
      <c:layout>
        <c:manualLayout>
          <c:xMode val="edge"/>
          <c:yMode val="edge"/>
          <c:x val="0.35622386385161225"/>
          <c:y val="3.82709312842438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7755241800352"/>
          <c:y val="0.22579849457703893"/>
          <c:w val="0.85419125468082935"/>
          <c:h val="0.6773954837311168"/>
        </c:manualLayout>
      </c:layout>
      <c:scatterChart>
        <c:scatterStyle val="lineMarker"/>
        <c:ser>
          <c:idx val="0"/>
          <c:order val="0"/>
          <c:tx>
            <c:v>Series 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yVal>
            <c:numRef>
              <c:f>Sheet1!$K$245:$K$268</c:f>
              <c:numCache>
                <c:formatCode>General</c:formatCode>
                <c:ptCount val="24"/>
                <c:pt idx="0">
                  <c:v>2.8463952483797208E-2</c:v>
                </c:pt>
                <c:pt idx="1">
                  <c:v>3.2781782472295504E-2</c:v>
                </c:pt>
                <c:pt idx="2">
                  <c:v>-5.1373048083955146E-2</c:v>
                </c:pt>
                <c:pt idx="3">
                  <c:v>-4.9139215629742716E-2</c:v>
                </c:pt>
                <c:pt idx="4">
                  <c:v>-6.8779874437918812E-3</c:v>
                </c:pt>
                <c:pt idx="5">
                  <c:v>-9.5907881462592506E-3</c:v>
                </c:pt>
                <c:pt idx="6">
                  <c:v>-7.2969603317725312E-2</c:v>
                </c:pt>
                <c:pt idx="7">
                  <c:v>9.3483355412591219E-3</c:v>
                </c:pt>
                <c:pt idx="8">
                  <c:v>1.5105429182600842E-3</c:v>
                </c:pt>
                <c:pt idx="9">
                  <c:v>7.9387409838383202E-2</c:v>
                </c:pt>
                <c:pt idx="10">
                  <c:v>5.232956100933623E-2</c:v>
                </c:pt>
                <c:pt idx="11">
                  <c:v>-4.4682846616811246E-2</c:v>
                </c:pt>
                <c:pt idx="12">
                  <c:v>6.0007040737155522E-2</c:v>
                </c:pt>
                <c:pt idx="13">
                  <c:v>4.5030170421021757E-3</c:v>
                </c:pt>
                <c:pt idx="14">
                  <c:v>-8.6851027952619172E-3</c:v>
                </c:pt>
                <c:pt idx="15">
                  <c:v>2.7323320392305069E-2</c:v>
                </c:pt>
                <c:pt idx="16">
                  <c:v>-4.1649820852510139E-3</c:v>
                </c:pt>
                <c:pt idx="17">
                  <c:v>-6.5992695435209657E-3</c:v>
                </c:pt>
                <c:pt idx="18">
                  <c:v>5.7390629731594506E-2</c:v>
                </c:pt>
                <c:pt idx="19">
                  <c:v>-1.9432736974501687E-2</c:v>
                </c:pt>
                <c:pt idx="20">
                  <c:v>4.0986434282278481E-2</c:v>
                </c:pt>
                <c:pt idx="21">
                  <c:v>-1.5384458492429613E-2</c:v>
                </c:pt>
                <c:pt idx="22">
                  <c:v>-3.4352397831585273E-2</c:v>
                </c:pt>
                <c:pt idx="23">
                  <c:v>-6.4995851014920211E-2</c:v>
                </c:pt>
              </c:numCache>
            </c:numRef>
          </c:yVal>
        </c:ser>
        <c:axId val="48947968"/>
        <c:axId val="48949504"/>
      </c:scatterChart>
      <c:valAx>
        <c:axId val="48947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49504"/>
        <c:crosses val="autoZero"/>
        <c:crossBetween val="midCat"/>
      </c:valAx>
      <c:valAx>
        <c:axId val="48949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47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Panel 3 PDF of Residuals/Y-Hat</a:t>
            </a:r>
          </a:p>
        </c:rich>
      </c:tx>
      <c:layout>
        <c:manualLayout>
          <c:xMode val="edge"/>
          <c:yMode val="edge"/>
          <c:x val="0.31457749371957494"/>
          <c:y val="1.90589636688505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703563936726765E-2"/>
          <c:y val="0.16009529481834425"/>
          <c:w val="0.88789032251027955"/>
          <c:h val="0.67087552114353777"/>
        </c:manualLayout>
      </c:layout>
      <c:scatterChart>
        <c:scatterStyle val="smoothMarker"/>
        <c:ser>
          <c:idx val="0"/>
          <c:order val="0"/>
          <c:tx>
            <c:strRef>
              <c:f>Sheet1!$AG$229</c:f>
              <c:strCache>
                <c:ptCount val="1"/>
                <c:pt idx="0">
                  <c:v>Res/Y-Hat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Sheet1!$AG$238:$AG$337</c:f>
              <c:numCache>
                <c:formatCode>0.000</c:formatCode>
                <c:ptCount val="100"/>
                <c:pt idx="0">
                  <c:v>-7.2969603317725312E-2</c:v>
                </c:pt>
                <c:pt idx="1">
                  <c:v>-7.1430643588875728E-2</c:v>
                </c:pt>
                <c:pt idx="2">
                  <c:v>-6.9891683860026144E-2</c:v>
                </c:pt>
                <c:pt idx="3">
                  <c:v>-6.8352724131176559E-2</c:v>
                </c:pt>
                <c:pt idx="4">
                  <c:v>-6.6813764402326975E-2</c:v>
                </c:pt>
                <c:pt idx="5">
                  <c:v>-6.5274804673477391E-2</c:v>
                </c:pt>
                <c:pt idx="6">
                  <c:v>-6.3735844944627806E-2</c:v>
                </c:pt>
                <c:pt idx="7">
                  <c:v>-6.2196885215778222E-2</c:v>
                </c:pt>
                <c:pt idx="8">
                  <c:v>-6.0657925486928638E-2</c:v>
                </c:pt>
                <c:pt idx="9">
                  <c:v>-5.9118965758079053E-2</c:v>
                </c:pt>
                <c:pt idx="10">
                  <c:v>-5.7580006029229469E-2</c:v>
                </c:pt>
                <c:pt idx="11">
                  <c:v>-5.6041046300379885E-2</c:v>
                </c:pt>
                <c:pt idx="12">
                  <c:v>-5.45020865715303E-2</c:v>
                </c:pt>
                <c:pt idx="13">
                  <c:v>-5.2963126842680716E-2</c:v>
                </c:pt>
                <c:pt idx="14">
                  <c:v>-5.1424167113831132E-2</c:v>
                </c:pt>
                <c:pt idx="15">
                  <c:v>-4.9885207384981547E-2</c:v>
                </c:pt>
                <c:pt idx="16">
                  <c:v>-4.8346247656131963E-2</c:v>
                </c:pt>
                <c:pt idx="17">
                  <c:v>-4.6807287927282379E-2</c:v>
                </c:pt>
                <c:pt idx="18">
                  <c:v>-4.5268328198432795E-2</c:v>
                </c:pt>
                <c:pt idx="19">
                  <c:v>-4.372936846958321E-2</c:v>
                </c:pt>
                <c:pt idx="20">
                  <c:v>-4.2190408740733626E-2</c:v>
                </c:pt>
                <c:pt idx="21">
                  <c:v>-4.0651449011884042E-2</c:v>
                </c:pt>
                <c:pt idx="22">
                  <c:v>-3.9112489283034457E-2</c:v>
                </c:pt>
                <c:pt idx="23">
                  <c:v>-3.7573529554184873E-2</c:v>
                </c:pt>
                <c:pt idx="24">
                  <c:v>-3.6034569825335289E-2</c:v>
                </c:pt>
                <c:pt idx="25">
                  <c:v>-3.4495610096485704E-2</c:v>
                </c:pt>
                <c:pt idx="26">
                  <c:v>-3.295665036763612E-2</c:v>
                </c:pt>
                <c:pt idx="27">
                  <c:v>-3.1417690638786536E-2</c:v>
                </c:pt>
                <c:pt idx="28">
                  <c:v>-2.9878730909936955E-2</c:v>
                </c:pt>
                <c:pt idx="29">
                  <c:v>-2.8339771181087374E-2</c:v>
                </c:pt>
                <c:pt idx="30">
                  <c:v>-2.6800811452237793E-2</c:v>
                </c:pt>
                <c:pt idx="31">
                  <c:v>-2.5261851723388212E-2</c:v>
                </c:pt>
                <c:pt idx="32">
                  <c:v>-2.3722891994538631E-2</c:v>
                </c:pt>
                <c:pt idx="33">
                  <c:v>-2.2183932265689051E-2</c:v>
                </c:pt>
                <c:pt idx="34">
                  <c:v>-2.064497253683947E-2</c:v>
                </c:pt>
                <c:pt idx="35">
                  <c:v>-1.9106012807989889E-2</c:v>
                </c:pt>
                <c:pt idx="36">
                  <c:v>-1.7567053079140308E-2</c:v>
                </c:pt>
                <c:pt idx="37">
                  <c:v>-1.6028093350290727E-2</c:v>
                </c:pt>
                <c:pt idx="38">
                  <c:v>-1.4489133621441146E-2</c:v>
                </c:pt>
                <c:pt idx="39">
                  <c:v>-1.2950173892591565E-2</c:v>
                </c:pt>
                <c:pt idx="40">
                  <c:v>-1.1411214163741985E-2</c:v>
                </c:pt>
                <c:pt idx="41">
                  <c:v>-9.8722544348924038E-3</c:v>
                </c:pt>
                <c:pt idx="42">
                  <c:v>-8.3332947060428229E-3</c:v>
                </c:pt>
                <c:pt idx="43">
                  <c:v>-6.7943349771932421E-3</c:v>
                </c:pt>
                <c:pt idx="44">
                  <c:v>-5.2553752483436612E-3</c:v>
                </c:pt>
                <c:pt idx="45">
                  <c:v>-3.7164155194940804E-3</c:v>
                </c:pt>
                <c:pt idx="46">
                  <c:v>-2.1774557906444995E-3</c:v>
                </c:pt>
                <c:pt idx="47">
                  <c:v>-6.3849606179491869E-4</c:v>
                </c:pt>
                <c:pt idx="48">
                  <c:v>9.0046366705466216E-4</c:v>
                </c:pt>
                <c:pt idx="49">
                  <c:v>2.439423395904243E-3</c:v>
                </c:pt>
                <c:pt idx="50">
                  <c:v>3.9783831247538239E-3</c:v>
                </c:pt>
                <c:pt idx="51">
                  <c:v>5.5173428536034047E-3</c:v>
                </c:pt>
                <c:pt idx="52">
                  <c:v>7.0563025824529856E-3</c:v>
                </c:pt>
                <c:pt idx="53">
                  <c:v>8.5952623113025664E-3</c:v>
                </c:pt>
                <c:pt idx="54">
                  <c:v>1.0134222040152147E-2</c:v>
                </c:pt>
                <c:pt idx="55">
                  <c:v>1.1673181769001728E-2</c:v>
                </c:pt>
                <c:pt idx="56">
                  <c:v>1.3212141497851309E-2</c:v>
                </c:pt>
                <c:pt idx="57">
                  <c:v>1.475110122670089E-2</c:v>
                </c:pt>
                <c:pt idx="58">
                  <c:v>1.6290060955550471E-2</c:v>
                </c:pt>
                <c:pt idx="59">
                  <c:v>1.7829020684400051E-2</c:v>
                </c:pt>
                <c:pt idx="60">
                  <c:v>1.9367980413249632E-2</c:v>
                </c:pt>
                <c:pt idx="61">
                  <c:v>2.0906940142099213E-2</c:v>
                </c:pt>
                <c:pt idx="62">
                  <c:v>2.2445899870948794E-2</c:v>
                </c:pt>
                <c:pt idx="63">
                  <c:v>2.3984859599798375E-2</c:v>
                </c:pt>
                <c:pt idx="64">
                  <c:v>2.5523819328647956E-2</c:v>
                </c:pt>
                <c:pt idx="65">
                  <c:v>2.7062779057497537E-2</c:v>
                </c:pt>
                <c:pt idx="66">
                  <c:v>2.8601738786347117E-2</c:v>
                </c:pt>
                <c:pt idx="67">
                  <c:v>3.0140698515196698E-2</c:v>
                </c:pt>
                <c:pt idx="68">
                  <c:v>3.1679658244046283E-2</c:v>
                </c:pt>
                <c:pt idx="69">
                  <c:v>3.3218617972895867E-2</c:v>
                </c:pt>
                <c:pt idx="70">
                  <c:v>3.4757577701745451E-2</c:v>
                </c:pt>
                <c:pt idx="71">
                  <c:v>3.6296537430595036E-2</c:v>
                </c:pt>
                <c:pt idx="72">
                  <c:v>3.783549715944462E-2</c:v>
                </c:pt>
                <c:pt idx="73">
                  <c:v>3.9374456888294204E-2</c:v>
                </c:pt>
                <c:pt idx="74">
                  <c:v>4.0913416617143789E-2</c:v>
                </c:pt>
                <c:pt idx="75">
                  <c:v>4.2452376345993373E-2</c:v>
                </c:pt>
                <c:pt idx="76">
                  <c:v>4.3991336074842957E-2</c:v>
                </c:pt>
                <c:pt idx="77">
                  <c:v>4.5530295803692541E-2</c:v>
                </c:pt>
                <c:pt idx="78">
                  <c:v>4.7069255532542126E-2</c:v>
                </c:pt>
                <c:pt idx="79">
                  <c:v>4.860821526139171E-2</c:v>
                </c:pt>
                <c:pt idx="80">
                  <c:v>5.0147174990241294E-2</c:v>
                </c:pt>
                <c:pt idx="81">
                  <c:v>5.1686134719090879E-2</c:v>
                </c:pt>
                <c:pt idx="82">
                  <c:v>5.3225094447940463E-2</c:v>
                </c:pt>
                <c:pt idx="83">
                  <c:v>5.4764054176790047E-2</c:v>
                </c:pt>
                <c:pt idx="84">
                  <c:v>5.6303013905639632E-2</c:v>
                </c:pt>
                <c:pt idx="85">
                  <c:v>5.7841973634489216E-2</c:v>
                </c:pt>
                <c:pt idx="86">
                  <c:v>5.93809333633388E-2</c:v>
                </c:pt>
                <c:pt idx="87">
                  <c:v>6.0919893092188385E-2</c:v>
                </c:pt>
                <c:pt idx="88">
                  <c:v>6.2458852821037969E-2</c:v>
                </c:pt>
                <c:pt idx="89">
                  <c:v>6.3997812549887553E-2</c:v>
                </c:pt>
                <c:pt idx="90">
                  <c:v>6.5536772278737138E-2</c:v>
                </c:pt>
                <c:pt idx="91">
                  <c:v>6.7075732007586722E-2</c:v>
                </c:pt>
                <c:pt idx="92">
                  <c:v>6.8614691736436306E-2</c:v>
                </c:pt>
                <c:pt idx="93">
                  <c:v>7.0153651465285891E-2</c:v>
                </c:pt>
                <c:pt idx="94">
                  <c:v>7.1692611194135475E-2</c:v>
                </c:pt>
                <c:pt idx="95">
                  <c:v>7.3231570922985059E-2</c:v>
                </c:pt>
                <c:pt idx="96">
                  <c:v>7.4770530651834644E-2</c:v>
                </c:pt>
                <c:pt idx="97">
                  <c:v>7.6309490380684228E-2</c:v>
                </c:pt>
                <c:pt idx="98">
                  <c:v>7.7848450109533812E-2</c:v>
                </c:pt>
                <c:pt idx="99">
                  <c:v>7.9387409838383396E-2</c:v>
                </c:pt>
              </c:numCache>
            </c:numRef>
          </c:xVal>
          <c:yVal>
            <c:numRef>
              <c:f>Sheet1!$AH$238:$AH$337</c:f>
              <c:numCache>
                <c:formatCode>0.000</c:formatCode>
                <c:ptCount val="100"/>
                <c:pt idx="0">
                  <c:v>2.9554174640141921</c:v>
                </c:pt>
                <c:pt idx="1">
                  <c:v>3.1084994197499323</c:v>
                </c:pt>
                <c:pt idx="2">
                  <c:v>3.2609165049648388</c:v>
                </c:pt>
                <c:pt idx="3">
                  <c:v>3.4121831723554217</c:v>
                </c:pt>
                <c:pt idx="4">
                  <c:v>3.5618727026803643</c:v>
                </c:pt>
                <c:pt idx="5">
                  <c:v>3.7096279560914729</c:v>
                </c:pt>
                <c:pt idx="6">
                  <c:v>3.8551708438232142</c:v>
                </c:pt>
                <c:pt idx="7">
                  <c:v>3.9983101533644967</c:v>
                </c:pt>
                <c:pt idx="8">
                  <c:v>4.1389473707345035</c:v>
                </c:pt>
                <c:pt idx="9">
                  <c:v>4.2770801665650966</c:v>
                </c:pt>
                <c:pt idx="10">
                  <c:v>4.4128032495964646</c:v>
                </c:pt>
                <c:pt idx="11">
                  <c:v>4.5463063427576982</c:v>
                </c:pt>
                <c:pt idx="12">
                  <c:v>4.6778691035181641</c:v>
                </c:pt>
                <c:pt idx="13">
                  <c:v>4.8078528912650054</c:v>
                </c:pt>
                <c:pt idx="14">
                  <c:v>4.9366893788976061</c:v>
                </c:pt>
                <c:pt idx="15">
                  <c:v>5.0648661115751068</c:v>
                </c:pt>
                <c:pt idx="16">
                  <c:v>5.1929092296543562</c:v>
                </c:pt>
                <c:pt idx="17">
                  <c:v>5.3213636914946205</c:v>
                </c:pt>
                <c:pt idx="18">
                  <c:v>5.4507714503886548</c:v>
                </c:pt>
                <c:pt idx="19">
                  <c:v>5.5816481531974169</c:v>
                </c:pt>
                <c:pt idx="20">
                  <c:v>5.7144590307069008</c:v>
                </c:pt>
                <c:pt idx="21">
                  <c:v>5.8495947355501299</c:v>
                </c:pt>
                <c:pt idx="22">
                  <c:v>5.9873479471848441</c:v>
                </c:pt>
                <c:pt idx="23">
                  <c:v>6.1278915998422789</c:v>
                </c:pt>
                <c:pt idx="24">
                  <c:v>6.271259594369277</c:v>
                </c:pt>
                <c:pt idx="25">
                  <c:v>6.4173308254488921</c:v>
                </c:pt>
                <c:pt idx="26">
                  <c:v>6.5658172902228475</c:v>
                </c:pt>
                <c:pt idx="27">
                  <c:v>6.7162569429312233</c:v>
                </c:pt>
                <c:pt idx="28">
                  <c:v>6.8680118247007833</c:v>
                </c:pt>
                <c:pt idx="29">
                  <c:v>7.0202718317513906</c:v>
                </c:pt>
                <c:pt idx="30">
                  <c:v>7.1720642945081288</c:v>
                </c:pt>
                <c:pt idx="31">
                  <c:v>7.322269331447008</c:v>
                </c:pt>
                <c:pt idx="32">
                  <c:v>7.4696407233124207</c:v>
                </c:pt>
                <c:pt idx="33">
                  <c:v>7.6128318349088131</c:v>
                </c:pt>
                <c:pt idx="34">
                  <c:v>7.7504259027629763</c:v>
                </c:pt>
                <c:pt idx="35">
                  <c:v>7.880969817352236</c:v>
                </c:pt>
                <c:pt idx="36">
                  <c:v>8.0030103675538822</c:v>
                </c:pt>
                <c:pt idx="37">
                  <c:v>8.1151317907238205</c:v>
                </c:pt>
                <c:pt idx="38">
                  <c:v>8.2159933910915441</c:v>
                </c:pt>
                <c:pt idx="39">
                  <c:v>8.304365956800174</c:v>
                </c:pt>
                <c:pt idx="40">
                  <c:v>8.3791657245537845</c:v>
                </c:pt>
                <c:pt idx="41">
                  <c:v>8.4394847106891788</c:v>
                </c:pt>
                <c:pt idx="42">
                  <c:v>8.4846163463313591</c:v>
                </c:pt>
                <c:pt idx="43">
                  <c:v>8.5140755174960621</c:v>
                </c:pt>
                <c:pt idx="44">
                  <c:v>8.527612311756565</c:v>
                </c:pt>
                <c:pt idx="45">
                  <c:v>8.5252190027292247</c:v>
                </c:pt>
                <c:pt idx="46">
                  <c:v>8.5071300520649622</c:v>
                </c:pt>
                <c:pt idx="47">
                  <c:v>8.4738151648731677</c:v>
                </c:pt>
                <c:pt idx="48">
                  <c:v>8.4259656872262649</c:v>
                </c:pt>
                <c:pt idx="49">
                  <c:v>8.3644748725276159</c:v>
                </c:pt>
                <c:pt idx="50">
                  <c:v>8.2904127568245265</c:v>
                </c:pt>
                <c:pt idx="51">
                  <c:v>8.2049965627091499</c:v>
                </c:pt>
                <c:pt idx="52">
                  <c:v>8.109557690151906</c:v>
                </c:pt>
                <c:pt idx="53">
                  <c:v>8.0055064454531024</c:v>
                </c:pt>
                <c:pt idx="54">
                  <c:v>7.8942957038033352</c:v>
                </c:pt>
                <c:pt idx="55">
                  <c:v>7.7773846964417279</c:v>
                </c:pt>
                <c:pt idx="56">
                  <c:v>7.6562040621645666</c:v>
                </c:pt>
                <c:pt idx="57">
                  <c:v>7.5321232091903569</c:v>
                </c:pt>
                <c:pt idx="58">
                  <c:v>7.4064209032029673</c:v>
                </c:pt>
                <c:pt idx="59">
                  <c:v>7.2802598382939312</c:v>
                </c:pt>
                <c:pt idx="60">
                  <c:v>7.1546657680171588</c:v>
                </c:pt>
                <c:pt idx="61">
                  <c:v>7.0305115828489972</c:v>
                </c:pt>
                <c:pt idx="62">
                  <c:v>6.9085065269963488</c:v>
                </c:pt>
                <c:pt idx="63">
                  <c:v>6.7891905602090823</c:v>
                </c:pt>
                <c:pt idx="64">
                  <c:v>6.6729336966188821</c:v>
                </c:pt>
                <c:pt idx="65">
                  <c:v>6.5599399989892362</c:v>
                </c:pt>
                <c:pt idx="66">
                  <c:v>6.4502557779769472</c:v>
                </c:pt>
                <c:pt idx="67">
                  <c:v>6.343781445305348</c:v>
                </c:pt>
                <c:pt idx="68">
                  <c:v>6.2402863987066963</c:v>
                </c:pt>
                <c:pt idx="69">
                  <c:v>6.1394262750931627</c:v>
                </c:pt>
                <c:pt idx="70">
                  <c:v>6.0407618952202622</c:v>
                </c:pt>
                <c:pt idx="71">
                  <c:v>5.9437792354749561</c:v>
                </c:pt>
                <c:pt idx="72">
                  <c:v>5.8479097967957019</c:v>
                </c:pt>
                <c:pt idx="73">
                  <c:v>5.7525507929466153</c:v>
                </c:pt>
                <c:pt idx="74">
                  <c:v>5.6570846459548259</c:v>
                </c:pt>
                <c:pt idx="75">
                  <c:v>5.5608973510026996</c:v>
                </c:pt>
                <c:pt idx="76">
                  <c:v>5.4633953522151311</c:v>
                </c:pt>
                <c:pt idx="77">
                  <c:v>5.3640206508164887</c:v>
                </c:pt>
                <c:pt idx="78">
                  <c:v>5.2622639448693862</c:v>
                </c:pt>
                <c:pt idx="79">
                  <c:v>5.157675672742994</c:v>
                </c:pt>
                <c:pt idx="80">
                  <c:v>5.0498748987901703</c:v>
                </c:pt>
                <c:pt idx="81">
                  <c:v>4.9385560383095255</c:v>
                </c:pt>
                <c:pt idx="82">
                  <c:v>4.8234934691990139</c:v>
                </c:pt>
                <c:pt idx="83">
                  <c:v>4.7045441197355622</c:v>
                </c:pt>
                <c:pt idx="84">
                  <c:v>4.5816481559801678</c:v>
                </c:pt>
                <c:pt idx="85">
                  <c:v>4.4548279190012767</c:v>
                </c:pt>
                <c:pt idx="86">
                  <c:v>4.3241852821599283</c:v>
                </c:pt>
                <c:pt idx="87">
                  <c:v>4.189897612876365</c:v>
                </c:pt>
                <c:pt idx="88">
                  <c:v>4.0522125323327094</c:v>
                </c:pt>
                <c:pt idx="89">
                  <c:v>3.9114416711111053</c:v>
                </c:pt>
                <c:pt idx="90">
                  <c:v>3.7679536193683343</c:v>
                </c:pt>
                <c:pt idx="91">
                  <c:v>3.6221662672503441</c:v>
                </c:pt>
                <c:pt idx="92">
                  <c:v>3.4745387252142357</c:v>
                </c:pt>
                <c:pt idx="93">
                  <c:v>3.3255630050581946</c:v>
                </c:pt>
                <c:pt idx="94">
                  <c:v>3.175755631050988</c:v>
                </c:pt>
                <c:pt idx="95">
                  <c:v>3.0256493369057234</c:v>
                </c:pt>
                <c:pt idx="96">
                  <c:v>2.875784988802037</c:v>
                </c:pt>
                <c:pt idx="97">
                  <c:v>2.7267038576264007</c:v>
                </c:pt>
                <c:pt idx="98">
                  <c:v>2.5789403455284985</c:v>
                </c:pt>
                <c:pt idx="99">
                  <c:v>2.4330152532864173</c:v>
                </c:pt>
              </c:numCache>
            </c:numRef>
          </c:yVal>
        </c:ser>
        <c:ser>
          <c:idx val="1"/>
          <c:order val="1"/>
          <c:tx>
            <c:strRef>
              <c:f>Sheet1!$AG$229</c:f>
              <c:strCache>
                <c:ptCount val="1"/>
                <c:pt idx="0">
                  <c:v>Res/Y-Hat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Sheet1!$AH$236</c:f>
                <c:numCache>
                  <c:formatCode>General</c:formatCode>
                  <c:ptCount val="1"/>
                  <c:pt idx="0">
                    <c:v>8.4481968823988467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Sheet1!$AG$236</c:f>
              <c:numCache>
                <c:formatCode>0.000</c:formatCode>
                <c:ptCount val="1"/>
                <c:pt idx="0">
                  <c:v>2.4098910304211989E-4</c:v>
                </c:pt>
              </c:numCache>
            </c:numRef>
          </c:xVal>
          <c:yVal>
            <c:numRef>
              <c:f>Sheet1!$AH$236</c:f>
              <c:numCache>
                <c:formatCode>0.000</c:formatCode>
                <c:ptCount val="1"/>
                <c:pt idx="0">
                  <c:v>8.4481968823988467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Sheet1!$AG$229</c:f>
              <c:strCache>
                <c:ptCount val="1"/>
                <c:pt idx="0">
                  <c:v>Res/Y-Hat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Sheet1!$AH$237</c:f>
                <c:numCache>
                  <c:formatCode>General</c:formatCode>
                  <c:ptCount val="1"/>
                  <c:pt idx="0">
                    <c:v>2.6171019586801703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Sheet1!$AG$237</c:f>
              <c:numCache>
                <c:formatCode>0.000</c:formatCode>
                <c:ptCount val="1"/>
                <c:pt idx="0">
                  <c:v>7.7449372928260415E-2</c:v>
                </c:pt>
              </c:numCache>
            </c:numRef>
          </c:xVal>
          <c:yVal>
            <c:numRef>
              <c:f>Sheet1!$AH$237</c:f>
              <c:numCache>
                <c:formatCode>0.000</c:formatCode>
                <c:ptCount val="1"/>
                <c:pt idx="0">
                  <c:v>2.6171019586801703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Sheet1!$AG$229</c:f>
              <c:strCache>
                <c:ptCount val="1"/>
                <c:pt idx="0">
                  <c:v>Res/Y-Hat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Sheet1!$AH$235</c:f>
                <c:numCache>
                  <c:formatCode>General</c:formatCode>
                  <c:ptCount val="1"/>
                  <c:pt idx="0">
                    <c:v>3.0347843379028143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Sheet1!$AG$235</c:f>
              <c:numCache>
                <c:formatCode>0.000</c:formatCode>
                <c:ptCount val="1"/>
                <c:pt idx="0">
                  <c:v>-7.2172228087444792E-2</c:v>
                </c:pt>
              </c:numCache>
            </c:numRef>
          </c:xVal>
          <c:yVal>
            <c:numRef>
              <c:f>Sheet1!$AH$235</c:f>
              <c:numCache>
                <c:formatCode>0.000</c:formatCode>
                <c:ptCount val="1"/>
                <c:pt idx="0">
                  <c:v>3.0347843379028143</c:v>
                </c:pt>
              </c:numCache>
            </c:numRef>
          </c:yVal>
          <c:smooth val="1"/>
        </c:ser>
        <c:axId val="49009408"/>
        <c:axId val="49010944"/>
      </c:scatterChart>
      <c:valAx>
        <c:axId val="49009408"/>
        <c:scaling>
          <c:orientation val="minMax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10944"/>
        <c:crosses val="autoZero"/>
        <c:crossBetween val="midCat"/>
      </c:valAx>
      <c:valAx>
        <c:axId val="49010944"/>
        <c:scaling>
          <c:orientation val="minMax"/>
          <c:min val="0"/>
        </c:scaling>
        <c:delete val="1"/>
        <c:axPos val="l"/>
        <c:numFmt formatCode="0.000" sourceLinked="1"/>
        <c:tickLblPos val="none"/>
        <c:crossAx val="49009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Panel 4 CDF of Residuals/Y-Hat</a:t>
            </a:r>
          </a:p>
        </c:rich>
      </c:tx>
      <c:layout>
        <c:manualLayout>
          <c:xMode val="edge"/>
          <c:yMode val="edge"/>
          <c:x val="0.31394190235303132"/>
          <c:y val="3.81179273377010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90989718490294"/>
          <c:y val="0.22489577129243599"/>
          <c:w val="0.84278451167391155"/>
          <c:h val="0.60607504466944606"/>
        </c:manualLayout>
      </c:layout>
      <c:scatterChart>
        <c:scatterStyle val="smoothMarker"/>
        <c:ser>
          <c:idx val="0"/>
          <c:order val="0"/>
          <c:tx>
            <c:strRef>
              <c:f>Sheet1!$AI$228</c:f>
              <c:strCache>
                <c:ptCount val="1"/>
                <c:pt idx="0">
                  <c:v>Res/Y-Hat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Sheet1!$AI$229:$AI$252</c:f>
              <c:numCache>
                <c:formatCode>General</c:formatCode>
                <c:ptCount val="24"/>
                <c:pt idx="0">
                  <c:v>-7.2969603317725312E-2</c:v>
                </c:pt>
                <c:pt idx="1">
                  <c:v>-6.4995851014920211E-2</c:v>
                </c:pt>
                <c:pt idx="2">
                  <c:v>-5.1373048083955146E-2</c:v>
                </c:pt>
                <c:pt idx="3">
                  <c:v>-4.9139215629742716E-2</c:v>
                </c:pt>
                <c:pt idx="4">
                  <c:v>-4.4682846616811246E-2</c:v>
                </c:pt>
                <c:pt idx="5">
                  <c:v>-3.4352397831585273E-2</c:v>
                </c:pt>
                <c:pt idx="6">
                  <c:v>-1.9432736974501687E-2</c:v>
                </c:pt>
                <c:pt idx="7">
                  <c:v>-1.5384458492429613E-2</c:v>
                </c:pt>
                <c:pt idx="8">
                  <c:v>-9.5907881462592506E-3</c:v>
                </c:pt>
                <c:pt idx="9">
                  <c:v>-8.6851027952619172E-3</c:v>
                </c:pt>
                <c:pt idx="10">
                  <c:v>-6.8779874437918812E-3</c:v>
                </c:pt>
                <c:pt idx="11">
                  <c:v>-6.5992695435209657E-3</c:v>
                </c:pt>
                <c:pt idx="12">
                  <c:v>-4.1649820852510139E-3</c:v>
                </c:pt>
                <c:pt idx="13">
                  <c:v>1.5105429182600842E-3</c:v>
                </c:pt>
                <c:pt idx="14">
                  <c:v>4.5030170421021757E-3</c:v>
                </c:pt>
                <c:pt idx="15">
                  <c:v>9.3483355412591219E-3</c:v>
                </c:pt>
                <c:pt idx="16">
                  <c:v>2.7323320392305069E-2</c:v>
                </c:pt>
                <c:pt idx="17">
                  <c:v>2.8463952483797208E-2</c:v>
                </c:pt>
                <c:pt idx="18">
                  <c:v>3.2781782472295504E-2</c:v>
                </c:pt>
                <c:pt idx="19">
                  <c:v>4.0986434282278481E-2</c:v>
                </c:pt>
                <c:pt idx="20">
                  <c:v>5.232956100933623E-2</c:v>
                </c:pt>
                <c:pt idx="21">
                  <c:v>5.7390629731594506E-2</c:v>
                </c:pt>
                <c:pt idx="22">
                  <c:v>6.0007040737155522E-2</c:v>
                </c:pt>
                <c:pt idx="23">
                  <c:v>7.9387409838383202E-2</c:v>
                </c:pt>
              </c:numCache>
            </c:numRef>
          </c:xVal>
          <c:yVal>
            <c:numRef>
              <c:f>Sheet1!$AJ$229:$AJ$252</c:f>
              <c:numCache>
                <c:formatCode>General</c:formatCode>
                <c:ptCount val="24"/>
                <c:pt idx="0">
                  <c:v>0</c:v>
                </c:pt>
                <c:pt idx="1">
                  <c:v>4.3478260869565216E-2</c:v>
                </c:pt>
                <c:pt idx="2">
                  <c:v>8.6956521739130432E-2</c:v>
                </c:pt>
                <c:pt idx="3">
                  <c:v>0.13043478260869565</c:v>
                </c:pt>
                <c:pt idx="4">
                  <c:v>0.17391304347826086</c:v>
                </c:pt>
                <c:pt idx="5">
                  <c:v>0.21739130434782608</c:v>
                </c:pt>
                <c:pt idx="6">
                  <c:v>0.2608695652173913</c:v>
                </c:pt>
                <c:pt idx="7">
                  <c:v>0.30434782608695654</c:v>
                </c:pt>
                <c:pt idx="8">
                  <c:v>0.34782608695652173</c:v>
                </c:pt>
                <c:pt idx="9">
                  <c:v>0.39130434782608692</c:v>
                </c:pt>
                <c:pt idx="10">
                  <c:v>0.43478260869565211</c:v>
                </c:pt>
                <c:pt idx="11">
                  <c:v>0.47826086956521729</c:v>
                </c:pt>
                <c:pt idx="12">
                  <c:v>0.52173913043478248</c:v>
                </c:pt>
                <c:pt idx="13">
                  <c:v>0.56521739130434767</c:v>
                </c:pt>
                <c:pt idx="14">
                  <c:v>0.60869565217391286</c:v>
                </c:pt>
                <c:pt idx="15">
                  <c:v>0.65217391304347805</c:v>
                </c:pt>
                <c:pt idx="16">
                  <c:v>0.69565217391304324</c:v>
                </c:pt>
                <c:pt idx="17">
                  <c:v>0.73913043478260843</c:v>
                </c:pt>
                <c:pt idx="18">
                  <c:v>0.78260869565217361</c:v>
                </c:pt>
                <c:pt idx="19">
                  <c:v>0.8260869565217388</c:v>
                </c:pt>
                <c:pt idx="20">
                  <c:v>0.86956521739130399</c:v>
                </c:pt>
                <c:pt idx="21">
                  <c:v>0.91304347826086918</c:v>
                </c:pt>
                <c:pt idx="22">
                  <c:v>0.95652173913043437</c:v>
                </c:pt>
                <c:pt idx="23">
                  <c:v>0.99999999999999956</c:v>
                </c:pt>
              </c:numCache>
            </c:numRef>
          </c:yVal>
          <c:smooth val="1"/>
        </c:ser>
        <c:axId val="49034752"/>
        <c:axId val="49036288"/>
      </c:scatterChart>
      <c:valAx>
        <c:axId val="49034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36288"/>
        <c:crosses val="autoZero"/>
        <c:crossBetween val="midCat"/>
      </c:valAx>
      <c:valAx>
        <c:axId val="490362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2.9899228795526794E-2"/>
              <c:y val="0.468850506253722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347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Panel 1 Linear Trend Line and Historical Data</a:t>
            </a:r>
          </a:p>
        </c:rich>
      </c:tx>
      <c:layout>
        <c:manualLayout>
          <c:xMode val="edge"/>
          <c:yMode val="edge"/>
          <c:x val="0.23826110511090351"/>
          <c:y val="3.7370626103966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91125635086281E-2"/>
          <c:y val="0.21674963140300424"/>
          <c:w val="0.87836556660288312"/>
          <c:h val="0.6315635811570296"/>
        </c:manualLayout>
      </c:layout>
      <c:scatterChart>
        <c:scatterStyle val="lineMarker"/>
        <c:ser>
          <c:idx val="0"/>
          <c:order val="0"/>
          <c:tx>
            <c:v>Series 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Sheet1!$A$101:$A$123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Sheet1!$B$101:$B$123</c:f>
              <c:numCache>
                <c:formatCode>0.0</c:formatCode>
                <c:ptCount val="23"/>
                <c:pt idx="0">
                  <c:v>31</c:v>
                </c:pt>
                <c:pt idx="1">
                  <c:v>33.9</c:v>
                </c:pt>
                <c:pt idx="2">
                  <c:v>32.700000000000003</c:v>
                </c:pt>
                <c:pt idx="3">
                  <c:v>31.6</c:v>
                </c:pt>
                <c:pt idx="4">
                  <c:v>27.3</c:v>
                </c:pt>
                <c:pt idx="5">
                  <c:v>30.6</c:v>
                </c:pt>
                <c:pt idx="6">
                  <c:v>30.3</c:v>
                </c:pt>
                <c:pt idx="7">
                  <c:v>30.7</c:v>
                </c:pt>
                <c:pt idx="8">
                  <c:v>31.4</c:v>
                </c:pt>
                <c:pt idx="9">
                  <c:v>34.200000000000003</c:v>
                </c:pt>
                <c:pt idx="10">
                  <c:v>33.5</c:v>
                </c:pt>
                <c:pt idx="11">
                  <c:v>34.5</c:v>
                </c:pt>
                <c:pt idx="12">
                  <c:v>35.5</c:v>
                </c:pt>
                <c:pt idx="13">
                  <c:v>39.4</c:v>
                </c:pt>
                <c:pt idx="14">
                  <c:v>38.799999999999997</c:v>
                </c:pt>
                <c:pt idx="15">
                  <c:v>37.5</c:v>
                </c:pt>
                <c:pt idx="16">
                  <c:v>34.4</c:v>
                </c:pt>
                <c:pt idx="17">
                  <c:v>37.700000000000003</c:v>
                </c:pt>
                <c:pt idx="18">
                  <c:v>34.1</c:v>
                </c:pt>
                <c:pt idx="19">
                  <c:v>32.700000000000003</c:v>
                </c:pt>
                <c:pt idx="20">
                  <c:v>39.5</c:v>
                </c:pt>
                <c:pt idx="21">
                  <c:v>34.299999999999997</c:v>
                </c:pt>
                <c:pt idx="22">
                  <c:v>39.4</c:v>
                </c:pt>
              </c:numCache>
            </c:numRef>
          </c:yVal>
        </c:ser>
        <c:axId val="49077632"/>
        <c:axId val="49079424"/>
      </c:scatterChart>
      <c:valAx>
        <c:axId val="49077632"/>
        <c:scaling>
          <c:orientation val="minMax"/>
          <c:max val="23"/>
          <c:min val="1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9424"/>
        <c:crosses val="autoZero"/>
        <c:crossBetween val="midCat"/>
      </c:valAx>
      <c:valAx>
        <c:axId val="49079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7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Panel 2 Residuals About Trend Line as a Fraction of Y-Hat</a:t>
            </a:r>
          </a:p>
        </c:rich>
      </c:tx>
      <c:layout>
        <c:manualLayout>
          <c:xMode val="edge"/>
          <c:yMode val="edge"/>
          <c:x val="0.17101344392796505"/>
          <c:y val="3.78155605122826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069502045815124E-2"/>
          <c:y val="0.21933025097123948"/>
          <c:w val="0.87109973000807195"/>
          <c:h val="0.68824320132354466"/>
        </c:manualLayout>
      </c:layout>
      <c:scatterChart>
        <c:scatterStyle val="lineMarker"/>
        <c:ser>
          <c:idx val="0"/>
          <c:order val="0"/>
          <c:tx>
            <c:v>Series 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yVal>
            <c:numRef>
              <c:f>Sheet1!$C$156:$C$180</c:f>
              <c:numCache>
                <c:formatCode>0.00000</c:formatCode>
                <c:ptCount val="25"/>
                <c:pt idx="0">
                  <c:v>1.8173249794722447E-2</c:v>
                </c:pt>
                <c:pt idx="1">
                  <c:v>1.8171432651457303E-2</c:v>
                </c:pt>
                <c:pt idx="2">
                  <c:v>0.10130653911591805</c:v>
                </c:pt>
                <c:pt idx="3">
                  <c:v>5.0889332770188811E-2</c:v>
                </c:pt>
                <c:pt idx="4">
                  <c:v>4.7252802493329442E-3</c:v>
                </c:pt>
                <c:pt idx="5">
                  <c:v>-0.14113847119937167</c:v>
                </c:pt>
                <c:pt idx="6">
                  <c:v>-4.7356536826368506E-2</c:v>
                </c:pt>
                <c:pt idx="7">
                  <c:v>-6.6429191213409178E-2</c:v>
                </c:pt>
                <c:pt idx="8">
                  <c:v>-6.3764901580261588E-2</c:v>
                </c:pt>
                <c:pt idx="9">
                  <c:v>-5.2098092968175393E-2</c:v>
                </c:pt>
                <c:pt idx="10">
                  <c:v>2.2095433846589033E-2</c:v>
                </c:pt>
                <c:pt idx="11">
                  <c:v>-8.7453327524563539E-3</c:v>
                </c:pt>
                <c:pt idx="12">
                  <c:v>1.0828025477705963E-2</c:v>
                </c:pt>
                <c:pt idx="13">
                  <c:v>3.002101557101752E-2</c:v>
                </c:pt>
                <c:pt idx="14">
                  <c:v>0.13217747843419969</c:v>
                </c:pt>
                <c:pt idx="15">
                  <c:v>0.1043094550394147</c:v>
                </c:pt>
                <c:pt idx="16">
                  <c:v>5.7232641326512464E-2</c:v>
                </c:pt>
                <c:pt idx="17">
                  <c:v>-3.9236087154508478E-2</c:v>
                </c:pt>
                <c:pt idx="18">
                  <c:v>4.3173453930998036E-2</c:v>
                </c:pt>
                <c:pt idx="19">
                  <c:v>-6.5102960259860107E-2</c:v>
                </c:pt>
                <c:pt idx="20">
                  <c:v>-0.1116420410617653</c:v>
                </c:pt>
                <c:pt idx="21">
                  <c:v>6.3418293646464327E-2</c:v>
                </c:pt>
                <c:pt idx="22">
                  <c:v>-8.4826913443540264E-2</c:v>
                </c:pt>
                <c:pt idx="23">
                  <c:v>4.1938543792576999E-2</c:v>
                </c:pt>
                <c:pt idx="24">
                  <c:v>4.1942737646956253E-2</c:v>
                </c:pt>
              </c:numCache>
            </c:numRef>
          </c:yVal>
        </c:ser>
        <c:axId val="49258496"/>
        <c:axId val="49260032"/>
      </c:scatterChart>
      <c:valAx>
        <c:axId val="49258496"/>
        <c:scaling>
          <c:orientation val="minMax"/>
          <c:max val="25"/>
          <c:min val="1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60032"/>
        <c:crosses val="autoZero"/>
        <c:crossBetween val="midCat"/>
      </c:valAx>
      <c:valAx>
        <c:axId val="49260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58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Panel 3 PDF of the Residuals as a Fraction of Y-Hat</a:t>
            </a:r>
          </a:p>
        </c:rich>
      </c:tx>
      <c:layout>
        <c:manualLayout>
          <c:xMode val="edge"/>
          <c:yMode val="edge"/>
          <c:x val="0.2098120179334822"/>
          <c:y val="3.93779514236052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5120106406253797E-2"/>
          <c:y val="0.18901416683330513"/>
          <c:w val="0.89081204224300492"/>
          <c:h val="0.63398501792004425"/>
        </c:manualLayout>
      </c:layout>
      <c:scatterChart>
        <c:scatterStyle val="smoothMarker"/>
        <c:ser>
          <c:idx val="0"/>
          <c:order val="0"/>
          <c:tx>
            <c:strRef>
              <c:f>Sheet1!$BA$102</c:f>
              <c:strCache>
                <c:ptCount val="1"/>
                <c:pt idx="0">
                  <c:v>0.01817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Sheet1!$BA$111:$BA$210</c:f>
              <c:numCache>
                <c:formatCode>0.000</c:formatCode>
                <c:ptCount val="100"/>
                <c:pt idx="0">
                  <c:v>-0.14113847119937167</c:v>
                </c:pt>
                <c:pt idx="1">
                  <c:v>-0.1383777040313558</c:v>
                </c:pt>
                <c:pt idx="2">
                  <c:v>-0.13561693686333992</c:v>
                </c:pt>
                <c:pt idx="3">
                  <c:v>-0.13285616969532404</c:v>
                </c:pt>
                <c:pt idx="4">
                  <c:v>-0.13009540252730817</c:v>
                </c:pt>
                <c:pt idx="5">
                  <c:v>-0.12733463535929229</c:v>
                </c:pt>
                <c:pt idx="6">
                  <c:v>-0.12457386819127642</c:v>
                </c:pt>
                <c:pt idx="7">
                  <c:v>-0.12181310102326054</c:v>
                </c:pt>
                <c:pt idx="8">
                  <c:v>-0.11905233385524466</c:v>
                </c:pt>
                <c:pt idx="9">
                  <c:v>-0.11629156668722879</c:v>
                </c:pt>
                <c:pt idx="10">
                  <c:v>-0.11353079951921291</c:v>
                </c:pt>
                <c:pt idx="11">
                  <c:v>-0.11077003235119703</c:v>
                </c:pt>
                <c:pt idx="12">
                  <c:v>-0.10800926518318116</c:v>
                </c:pt>
                <c:pt idx="13">
                  <c:v>-0.10524849801516528</c:v>
                </c:pt>
                <c:pt idx="14">
                  <c:v>-0.10248773084714941</c:v>
                </c:pt>
                <c:pt idx="15">
                  <c:v>-9.9726963679133529E-2</c:v>
                </c:pt>
                <c:pt idx="16">
                  <c:v>-9.6966196511117653E-2</c:v>
                </c:pt>
                <c:pt idx="17">
                  <c:v>-9.4205429343101776E-2</c:v>
                </c:pt>
                <c:pt idx="18">
                  <c:v>-9.14446621750859E-2</c:v>
                </c:pt>
                <c:pt idx="19">
                  <c:v>-8.8683895007070024E-2</c:v>
                </c:pt>
                <c:pt idx="20">
                  <c:v>-8.5923127839054148E-2</c:v>
                </c:pt>
                <c:pt idx="21">
                  <c:v>-8.3162360671038271E-2</c:v>
                </c:pt>
                <c:pt idx="22">
                  <c:v>-8.0401593503022395E-2</c:v>
                </c:pt>
                <c:pt idx="23">
                  <c:v>-7.7640826335006519E-2</c:v>
                </c:pt>
                <c:pt idx="24">
                  <c:v>-7.4880059166990642E-2</c:v>
                </c:pt>
                <c:pt idx="25">
                  <c:v>-7.2119291998974766E-2</c:v>
                </c:pt>
                <c:pt idx="26">
                  <c:v>-6.935852483095889E-2</c:v>
                </c:pt>
                <c:pt idx="27">
                  <c:v>-6.6597757662943013E-2</c:v>
                </c:pt>
                <c:pt idx="28">
                  <c:v>-6.3836990494927137E-2</c:v>
                </c:pt>
                <c:pt idx="29">
                  <c:v>-6.1076223326911268E-2</c:v>
                </c:pt>
                <c:pt idx="30">
                  <c:v>-5.8315456158895398E-2</c:v>
                </c:pt>
                <c:pt idx="31">
                  <c:v>-5.5554688990879529E-2</c:v>
                </c:pt>
                <c:pt idx="32">
                  <c:v>-5.279392182286366E-2</c:v>
                </c:pt>
                <c:pt idx="33">
                  <c:v>-5.003315465484779E-2</c:v>
                </c:pt>
                <c:pt idx="34">
                  <c:v>-4.7272387486831921E-2</c:v>
                </c:pt>
                <c:pt idx="35">
                  <c:v>-4.4511620318816052E-2</c:v>
                </c:pt>
                <c:pt idx="36">
                  <c:v>-4.1750853150800182E-2</c:v>
                </c:pt>
                <c:pt idx="37">
                  <c:v>-3.8990085982784313E-2</c:v>
                </c:pt>
                <c:pt idx="38">
                  <c:v>-3.6229318814768444E-2</c:v>
                </c:pt>
                <c:pt idx="39">
                  <c:v>-3.3468551646752574E-2</c:v>
                </c:pt>
                <c:pt idx="40">
                  <c:v>-3.0707784478736701E-2</c:v>
                </c:pt>
                <c:pt idx="41">
                  <c:v>-2.7947017310720829E-2</c:v>
                </c:pt>
                <c:pt idx="42">
                  <c:v>-2.5186250142704956E-2</c:v>
                </c:pt>
                <c:pt idx="43">
                  <c:v>-2.2425482974689083E-2</c:v>
                </c:pt>
                <c:pt idx="44">
                  <c:v>-1.966471580667321E-2</c:v>
                </c:pt>
                <c:pt idx="45">
                  <c:v>-1.6903948638657337E-2</c:v>
                </c:pt>
                <c:pt idx="46">
                  <c:v>-1.4143181470641464E-2</c:v>
                </c:pt>
                <c:pt idx="47">
                  <c:v>-1.1382414302625592E-2</c:v>
                </c:pt>
                <c:pt idx="48">
                  <c:v>-8.6216471346097188E-3</c:v>
                </c:pt>
                <c:pt idx="49">
                  <c:v>-5.860879966593846E-3</c:v>
                </c:pt>
                <c:pt idx="50">
                  <c:v>-3.1001127985779736E-3</c:v>
                </c:pt>
                <c:pt idx="51">
                  <c:v>-3.3934563056210124E-4</c:v>
                </c:pt>
                <c:pt idx="52">
                  <c:v>2.4214215374537711E-3</c:v>
                </c:pt>
                <c:pt idx="53">
                  <c:v>5.1821887054696435E-3</c:v>
                </c:pt>
                <c:pt idx="54">
                  <c:v>7.9429558734855164E-3</c:v>
                </c:pt>
                <c:pt idx="55">
                  <c:v>1.0703723041501389E-2</c:v>
                </c:pt>
                <c:pt idx="56">
                  <c:v>1.3464490209517262E-2</c:v>
                </c:pt>
                <c:pt idx="57">
                  <c:v>1.6225257377533133E-2</c:v>
                </c:pt>
                <c:pt idx="58">
                  <c:v>1.8986024545549006E-2</c:v>
                </c:pt>
                <c:pt idx="59">
                  <c:v>2.1746791713564879E-2</c:v>
                </c:pt>
                <c:pt idx="60">
                  <c:v>2.4507558881580752E-2</c:v>
                </c:pt>
                <c:pt idx="61">
                  <c:v>2.7268326049596624E-2</c:v>
                </c:pt>
                <c:pt idx="62">
                  <c:v>3.0029093217612497E-2</c:v>
                </c:pt>
                <c:pt idx="63">
                  <c:v>3.2789860385628367E-2</c:v>
                </c:pt>
                <c:pt idx="64">
                  <c:v>3.5550627553644236E-2</c:v>
                </c:pt>
                <c:pt idx="65">
                  <c:v>3.8311394721660105E-2</c:v>
                </c:pt>
                <c:pt idx="66">
                  <c:v>4.1072161889675975E-2</c:v>
                </c:pt>
                <c:pt idx="67">
                  <c:v>4.3832929057691844E-2</c:v>
                </c:pt>
                <c:pt idx="68">
                  <c:v>4.6593696225707713E-2</c:v>
                </c:pt>
                <c:pt idx="69">
                  <c:v>4.9354463393723583E-2</c:v>
                </c:pt>
                <c:pt idx="70">
                  <c:v>5.2115230561739452E-2</c:v>
                </c:pt>
                <c:pt idx="71">
                  <c:v>5.4875997729755321E-2</c:v>
                </c:pt>
                <c:pt idx="72">
                  <c:v>5.7636764897771191E-2</c:v>
                </c:pt>
                <c:pt idx="73">
                  <c:v>6.039753206578706E-2</c:v>
                </c:pt>
                <c:pt idx="74">
                  <c:v>6.3158299233802936E-2</c:v>
                </c:pt>
                <c:pt idx="75">
                  <c:v>6.5919066401818813E-2</c:v>
                </c:pt>
                <c:pt idx="76">
                  <c:v>6.8679833569834689E-2</c:v>
                </c:pt>
                <c:pt idx="77">
                  <c:v>7.1440600737850565E-2</c:v>
                </c:pt>
                <c:pt idx="78">
                  <c:v>7.4201367905866442E-2</c:v>
                </c:pt>
                <c:pt idx="79">
                  <c:v>7.6962135073882318E-2</c:v>
                </c:pt>
                <c:pt idx="80">
                  <c:v>7.9722902241898194E-2</c:v>
                </c:pt>
                <c:pt idx="81">
                  <c:v>8.248366940991407E-2</c:v>
                </c:pt>
                <c:pt idx="82">
                  <c:v>8.5244436577929947E-2</c:v>
                </c:pt>
                <c:pt idx="83">
                  <c:v>8.8005203745945823E-2</c:v>
                </c:pt>
                <c:pt idx="84">
                  <c:v>9.0765970913961699E-2</c:v>
                </c:pt>
                <c:pt idx="85">
                  <c:v>9.3526738081977576E-2</c:v>
                </c:pt>
                <c:pt idx="86">
                  <c:v>9.6287505249993452E-2</c:v>
                </c:pt>
                <c:pt idx="87">
                  <c:v>9.9048272418009328E-2</c:v>
                </c:pt>
                <c:pt idx="88">
                  <c:v>0.1018090395860252</c:v>
                </c:pt>
                <c:pt idx="89">
                  <c:v>0.10456980675404108</c:v>
                </c:pt>
                <c:pt idx="90">
                  <c:v>0.10733057392205696</c:v>
                </c:pt>
                <c:pt idx="91">
                  <c:v>0.11009134109007283</c:v>
                </c:pt>
                <c:pt idx="92">
                  <c:v>0.11285210825808871</c:v>
                </c:pt>
                <c:pt idx="93">
                  <c:v>0.11561287542610459</c:v>
                </c:pt>
                <c:pt idx="94">
                  <c:v>0.11837364259412046</c:v>
                </c:pt>
                <c:pt idx="95">
                  <c:v>0.12113440976213634</c:v>
                </c:pt>
                <c:pt idx="96">
                  <c:v>0.12389517693015221</c:v>
                </c:pt>
                <c:pt idx="97">
                  <c:v>0.12665594409816808</c:v>
                </c:pt>
                <c:pt idx="98">
                  <c:v>0.12941671126618395</c:v>
                </c:pt>
                <c:pt idx="99">
                  <c:v>0.13217747843419983</c:v>
                </c:pt>
              </c:numCache>
            </c:numRef>
          </c:xVal>
          <c:yVal>
            <c:numRef>
              <c:f>Sheet1!$BB$111:$BB$210</c:f>
              <c:numCache>
                <c:formatCode>0.000</c:formatCode>
                <c:ptCount val="100"/>
                <c:pt idx="0">
                  <c:v>1.1670925510895873</c:v>
                </c:pt>
                <c:pt idx="1">
                  <c:v>1.2394875292704282</c:v>
                </c:pt>
                <c:pt idx="2">
                  <c:v>1.3143079041419097</c:v>
                </c:pt>
                <c:pt idx="3">
                  <c:v>1.3915425708741596</c:v>
                </c:pt>
                <c:pt idx="4">
                  <c:v>1.47116479766909</c:v>
                </c:pt>
                <c:pt idx="5">
                  <c:v>1.5531276321624927</c:v>
                </c:pt>
                <c:pt idx="6">
                  <c:v>1.6373591940530912</c:v>
                </c:pt>
                <c:pt idx="7">
                  <c:v>1.72375806462104</c:v>
                </c:pt>
                <c:pt idx="8">
                  <c:v>1.8121890051279241</c:v>
                </c:pt>
                <c:pt idx="9">
                  <c:v>1.9024792486424043</c:v>
                </c:pt>
                <c:pt idx="10">
                  <c:v>1.9944156121526793</c:v>
                </c:pt>
                <c:pt idx="11">
                  <c:v>2.0877426668290107</c:v>
                </c:pt>
                <c:pt idx="12">
                  <c:v>2.1821621833727702</c:v>
                </c:pt>
                <c:pt idx="13">
                  <c:v>2.2773340364554162</c:v>
                </c:pt>
                <c:pt idx="14">
                  <c:v>2.3728787078184639</c:v>
                </c:pt>
                <c:pt idx="15">
                  <c:v>2.4683814727859561</c:v>
                </c:pt>
                <c:pt idx="16">
                  <c:v>2.5633982914413713</c:v>
                </c:pt>
                <c:pt idx="17">
                  <c:v>2.6574633558012195</c:v>
                </c:pt>
                <c:pt idx="18">
                  <c:v>2.7500981707157481</c:v>
                </c:pt>
                <c:pt idx="19">
                  <c:v>2.8408219720536221</c:v>
                </c:pt>
                <c:pt idx="20">
                  <c:v>2.9291632143328079</c:v>
                </c:pt>
                <c:pt idx="21">
                  <c:v>3.0146717947813482</c:v>
                </c:pt>
                <c:pt idx="22">
                  <c:v>3.0969316252055394</c:v>
                </c:pt>
                <c:pt idx="23">
                  <c:v>3.1755731201114528</c:v>
                </c:pt>
                <c:pt idx="24">
                  <c:v>3.250285141947824</c:v>
                </c:pt>
                <c:pt idx="25">
                  <c:v>3.3208259342149908</c:v>
                </c:pt>
                <c:pt idx="26">
                  <c:v>3.3870325819056277</c:v>
                </c:pt>
                <c:pt idx="27">
                  <c:v>3.4488285668873866</c:v>
                </c:pt>
                <c:pt idx="28">
                  <c:v>3.50622903311017</c:v>
                </c:pt>
                <c:pt idx="29">
                  <c:v>3.5593434417348342</c:v>
                </c:pt>
                <c:pt idx="30">
                  <c:v>3.6083753773837675</c:v>
                </c:pt>
                <c:pt idx="31">
                  <c:v>3.6536193608640133</c:v>
                </c:pt>
                <c:pt idx="32">
                  <c:v>3.6954546273917006</c:v>
                </c:pt>
                <c:pt idx="33">
                  <c:v>3.7343359385123769</c:v>
                </c:pt>
                <c:pt idx="34">
                  <c:v>3.7707816061861106</c:v>
                </c:pt>
                <c:pt idx="35">
                  <c:v>3.8053590143736602</c:v>
                </c:pt>
                <c:pt idx="36">
                  <c:v>3.838668022479617</c:v>
                </c:pt>
                <c:pt idx="37">
                  <c:v>3.8713227220228723</c:v>
                </c:pt>
                <c:pt idx="38">
                  <c:v>3.903932089232542</c:v>
                </c:pt>
                <c:pt idx="39">
                  <c:v>3.9370801288729491</c:v>
                </c:pt>
                <c:pt idx="40">
                  <c:v>3.9713061362290465</c:v>
                </c:pt>
                <c:pt idx="41">
                  <c:v>4.0070857134535993</c:v>
                </c:pt>
                <c:pt idx="42">
                  <c:v>4.0448131629348927</c:v>
                </c:pt>
                <c:pt idx="43">
                  <c:v>4.0847858444642613</c:v>
                </c:pt>
                <c:pt idx="44">
                  <c:v>4.1271910261321398</c:v>
                </c:pt>
                <c:pt idx="45">
                  <c:v>4.172095683235975</c:v>
                </c:pt>
                <c:pt idx="46">
                  <c:v>4.2194396079156817</c:v>
                </c:pt>
                <c:pt idx="47">
                  <c:v>4.2690320881704515</c:v>
                </c:pt>
                <c:pt idx="48">
                  <c:v>4.3205523021805909</c:v>
                </c:pt>
                <c:pt idx="49">
                  <c:v>4.3735534565161673</c:v>
                </c:pt>
                <c:pt idx="50">
                  <c:v>4.4274705789827173</c:v>
                </c:pt>
                <c:pt idx="51">
                  <c:v>4.4816317625615598</c:v>
                </c:pt>
                <c:pt idx="52">
                  <c:v>4.5352725499416904</c:v>
                </c:pt>
                <c:pt idx="53">
                  <c:v>4.5875530519458172</c:v>
                </c:pt>
                <c:pt idx="54">
                  <c:v>4.6375773106999407</c:v>
                </c:pt>
                <c:pt idx="55">
                  <c:v>4.6844143521241453</c:v>
                </c:pt>
                <c:pt idx="56">
                  <c:v>4.7271203240851749</c:v>
                </c:pt>
                <c:pt idx="57">
                  <c:v>4.7647610875858017</c:v>
                </c:pt>
                <c:pt idx="58">
                  <c:v>4.7964346192833274</c:v>
                </c:pt>
                <c:pt idx="59">
                  <c:v>4.821292594422836</c:v>
                </c:pt>
                <c:pt idx="60">
                  <c:v>4.8385605493375667</c:v>
                </c:pt>
                <c:pt idx="61">
                  <c:v>4.8475560708438268</c:v>
                </c:pt>
                <c:pt idx="62">
                  <c:v>4.8477045244576642</c:v>
                </c:pt>
                <c:pt idx="63">
                  <c:v>4.838551912233922</c:v>
                </c:pt>
                <c:pt idx="64">
                  <c:v>4.8197745416170941</c:v>
                </c:pt>
                <c:pt idx="65">
                  <c:v>4.7911852860991671</c:v>
                </c:pt>
                <c:pt idx="66">
                  <c:v>4.752736323539593</c:v>
                </c:pt>
                <c:pt idx="67">
                  <c:v>4.7045183453739323</c:v>
                </c:pt>
                <c:pt idx="68">
                  <c:v>4.6467563361905633</c:v>
                </c:pt>
                <c:pt idx="69">
                  <c:v>4.5798021248727432</c:v>
                </c:pt>
                <c:pt idx="70">
                  <c:v>4.5041240023911744</c:v>
                </c:pt>
                <c:pt idx="71">
                  <c:v>4.4202937843271162</c:v>
                </c:pt>
                <c:pt idx="72">
                  <c:v>4.3289717655891486</c:v>
                </c:pt>
                <c:pt idx="73">
                  <c:v>4.2308900682893844</c:v>
                </c:pt>
                <c:pt idx="74">
                  <c:v>4.126834919646365</c:v>
                </c:pt>
                <c:pt idx="75">
                  <c:v>4.0176284139891143</c:v>
                </c:pt>
                <c:pt idx="76">
                  <c:v>3.9041103110442581</c:v>
                </c:pt>
                <c:pt idx="77">
                  <c:v>3.7871204020098874</c:v>
                </c:pt>
                <c:pt idx="78">
                  <c:v>3.6674819364911633</c:v>
                </c:pt>
                <c:pt idx="79">
                  <c:v>3.5459865489189744</c:v>
                </c:pt>
                <c:pt idx="80">
                  <c:v>3.4233810549445356</c:v>
                </c:pt>
                <c:pt idx="81">
                  <c:v>3.3003564093786557</c:v>
                </c:pt>
                <c:pt idx="82">
                  <c:v>3.1775390308076896</c:v>
                </c:pt>
                <c:pt idx="83">
                  <c:v>3.0554846076100293</c:v>
                </c:pt>
                <c:pt idx="84">
                  <c:v>2.9346744093561448</c:v>
                </c:pt>
                <c:pt idx="85">
                  <c:v>2.8155140400709113</c:v>
                </c:pt>
                <c:pt idx="86">
                  <c:v>2.6983344889077769</c:v>
                </c:pt>
                <c:pt idx="87">
                  <c:v>2.5833952623863699</c:v>
                </c:pt>
                <c:pt idx="88">
                  <c:v>2.4708893229250863</c:v>
                </c:pt>
                <c:pt idx="89">
                  <c:v>2.3609495127939466</c:v>
                </c:pt>
                <c:pt idx="90">
                  <c:v>2.2536561119792302</c:v>
                </c:pt>
                <c:pt idx="91">
                  <c:v>2.1490451632418601</c:v>
                </c:pt>
                <c:pt idx="92">
                  <c:v>2.0471171976179781</c:v>
                </c:pt>
                <c:pt idx="93">
                  <c:v>1.9478460078481743</c:v>
                </c:pt>
                <c:pt idx="94">
                  <c:v>1.8511871442457903</c:v>
                </c:pt>
                <c:pt idx="95">
                  <c:v>1.7570858453596772</c:v>
                </c:pt>
                <c:pt idx="96">
                  <c:v>1.6654841621299821</c:v>
                </c:pt>
                <c:pt idx="97">
                  <c:v>1.5763270865287016</c:v>
                </c:pt>
                <c:pt idx="98">
                  <c:v>1.4895675512832232</c:v>
                </c:pt>
                <c:pt idx="99">
                  <c:v>1.4051702236071957</c:v>
                </c:pt>
              </c:numCache>
            </c:numRef>
          </c:yVal>
        </c:ser>
        <c:ser>
          <c:idx val="1"/>
          <c:order val="1"/>
          <c:tx>
            <c:strRef>
              <c:f>Sheet1!$BA$102</c:f>
              <c:strCache>
                <c:ptCount val="1"/>
                <c:pt idx="0">
                  <c:v>0.01817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Sheet1!$BB$109</c:f>
                <c:numCache>
                  <c:formatCode>General</c:formatCode>
                  <c:ptCount val="1"/>
                  <c:pt idx="0">
                    <c:v>4.52222974632733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Sheet1!$BA$109</c:f>
              <c:numCache>
                <c:formatCode>0.000</c:formatCode>
                <c:ptCount val="1"/>
                <c:pt idx="0">
                  <c:v>1.7453806266506386E-3</c:v>
                </c:pt>
              </c:numCache>
            </c:numRef>
          </c:xVal>
          <c:yVal>
            <c:numRef>
              <c:f>Sheet1!$BB$109</c:f>
              <c:numCache>
                <c:formatCode>0.000</c:formatCode>
                <c:ptCount val="1"/>
                <c:pt idx="0">
                  <c:v>4.52222974632733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Sheet1!$BA$102</c:f>
              <c:strCache>
                <c:ptCount val="1"/>
                <c:pt idx="0">
                  <c:v>0.01817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Sheet1!$BB$110</c:f>
                <c:numCache>
                  <c:formatCode>General</c:formatCode>
                  <c:ptCount val="1"/>
                  <c:pt idx="0">
                    <c:v>1.4903746512176546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Sheet1!$BA$110</c:f>
              <c:numCache>
                <c:formatCode>0.000</c:formatCode>
                <c:ptCount val="1"/>
                <c:pt idx="0">
                  <c:v>0.12939067609472116</c:v>
                </c:pt>
              </c:numCache>
            </c:numRef>
          </c:xVal>
          <c:yVal>
            <c:numRef>
              <c:f>Sheet1!$BB$110</c:f>
              <c:numCache>
                <c:formatCode>0.000</c:formatCode>
                <c:ptCount val="1"/>
                <c:pt idx="0">
                  <c:v>1.4903746512176546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Sheet1!$BA$102</c:f>
              <c:strCache>
                <c:ptCount val="1"/>
                <c:pt idx="0">
                  <c:v>0.01817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Sheet1!$BB$108</c:f>
                <c:numCache>
                  <c:formatCode>General</c:formatCode>
                  <c:ptCount val="1"/>
                  <c:pt idx="0">
                    <c:v>1.2445290747409525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Sheet1!$BA$108</c:f>
              <c:numCache>
                <c:formatCode>0.000</c:formatCode>
                <c:ptCount val="1"/>
                <c:pt idx="0">
                  <c:v>-0.13818882818561101</c:v>
                </c:pt>
              </c:numCache>
            </c:numRef>
          </c:xVal>
          <c:yVal>
            <c:numRef>
              <c:f>Sheet1!$BB$108</c:f>
              <c:numCache>
                <c:formatCode>0.000</c:formatCode>
                <c:ptCount val="1"/>
                <c:pt idx="0">
                  <c:v>1.2445290747409525</c:v>
                </c:pt>
              </c:numCache>
            </c:numRef>
          </c:yVal>
          <c:smooth val="1"/>
        </c:ser>
        <c:axId val="49308416"/>
        <c:axId val="49309952"/>
      </c:scatterChart>
      <c:valAx>
        <c:axId val="49308416"/>
        <c:scaling>
          <c:orientation val="minMax"/>
          <c:min val="-0.15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9952"/>
        <c:crosses val="autoZero"/>
        <c:crossBetween val="midCat"/>
      </c:valAx>
      <c:valAx>
        <c:axId val="49309952"/>
        <c:scaling>
          <c:orientation val="minMax"/>
          <c:min val="0"/>
        </c:scaling>
        <c:delete val="1"/>
        <c:axPos val="l"/>
        <c:numFmt formatCode="0.000" sourceLinked="1"/>
        <c:tickLblPos val="none"/>
        <c:crossAx val="493084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Panel 4 CDF of Residuals as a Fraction of Y-Hats</a:t>
            </a:r>
          </a:p>
        </c:rich>
      </c:tx>
      <c:layout>
        <c:manualLayout>
          <c:xMode val="edge"/>
          <c:yMode val="edge"/>
          <c:x val="0.26592396097309318"/>
          <c:y val="3.9705927970965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020953084750014E-2"/>
          <c:y val="0.22235319663740422"/>
          <c:w val="0.85845251830911296"/>
          <c:h val="0.6154418835499581"/>
        </c:manualLayout>
      </c:layout>
      <c:scatterChart>
        <c:scatterStyle val="smoothMarker"/>
        <c:ser>
          <c:idx val="0"/>
          <c:order val="0"/>
          <c:tx>
            <c:strRef>
              <c:f>Sheet1!$BD$102</c:f>
              <c:strCache>
                <c:ptCount val="1"/>
                <c:pt idx="0">
                  <c:v>0.01817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Sheet1!$BD$103:$BD$126</c:f>
              <c:numCache>
                <c:formatCode>General</c:formatCode>
                <c:ptCount val="24"/>
                <c:pt idx="0">
                  <c:v>-0.14113847119937167</c:v>
                </c:pt>
                <c:pt idx="1">
                  <c:v>-0.1116420410617653</c:v>
                </c:pt>
                <c:pt idx="2">
                  <c:v>-8.4826913443540264E-2</c:v>
                </c:pt>
                <c:pt idx="3">
                  <c:v>-6.6429191213409178E-2</c:v>
                </c:pt>
                <c:pt idx="4">
                  <c:v>-6.5102960259860107E-2</c:v>
                </c:pt>
                <c:pt idx="5">
                  <c:v>-6.3764901580261588E-2</c:v>
                </c:pt>
                <c:pt idx="6">
                  <c:v>-5.2098092968175393E-2</c:v>
                </c:pt>
                <c:pt idx="7">
                  <c:v>-4.7356536826368506E-2</c:v>
                </c:pt>
                <c:pt idx="8">
                  <c:v>-3.9236087154508478E-2</c:v>
                </c:pt>
                <c:pt idx="9">
                  <c:v>-8.7453327524563539E-3</c:v>
                </c:pt>
                <c:pt idx="10">
                  <c:v>4.7252802493329442E-3</c:v>
                </c:pt>
                <c:pt idx="11">
                  <c:v>1.0828025477705963E-2</c:v>
                </c:pt>
                <c:pt idx="12">
                  <c:v>1.8171432651457303E-2</c:v>
                </c:pt>
                <c:pt idx="13">
                  <c:v>2.2095433846589033E-2</c:v>
                </c:pt>
                <c:pt idx="14">
                  <c:v>3.002101557101752E-2</c:v>
                </c:pt>
                <c:pt idx="15">
                  <c:v>4.1938543792576999E-2</c:v>
                </c:pt>
                <c:pt idx="16">
                  <c:v>4.1942737646956253E-2</c:v>
                </c:pt>
                <c:pt idx="17">
                  <c:v>4.3173453930998036E-2</c:v>
                </c:pt>
                <c:pt idx="18">
                  <c:v>5.0889332770188811E-2</c:v>
                </c:pt>
                <c:pt idx="19">
                  <c:v>5.7232641326512464E-2</c:v>
                </c:pt>
                <c:pt idx="20">
                  <c:v>6.3418293646464327E-2</c:v>
                </c:pt>
                <c:pt idx="21">
                  <c:v>0.10130653911591805</c:v>
                </c:pt>
                <c:pt idx="22">
                  <c:v>0.1043094550394147</c:v>
                </c:pt>
                <c:pt idx="23">
                  <c:v>0.13217747843419969</c:v>
                </c:pt>
              </c:numCache>
            </c:numRef>
          </c:xVal>
          <c:yVal>
            <c:numRef>
              <c:f>Sheet1!$BE$103:$BE$126</c:f>
              <c:numCache>
                <c:formatCode>General</c:formatCode>
                <c:ptCount val="24"/>
                <c:pt idx="0">
                  <c:v>0</c:v>
                </c:pt>
                <c:pt idx="1">
                  <c:v>4.3478260869565216E-2</c:v>
                </c:pt>
                <c:pt idx="2">
                  <c:v>8.6956521739130432E-2</c:v>
                </c:pt>
                <c:pt idx="3">
                  <c:v>0.13043478260869565</c:v>
                </c:pt>
                <c:pt idx="4">
                  <c:v>0.17391304347826086</c:v>
                </c:pt>
                <c:pt idx="5">
                  <c:v>0.21739130434782608</c:v>
                </c:pt>
                <c:pt idx="6">
                  <c:v>0.2608695652173913</c:v>
                </c:pt>
                <c:pt idx="7">
                  <c:v>0.30434782608695654</c:v>
                </c:pt>
                <c:pt idx="8">
                  <c:v>0.34782608695652173</c:v>
                </c:pt>
                <c:pt idx="9">
                  <c:v>0.39130434782608692</c:v>
                </c:pt>
                <c:pt idx="10">
                  <c:v>0.43478260869565211</c:v>
                </c:pt>
                <c:pt idx="11">
                  <c:v>0.47826086956521729</c:v>
                </c:pt>
                <c:pt idx="12">
                  <c:v>0.52173913043478248</c:v>
                </c:pt>
                <c:pt idx="13">
                  <c:v>0.56521739130434767</c:v>
                </c:pt>
                <c:pt idx="14">
                  <c:v>0.60869565217391286</c:v>
                </c:pt>
                <c:pt idx="15">
                  <c:v>0.65217391304347805</c:v>
                </c:pt>
                <c:pt idx="16">
                  <c:v>0.69565217391304324</c:v>
                </c:pt>
                <c:pt idx="17">
                  <c:v>0.73913043478260843</c:v>
                </c:pt>
                <c:pt idx="18">
                  <c:v>0.78260869565217361</c:v>
                </c:pt>
                <c:pt idx="19">
                  <c:v>0.8260869565217388</c:v>
                </c:pt>
                <c:pt idx="20">
                  <c:v>0.86956521739130399</c:v>
                </c:pt>
                <c:pt idx="21">
                  <c:v>0.91304347826086918</c:v>
                </c:pt>
                <c:pt idx="22">
                  <c:v>0.95652173913043437</c:v>
                </c:pt>
                <c:pt idx="23">
                  <c:v>0.99999999999999956</c:v>
                </c:pt>
              </c:numCache>
            </c:numRef>
          </c:yVal>
          <c:smooth val="1"/>
        </c:ser>
        <c:axId val="160462336"/>
        <c:axId val="160463872"/>
      </c:scatterChart>
      <c:valAx>
        <c:axId val="160462336"/>
        <c:scaling>
          <c:orientation val="minMax"/>
          <c:min val="-0.15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63872"/>
        <c:crosses val="autoZero"/>
        <c:crossBetween val="midCat"/>
      </c:valAx>
      <c:valAx>
        <c:axId val="1604638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2.8555593124627455E-2"/>
              <c:y val="0.468529950057387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62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8</xdr:row>
      <xdr:rowOff>57150</xdr:rowOff>
    </xdr:from>
    <xdr:to>
      <xdr:col>17</xdr:col>
      <xdr:colOff>19050</xdr:colOff>
      <xdr:row>21</xdr:row>
      <xdr:rowOff>142875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0" y="1276350"/>
          <a:ext cx="4724400" cy="20955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1524000</xdr:colOff>
      <xdr:row>285</xdr:row>
      <xdr:rowOff>123825</xdr:rowOff>
    </xdr:from>
    <xdr:to>
      <xdr:col>8</xdr:col>
      <xdr:colOff>0</xdr:colOff>
      <xdr:row>313</xdr:row>
      <xdr:rowOff>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24200" y="43862625"/>
          <a:ext cx="3286125" cy="41433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18</xdr:col>
      <xdr:colOff>304800</xdr:colOff>
      <xdr:row>116</xdr:row>
      <xdr:rowOff>95250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504825</xdr:colOff>
      <xdr:row>225</xdr:row>
      <xdr:rowOff>38100</xdr:rowOff>
    </xdr:from>
    <xdr:to>
      <xdr:col>21</xdr:col>
      <xdr:colOff>619125</xdr:colOff>
      <xdr:row>241</xdr:row>
      <xdr:rowOff>47625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619125</xdr:colOff>
      <xdr:row>225</xdr:row>
      <xdr:rowOff>38100</xdr:rowOff>
    </xdr:from>
    <xdr:to>
      <xdr:col>29</xdr:col>
      <xdr:colOff>514350</xdr:colOff>
      <xdr:row>241</xdr:row>
      <xdr:rowOff>47625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523875</xdr:colOff>
      <xdr:row>241</xdr:row>
      <xdr:rowOff>28575</xdr:rowOff>
    </xdr:from>
    <xdr:to>
      <xdr:col>21</xdr:col>
      <xdr:colOff>628650</xdr:colOff>
      <xdr:row>258</xdr:row>
      <xdr:rowOff>123825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628650</xdr:colOff>
      <xdr:row>241</xdr:row>
      <xdr:rowOff>28575</xdr:rowOff>
    </xdr:from>
    <xdr:to>
      <xdr:col>29</xdr:col>
      <xdr:colOff>523875</xdr:colOff>
      <xdr:row>258</xdr:row>
      <xdr:rowOff>123825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342900</xdr:colOff>
      <xdr:row>97</xdr:row>
      <xdr:rowOff>57150</xdr:rowOff>
    </xdr:from>
    <xdr:to>
      <xdr:col>27</xdr:col>
      <xdr:colOff>523875</xdr:colOff>
      <xdr:row>113</xdr:row>
      <xdr:rowOff>142875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542925</xdr:colOff>
      <xdr:row>97</xdr:row>
      <xdr:rowOff>57150</xdr:rowOff>
    </xdr:from>
    <xdr:to>
      <xdr:col>35</xdr:col>
      <xdr:colOff>704850</xdr:colOff>
      <xdr:row>113</xdr:row>
      <xdr:rowOff>114300</xdr:rowOff>
    </xdr:to>
    <xdr:graphicFrame macro="">
      <xdr:nvGraphicFramePr>
        <xdr:cNvPr id="104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342900</xdr:colOff>
      <xdr:row>113</xdr:row>
      <xdr:rowOff>133350</xdr:rowOff>
    </xdr:from>
    <xdr:to>
      <xdr:col>27</xdr:col>
      <xdr:colOff>514350</xdr:colOff>
      <xdr:row>130</xdr:row>
      <xdr:rowOff>104775</xdr:rowOff>
    </xdr:to>
    <xdr:graphicFrame macro="">
      <xdr:nvGraphicFramePr>
        <xdr:cNvPr id="104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552450</xdr:colOff>
      <xdr:row>114</xdr:row>
      <xdr:rowOff>0</xdr:rowOff>
    </xdr:from>
    <xdr:to>
      <xdr:col>35</xdr:col>
      <xdr:colOff>704850</xdr:colOff>
      <xdr:row>130</xdr:row>
      <xdr:rowOff>104775</xdr:rowOff>
    </xdr:to>
    <xdr:graphicFrame macro="">
      <xdr:nvGraphicFramePr>
        <xdr:cNvPr id="104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9"/>
  <sheetViews>
    <sheetView topLeftCell="U1" workbookViewId="0">
      <selection activeCell="U1" sqref="U1"/>
    </sheetView>
  </sheetViews>
  <sheetFormatPr defaultRowHeight="12"/>
  <cols>
    <col min="29" max="48" width="12.28515625" customWidth="1"/>
  </cols>
  <sheetData>
    <row r="1" spans="1:48">
      <c r="A1" t="s">
        <v>166</v>
      </c>
      <c r="AB1" t="s">
        <v>124</v>
      </c>
      <c r="AC1">
        <f>_xll.CDFDEV(Sheet1!$A$352:$A$361,SimData!B8:B108)</f>
        <v>0.11200492504644503</v>
      </c>
      <c r="AD1">
        <f>_xll.CDFDEV(Sheet1!$A$352:$A$361,SimData!C8:C108)</f>
        <v>8.7512238725132221</v>
      </c>
      <c r="AE1">
        <f>_xll.CDFDEV(Sheet1!$A$352:$A$361,SimData!D8:D108)</f>
        <v>33.730911460488784</v>
      </c>
      <c r="AF1">
        <f>_xll.CDFDEV(Sheet1!$A$352:$A$361,SimData!E8:E108)</f>
        <v>13.580901782685237</v>
      </c>
      <c r="AG1">
        <f>_xll.CDFDEV(Sheet1!$A$352:$A$361,SimData!F8:F108)</f>
        <v>5.0033527310076424</v>
      </c>
      <c r="AH1">
        <f>_xll.CDFDEV(Sheet1!$A$352:$A$361,SimData!G8:G108)</f>
        <v>11.962343990426897</v>
      </c>
      <c r="AI1">
        <f>_xll.CDFDEV(Sheet1!$A$352:$A$361,SimData!H8:H108)</f>
        <v>419.75143250588826</v>
      </c>
      <c r="AJ1">
        <f>_xll.CDFDEV(Sheet1!$A$352:$A$361,SimData!I8:I108)</f>
        <v>111.81698586577149</v>
      </c>
      <c r="AK1">
        <f>_xll.CDFDEV(Sheet1!$A$352:$A$361,SimData!J8:J108)</f>
        <v>2.0816484383059994</v>
      </c>
      <c r="AL1">
        <f>_xll.CDFDEV(Sheet1!$A$352:$A$361,SimData!K8:K108)</f>
        <v>20739270.185046718</v>
      </c>
      <c r="AM1">
        <f>_xll.CDFDEV(Sheet1!$A$352:$A$361,SimData!L8:L108)</f>
        <v>8.5529204913274468E-2</v>
      </c>
      <c r="AN1">
        <f>_xll.CDFDEV(Sheet1!$A$352:$A$361,SimData!M8:M108)</f>
        <v>6.9403729470216478</v>
      </c>
      <c r="AO1">
        <f>_xll.CDFDEV(Sheet1!$A$352:$A$361,SimData!N8:N108)</f>
        <v>12.59806161110771</v>
      </c>
      <c r="AP1">
        <f>_xll.CDFDEV(Sheet1!$A$352:$A$361,SimData!O8:O108)</f>
        <v>6.9666635289753387</v>
      </c>
      <c r="AQ1">
        <f>_xll.CDFDEV(Sheet1!$A$352:$A$361,SimData!P8:P108)</f>
        <v>4.5780266331844421</v>
      </c>
      <c r="AR1">
        <f>_xll.CDFDEV(Sheet1!$A$352:$A$361,SimData!Q8:Q108)</f>
        <v>7.7729722660042677</v>
      </c>
      <c r="AS1">
        <f>_xll.CDFDEV(Sheet1!$A$352:$A$361,SimData!R8:R108)</f>
        <v>21.070852229799858</v>
      </c>
      <c r="AT1">
        <f>_xll.CDFDEV(Sheet1!$A$352:$A$361,SimData!S8:S108)</f>
        <v>12.570230967375432</v>
      </c>
      <c r="AU1">
        <f>_xll.CDFDEV(Sheet1!$A$352:$A$361,SimData!T8:T108)</f>
        <v>2.5469834120607167</v>
      </c>
      <c r="AV1">
        <f>_xll.CDFDEV(Sheet1!$A$352:$A$361,SimData!U8:U108)</f>
        <v>31.690479769225092</v>
      </c>
    </row>
    <row r="2" spans="1:48">
      <c r="A2" t="s">
        <v>110</v>
      </c>
      <c r="B2" t="str">
        <f ca="1">ADDRESS(ROW(Sheet1!$B$376),COLUMN(Sheet1!$B$376),4,,_xll.WSNAME(Sheet1!$B$376))</f>
        <v>Sheet1!B376</v>
      </c>
      <c r="C2" t="str">
        <f ca="1">ADDRESS(ROW(Sheet1!$B$377),COLUMN(Sheet1!$B$377),4,,_xll.WSNAME(Sheet1!$B$377))</f>
        <v>Sheet1!B377</v>
      </c>
      <c r="D2" t="str">
        <f ca="1">ADDRESS(ROW(Sheet1!$B$378),COLUMN(Sheet1!$B$378),4,,_xll.WSNAME(Sheet1!$B$378))</f>
        <v>Sheet1!B378</v>
      </c>
      <c r="E2" t="str">
        <f ca="1">ADDRESS(ROW(Sheet1!$B$379),COLUMN(Sheet1!$B$379),4,,_xll.WSNAME(Sheet1!$B$379))</f>
        <v>Sheet1!B379</v>
      </c>
      <c r="F2" t="str">
        <f ca="1">ADDRESS(ROW(Sheet1!$B$380),COLUMN(Sheet1!$B$380),4,,_xll.WSNAME(Sheet1!$B$380))</f>
        <v>Sheet1!B380</v>
      </c>
      <c r="G2" t="str">
        <f ca="1">ADDRESS(ROW(Sheet1!$B$381),COLUMN(Sheet1!$B$381),4,,_xll.WSNAME(Sheet1!$B$381))</f>
        <v>Sheet1!B381</v>
      </c>
      <c r="H2" t="str">
        <f ca="1">ADDRESS(ROW(Sheet1!$B$382),COLUMN(Sheet1!$B$382),4,,_xll.WSNAME(Sheet1!$B$382))</f>
        <v>Sheet1!B382</v>
      </c>
      <c r="I2" t="str">
        <f ca="1">ADDRESS(ROW(Sheet1!$B$383),COLUMN(Sheet1!$B$383),4,,_xll.WSNAME(Sheet1!$B$383))</f>
        <v>Sheet1!B383</v>
      </c>
      <c r="J2" t="str">
        <f ca="1">ADDRESS(ROW(Sheet1!$B$384),COLUMN(Sheet1!$B$384),4,,_xll.WSNAME(Sheet1!$B$384))</f>
        <v>Sheet1!B384</v>
      </c>
      <c r="K2" t="str">
        <f ca="1">ADDRESS(ROW(Sheet1!$B$385),COLUMN(Sheet1!$B$385),4,,_xll.WSNAME(Sheet1!$B$385))</f>
        <v>Sheet1!B385</v>
      </c>
      <c r="L2" t="str">
        <f ca="1">ADDRESS(ROW(Sheet1!$D$376),COLUMN(Sheet1!$D$376),4,,_xll.WSNAME(Sheet1!$D$376))</f>
        <v>Sheet1!D376</v>
      </c>
      <c r="M2" t="str">
        <f ca="1">ADDRESS(ROW(Sheet1!$D$377),COLUMN(Sheet1!$D$377),4,,_xll.WSNAME(Sheet1!$D$377))</f>
        <v>Sheet1!D377</v>
      </c>
      <c r="N2" t="str">
        <f ca="1">ADDRESS(ROW(Sheet1!$D$378),COLUMN(Sheet1!$D$378),4,,_xll.WSNAME(Sheet1!$D$378))</f>
        <v>Sheet1!D378</v>
      </c>
      <c r="O2" t="str">
        <f ca="1">ADDRESS(ROW(Sheet1!$D$379),COLUMN(Sheet1!$D$379),4,,_xll.WSNAME(Sheet1!$D$379))</f>
        <v>Sheet1!D379</v>
      </c>
      <c r="P2" t="str">
        <f ca="1">ADDRESS(ROW(Sheet1!$D$380),COLUMN(Sheet1!$D$380),4,,_xll.WSNAME(Sheet1!$D$380))</f>
        <v>Sheet1!D380</v>
      </c>
      <c r="Q2" t="str">
        <f ca="1">ADDRESS(ROW(Sheet1!$D$381),COLUMN(Sheet1!$D$381),4,,_xll.WSNAME(Sheet1!$D$381))</f>
        <v>Sheet1!D381</v>
      </c>
      <c r="R2" t="str">
        <f ca="1">ADDRESS(ROW(Sheet1!$D$382),COLUMN(Sheet1!$D$382),4,,_xll.WSNAME(Sheet1!$D$382))</f>
        <v>Sheet1!D382</v>
      </c>
      <c r="S2" t="str">
        <f ca="1">ADDRESS(ROW(Sheet1!$D$383),COLUMN(Sheet1!$D$383),4,,_xll.WSNAME(Sheet1!$D$383))</f>
        <v>Sheet1!D383</v>
      </c>
      <c r="T2" t="str">
        <f ca="1">ADDRESS(ROW(Sheet1!$D$384),COLUMN(Sheet1!$D$384),4,,_xll.WSNAME(Sheet1!$D$384))</f>
        <v>Sheet1!D384</v>
      </c>
      <c r="U2" t="str">
        <f ca="1">ADDRESS(ROW(Sheet1!$D$385),COLUMN(Sheet1!$D$385),4,,_xll.WSNAME(Sheet1!$D$385))</f>
        <v>Sheet1!D385</v>
      </c>
      <c r="AC2" t="str">
        <f>B8</f>
        <v>Beta MLE</v>
      </c>
      <c r="AD2" t="str">
        <f t="shared" ref="AD2:AV2" si="0">C8</f>
        <v>Double Exponential MLE</v>
      </c>
      <c r="AE2" t="str">
        <f t="shared" si="0"/>
        <v>Exponential MLE</v>
      </c>
      <c r="AF2" t="str">
        <f t="shared" si="0"/>
        <v>Gamma MLE</v>
      </c>
      <c r="AG2" t="str">
        <f t="shared" si="0"/>
        <v>Logistic MLE</v>
      </c>
      <c r="AH2" t="str">
        <f t="shared" si="0"/>
        <v>Log-Log MLE</v>
      </c>
      <c r="AI2" t="str">
        <f t="shared" si="0"/>
        <v>Log-Logistic MLE</v>
      </c>
      <c r="AJ2" t="str">
        <f t="shared" si="0"/>
        <v>Lognormal MLE</v>
      </c>
      <c r="AK2" t="str">
        <f t="shared" si="0"/>
        <v>Normal MLE</v>
      </c>
      <c r="AL2" t="str">
        <f t="shared" si="0"/>
        <v>Pareto MLE</v>
      </c>
      <c r="AM2" t="str">
        <f t="shared" si="0"/>
        <v>Beta MOM</v>
      </c>
      <c r="AN2" t="str">
        <f t="shared" si="0"/>
        <v>Double Exponential MOM</v>
      </c>
      <c r="AO2" t="str">
        <f t="shared" si="0"/>
        <v>Exponential MOM</v>
      </c>
      <c r="AP2" t="str">
        <f t="shared" si="0"/>
        <v>Gamma MOM</v>
      </c>
      <c r="AQ2" t="str">
        <f t="shared" si="0"/>
        <v>Logistic MOM</v>
      </c>
      <c r="AR2" t="str">
        <f t="shared" si="0"/>
        <v>Log-Log MOM</v>
      </c>
      <c r="AS2" t="str">
        <f t="shared" si="0"/>
        <v>Log-Logistic MOM</v>
      </c>
      <c r="AT2" t="str">
        <f t="shared" si="0"/>
        <v>Lognormal MOM</v>
      </c>
      <c r="AU2" t="str">
        <f t="shared" si="0"/>
        <v>Normal MOM</v>
      </c>
      <c r="AV2" t="str">
        <f t="shared" si="0"/>
        <v>Pareto MOM</v>
      </c>
    </row>
    <row r="3" spans="1:48">
      <c r="A3" t="s">
        <v>4</v>
      </c>
      <c r="B3">
        <f t="shared" ref="B3:U3" si="1">AVERAGE(B9:B108)</f>
        <v>2.6692751672651616</v>
      </c>
      <c r="C3">
        <f t="shared" si="1"/>
        <v>2.710242387208849</v>
      </c>
      <c r="D3">
        <f t="shared" si="1"/>
        <v>2.9575610868844793</v>
      </c>
      <c r="E3">
        <f t="shared" si="1"/>
        <v>2.9514938839711222</v>
      </c>
      <c r="F3">
        <f t="shared" si="1"/>
        <v>2.9791129043801359</v>
      </c>
      <c r="G3">
        <f t="shared" si="1"/>
        <v>3.0192881697938834</v>
      </c>
      <c r="H3">
        <f t="shared" si="1"/>
        <v>3.7584343096123836</v>
      </c>
      <c r="I3">
        <f t="shared" si="1"/>
        <v>3.2582772805438371</v>
      </c>
      <c r="J3">
        <f t="shared" si="1"/>
        <v>2.9456368026390489</v>
      </c>
      <c r="K3">
        <f t="shared" si="1"/>
        <v>94.318782579247042</v>
      </c>
      <c r="L3">
        <f t="shared" si="1"/>
        <v>2.9171594672467558</v>
      </c>
      <c r="M3">
        <f t="shared" si="1"/>
        <v>2.9513710612095747</v>
      </c>
      <c r="N3">
        <f t="shared" si="1"/>
        <v>2.9524680172816602</v>
      </c>
      <c r="O3">
        <f t="shared" si="1"/>
        <v>2.9490700949039943</v>
      </c>
      <c r="P3">
        <f t="shared" si="1"/>
        <v>2.9492159703846186</v>
      </c>
      <c r="Q3">
        <f t="shared" si="1"/>
        <v>2.9500717851625353</v>
      </c>
      <c r="R3">
        <f t="shared" si="1"/>
        <v>2.9574685392865856</v>
      </c>
      <c r="S3">
        <f t="shared" si="1"/>
        <v>2.9529651065422797</v>
      </c>
      <c r="T3">
        <f t="shared" si="1"/>
        <v>2.9458335265799689</v>
      </c>
      <c r="U3">
        <f t="shared" si="1"/>
        <v>2.9613995279707002</v>
      </c>
    </row>
    <row r="4" spans="1:48">
      <c r="A4" t="s">
        <v>111</v>
      </c>
      <c r="B4">
        <f t="shared" ref="B4:U4" si="2">STDEV(B9:B108)</f>
        <v>1.6816944388893789</v>
      </c>
      <c r="C4">
        <f t="shared" si="2"/>
        <v>1.8281829888152534</v>
      </c>
      <c r="D4">
        <f t="shared" si="2"/>
        <v>2.5376012882372594</v>
      </c>
      <c r="E4">
        <f t="shared" si="2"/>
        <v>2.0352549841960328</v>
      </c>
      <c r="F4">
        <f t="shared" si="2"/>
        <v>1.7133700705039288</v>
      </c>
      <c r="G4">
        <f t="shared" si="2"/>
        <v>1.9627382127220443</v>
      </c>
      <c r="H4">
        <f t="shared" si="2"/>
        <v>4.8483090176437527</v>
      </c>
      <c r="I4">
        <f t="shared" si="2"/>
        <v>3.3048813457929147</v>
      </c>
      <c r="J4">
        <f t="shared" si="2"/>
        <v>1.585444356006213</v>
      </c>
      <c r="K4">
        <f t="shared" si="2"/>
        <v>840.0157256408196</v>
      </c>
      <c r="L4">
        <f t="shared" si="2"/>
        <v>1.645660687526278</v>
      </c>
      <c r="M4">
        <f t="shared" si="2"/>
        <v>1.6726583696902766</v>
      </c>
      <c r="N4">
        <f t="shared" si="2"/>
        <v>1.7070564759665994</v>
      </c>
      <c r="O4">
        <f t="shared" si="2"/>
        <v>1.6907984367716091</v>
      </c>
      <c r="P4">
        <f t="shared" si="2"/>
        <v>1.6714333941253834</v>
      </c>
      <c r="Q4">
        <f t="shared" si="2"/>
        <v>1.6930580689739512</v>
      </c>
      <c r="R4">
        <f t="shared" si="2"/>
        <v>1.6922509643105281</v>
      </c>
      <c r="S4">
        <f t="shared" si="2"/>
        <v>1.7065691381066803</v>
      </c>
      <c r="T4">
        <f t="shared" si="2"/>
        <v>1.6712050894794963</v>
      </c>
      <c r="U4">
        <f t="shared" si="2"/>
        <v>1.6246679207275476</v>
      </c>
    </row>
    <row r="5" spans="1:48">
      <c r="A5" t="s">
        <v>112</v>
      </c>
      <c r="B5">
        <f t="shared" ref="B5:U5" si="3">100*B4/B3</f>
        <v>63.001913759696016</v>
      </c>
      <c r="C5">
        <f t="shared" si="3"/>
        <v>67.454593635000037</v>
      </c>
      <c r="D5">
        <f t="shared" si="3"/>
        <v>85.800469159891165</v>
      </c>
      <c r="E5">
        <f t="shared" si="3"/>
        <v>68.956774576055537</v>
      </c>
      <c r="F5">
        <f t="shared" si="3"/>
        <v>57.512760526289277</v>
      </c>
      <c r="G5">
        <f t="shared" si="3"/>
        <v>65.006653964269788</v>
      </c>
      <c r="H5">
        <f t="shared" si="3"/>
        <v>128.99810448313437</v>
      </c>
      <c r="I5">
        <f t="shared" si="3"/>
        <v>101.43032839861004</v>
      </c>
      <c r="J5">
        <f t="shared" si="3"/>
        <v>53.823484096402687</v>
      </c>
      <c r="K5">
        <f t="shared" si="3"/>
        <v>890.6134098317425</v>
      </c>
      <c r="L5">
        <f t="shared" si="3"/>
        <v>56.413120571686441</v>
      </c>
      <c r="M5">
        <f t="shared" si="3"/>
        <v>56.673943567257275</v>
      </c>
      <c r="N5">
        <f t="shared" si="3"/>
        <v>57.817949795719976</v>
      </c>
      <c r="O5">
        <f t="shared" si="3"/>
        <v>57.333273959588688</v>
      </c>
      <c r="P5">
        <f t="shared" si="3"/>
        <v>56.673821480337551</v>
      </c>
      <c r="Q5">
        <f t="shared" si="3"/>
        <v>57.390402412891504</v>
      </c>
      <c r="R5">
        <f t="shared" si="3"/>
        <v>57.219576196024072</v>
      </c>
      <c r="S5">
        <f t="shared" si="3"/>
        <v>57.791713634739025</v>
      </c>
      <c r="T5">
        <f t="shared" si="3"/>
        <v>56.731145001928169</v>
      </c>
      <c r="U5">
        <f t="shared" si="3"/>
        <v>54.861490500771836</v>
      </c>
    </row>
    <row r="6" spans="1:48">
      <c r="A6" t="s">
        <v>11</v>
      </c>
      <c r="B6">
        <f t="shared" ref="B6:U6" si="4">MIN(B9:B108)</f>
        <v>0.48010272990912195</v>
      </c>
      <c r="C6">
        <f t="shared" si="4"/>
        <v>-2.9966237479132705</v>
      </c>
      <c r="D6">
        <f t="shared" si="4"/>
        <v>0.49441140870511435</v>
      </c>
      <c r="E6">
        <f t="shared" si="4"/>
        <v>0.20008403694777227</v>
      </c>
      <c r="F6">
        <f t="shared" si="4"/>
        <v>-1.8373529345055961</v>
      </c>
      <c r="G6">
        <f t="shared" si="4"/>
        <v>-0.30594225874596859</v>
      </c>
      <c r="H6">
        <f t="shared" si="4"/>
        <v>0.25497398476576044</v>
      </c>
      <c r="I6">
        <f t="shared" si="4"/>
        <v>0.2896684184520022</v>
      </c>
      <c r="J6">
        <f t="shared" si="4"/>
        <v>-1.020402711816915</v>
      </c>
      <c r="K6">
        <f t="shared" si="4"/>
        <v>0.48442441140239278</v>
      </c>
      <c r="L6">
        <f t="shared" si="4"/>
        <v>0.48081766396760939</v>
      </c>
      <c r="M6">
        <f t="shared" si="4"/>
        <v>-2.2700085621726616</v>
      </c>
      <c r="N6">
        <f t="shared" si="4"/>
        <v>1.2954954940954264</v>
      </c>
      <c r="O6">
        <f t="shared" si="4"/>
        <v>0.3780584391507561</v>
      </c>
      <c r="P6">
        <f t="shared" si="4"/>
        <v>-1.7493614025760231</v>
      </c>
      <c r="Q6">
        <f t="shared" si="4"/>
        <v>8.1727870652752888E-2</v>
      </c>
      <c r="R6">
        <f t="shared" si="4"/>
        <v>0.67367648852555462</v>
      </c>
      <c r="S6">
        <f t="shared" si="4"/>
        <v>0.68267300127906516</v>
      </c>
      <c r="T6">
        <f t="shared" si="4"/>
        <v>-1.2347391920564115</v>
      </c>
      <c r="U6">
        <f t="shared" si="4"/>
        <v>1.9775619949864134</v>
      </c>
    </row>
    <row r="7" spans="1:48">
      <c r="A7" t="s">
        <v>12</v>
      </c>
      <c r="B7">
        <f t="shared" ref="B7:U7" si="5">MAX(B9:B108)</f>
        <v>5.1499473911523825</v>
      </c>
      <c r="C7">
        <f t="shared" si="5"/>
        <v>9.7911239894702646</v>
      </c>
      <c r="D7">
        <f t="shared" si="5"/>
        <v>15.825862157035299</v>
      </c>
      <c r="E7">
        <f t="shared" si="5"/>
        <v>11.916630899305311</v>
      </c>
      <c r="F7">
        <f t="shared" si="5"/>
        <v>8.8041749097178883</v>
      </c>
      <c r="G7">
        <f t="shared" si="5"/>
        <v>11.475436645206781</v>
      </c>
      <c r="H7">
        <f t="shared" si="5"/>
        <v>42.908772940160489</v>
      </c>
      <c r="I7">
        <f t="shared" si="5"/>
        <v>24.6215816725202</v>
      </c>
      <c r="J7">
        <f t="shared" si="5"/>
        <v>7.4733434418289022</v>
      </c>
      <c r="K7">
        <f t="shared" si="5"/>
        <v>8402.3801825967203</v>
      </c>
      <c r="L7">
        <f t="shared" si="5"/>
        <v>5.1499659886583693</v>
      </c>
      <c r="M7">
        <f t="shared" si="5"/>
        <v>9.4298778350220935</v>
      </c>
      <c r="N7">
        <f t="shared" si="5"/>
        <v>11.609035452959528</v>
      </c>
      <c r="O7">
        <f t="shared" si="5"/>
        <v>9.9790246271939402</v>
      </c>
      <c r="P7">
        <f t="shared" si="5"/>
        <v>8.6317029743212075</v>
      </c>
      <c r="Q7">
        <f t="shared" si="5"/>
        <v>10.244345833500443</v>
      </c>
      <c r="R7">
        <f t="shared" si="5"/>
        <v>13.558276902072203</v>
      </c>
      <c r="S7">
        <f t="shared" si="5"/>
        <v>11.641978541008005</v>
      </c>
      <c r="T7">
        <f t="shared" si="5"/>
        <v>7.7184553788820089</v>
      </c>
      <c r="U7">
        <f t="shared" si="5"/>
        <v>15.353062307412557</v>
      </c>
    </row>
    <row r="8" spans="1:48">
      <c r="A8" t="s">
        <v>113</v>
      </c>
      <c r="B8" t="str">
        <f>Sheet1!$A$376&amp;" "&amp;Sheet1!$B$374</f>
        <v>Beta MLE</v>
      </c>
      <c r="C8" t="str">
        <f>Sheet1!$A$377&amp;" "&amp;Sheet1!$B$374</f>
        <v>Double Exponential MLE</v>
      </c>
      <c r="D8" t="str">
        <f>Sheet1!$A$378&amp;" "&amp;Sheet1!$B$374</f>
        <v>Exponential MLE</v>
      </c>
      <c r="E8" t="str">
        <f>Sheet1!$A$379&amp;" "&amp;Sheet1!$B$374</f>
        <v>Gamma MLE</v>
      </c>
      <c r="F8" t="str">
        <f>Sheet1!$A$380&amp;" "&amp;Sheet1!$B$374</f>
        <v>Logistic MLE</v>
      </c>
      <c r="G8" t="str">
        <f>Sheet1!$A$381&amp;" "&amp;Sheet1!$B$374</f>
        <v>Log-Log MLE</v>
      </c>
      <c r="H8" t="str">
        <f>Sheet1!$A$382&amp;" "&amp;Sheet1!$B$374</f>
        <v>Log-Logistic MLE</v>
      </c>
      <c r="I8" t="str">
        <f>Sheet1!$A$383&amp;" "&amp;Sheet1!$B$374</f>
        <v>Lognormal MLE</v>
      </c>
      <c r="J8" t="str">
        <f>Sheet1!$A$384&amp;" "&amp;Sheet1!$B$374</f>
        <v>Normal MLE</v>
      </c>
      <c r="K8" t="str">
        <f>Sheet1!$A$385&amp;" "&amp;Sheet1!$B$374</f>
        <v>Pareto MLE</v>
      </c>
      <c r="L8" t="str">
        <f>Sheet1!$C$376&amp;" "&amp;Sheet1!$D$375</f>
        <v>Beta MOM</v>
      </c>
      <c r="M8" t="str">
        <f>Sheet1!$C$377&amp;" "&amp;Sheet1!$D$375</f>
        <v>Double Exponential MOM</v>
      </c>
      <c r="N8" t="str">
        <f>Sheet1!$C$378&amp;" "&amp;Sheet1!$D$375</f>
        <v>Exponential MOM</v>
      </c>
      <c r="O8" t="str">
        <f>Sheet1!$C$379&amp;" "&amp;Sheet1!$D$375</f>
        <v>Gamma MOM</v>
      </c>
      <c r="P8" t="str">
        <f>Sheet1!$C$380&amp;" "&amp;Sheet1!$D$375</f>
        <v>Logistic MOM</v>
      </c>
      <c r="Q8" t="str">
        <f>Sheet1!$C$381&amp;" "&amp;Sheet1!$D$375</f>
        <v>Log-Log MOM</v>
      </c>
      <c r="R8" t="str">
        <f>Sheet1!$C$382&amp;" "&amp;Sheet1!$D$375</f>
        <v>Log-Logistic MOM</v>
      </c>
      <c r="S8" t="str">
        <f>Sheet1!$C$383&amp;" "&amp;Sheet1!$D$375</f>
        <v>Lognormal MOM</v>
      </c>
      <c r="T8" t="str">
        <f>Sheet1!$C$384&amp;" "&amp;Sheet1!$D$375</f>
        <v>Normal MOM</v>
      </c>
      <c r="U8" t="str">
        <f>Sheet1!$C$385&amp;" "&amp;Sheet1!$D$375</f>
        <v>Pareto MOM</v>
      </c>
    </row>
    <row r="9" spans="1:48">
      <c r="A9">
        <v>1</v>
      </c>
      <c r="B9">
        <v>2.6255814266204833</v>
      </c>
      <c r="C9">
        <v>2.7291791379055685</v>
      </c>
      <c r="D9">
        <v>2.2426526066038277</v>
      </c>
      <c r="E9">
        <v>2.5594247941401154</v>
      </c>
      <c r="F9">
        <v>3.0139157148704445</v>
      </c>
      <c r="G9">
        <v>2.7434303694584781</v>
      </c>
      <c r="H9">
        <v>2.6382109378451881</v>
      </c>
      <c r="I9">
        <v>2.3554414400844985</v>
      </c>
      <c r="J9">
        <v>2.9863887864236833</v>
      </c>
      <c r="K9">
        <v>1.4744096084285496</v>
      </c>
      <c r="L9">
        <v>3.0799259090423585</v>
      </c>
      <c r="M9">
        <v>2.9686968512105705</v>
      </c>
      <c r="N9">
        <v>2.4715456767061363</v>
      </c>
      <c r="O9">
        <v>2.6818371503253324</v>
      </c>
      <c r="P9">
        <v>2.9831669426026703</v>
      </c>
      <c r="Q9">
        <v>2.7121168344105788</v>
      </c>
      <c r="R9">
        <v>2.6473261682932026</v>
      </c>
      <c r="S9">
        <v>2.6019664288018438</v>
      </c>
      <c r="T9">
        <v>2.9887898892231997</v>
      </c>
      <c r="U9">
        <v>2.4981813882799613</v>
      </c>
    </row>
    <row r="10" spans="1:48">
      <c r="A10">
        <v>2</v>
      </c>
      <c r="B10">
        <v>1.3149720001220704</v>
      </c>
      <c r="C10">
        <v>2.1226499241655334</v>
      </c>
      <c r="D10">
        <v>1.4239965959503227</v>
      </c>
      <c r="E10">
        <v>1.7498677556056097</v>
      </c>
      <c r="F10">
        <v>2.2596146197470004</v>
      </c>
      <c r="G10">
        <v>1.9441638066632001</v>
      </c>
      <c r="H10">
        <v>1.8345133836338048</v>
      </c>
      <c r="I10">
        <v>1.5614986186998165</v>
      </c>
      <c r="J10">
        <v>2.2004538456602911</v>
      </c>
      <c r="K10">
        <v>0.87550403939674193</v>
      </c>
      <c r="L10">
        <v>1.7241341114044189</v>
      </c>
      <c r="M10">
        <v>2.4137654400604296</v>
      </c>
      <c r="N10">
        <v>1.9208318781858764</v>
      </c>
      <c r="O10">
        <v>1.9718835042807283</v>
      </c>
      <c r="P10">
        <v>2.2473282225742168</v>
      </c>
      <c r="Q10">
        <v>2.0226694620455654</v>
      </c>
      <c r="R10">
        <v>2.1399016104985749</v>
      </c>
      <c r="S10">
        <v>2.0013391206882978</v>
      </c>
      <c r="T10">
        <v>2.1603417207159219</v>
      </c>
      <c r="U10">
        <v>2.239221346335309</v>
      </c>
    </row>
    <row r="11" spans="1:48">
      <c r="A11">
        <v>3</v>
      </c>
      <c r="B11">
        <v>3.2003973865509034</v>
      </c>
      <c r="C11">
        <v>2.9418693973138841</v>
      </c>
      <c r="D11">
        <v>2.6517490274345095</v>
      </c>
      <c r="E11">
        <v>2.9224028807087779</v>
      </c>
      <c r="F11">
        <v>3.2972885454660195</v>
      </c>
      <c r="G11">
        <v>3.0842080195702168</v>
      </c>
      <c r="H11">
        <v>3.0240357516053358</v>
      </c>
      <c r="I11">
        <v>2.7518009803887038</v>
      </c>
      <c r="J11">
        <v>3.2837367787084863</v>
      </c>
      <c r="K11">
        <v>1.9130843456725579</v>
      </c>
      <c r="L11">
        <v>3.5982472038269044</v>
      </c>
      <c r="M11">
        <v>3.1632934231770684</v>
      </c>
      <c r="N11">
        <v>2.7467467879724694</v>
      </c>
      <c r="O11">
        <v>2.9901018812067903</v>
      </c>
      <c r="P11">
        <v>3.2596039016689478</v>
      </c>
      <c r="Q11">
        <v>3.0060716504466414</v>
      </c>
      <c r="R11">
        <v>2.8676427318220163</v>
      </c>
      <c r="S11">
        <v>2.8735905059432878</v>
      </c>
      <c r="T11">
        <v>3.3022221936559171</v>
      </c>
      <c r="U11">
        <v>2.6386026565546294</v>
      </c>
    </row>
    <row r="12" spans="1:48">
      <c r="A12">
        <v>4</v>
      </c>
      <c r="B12">
        <v>4.6022422456741339</v>
      </c>
      <c r="C12">
        <v>3.8448172130241325</v>
      </c>
      <c r="D12">
        <v>4.3885127167146898</v>
      </c>
      <c r="E12">
        <v>4.3171112949342501</v>
      </c>
      <c r="F12">
        <v>4.2436187947643242</v>
      </c>
      <c r="G12">
        <v>4.3544833451829863</v>
      </c>
      <c r="H12">
        <v>4.770294725330678</v>
      </c>
      <c r="I12">
        <v>4.5369507653331649</v>
      </c>
      <c r="J12">
        <v>4.2396700911416083</v>
      </c>
      <c r="K12">
        <v>5.7803308435113845</v>
      </c>
      <c r="L12">
        <v>4.7435791158676146</v>
      </c>
      <c r="M12">
        <v>3.9894269287295163</v>
      </c>
      <c r="N12">
        <v>3.9150759958555703</v>
      </c>
      <c r="O12">
        <v>4.1381544781313675</v>
      </c>
      <c r="P12">
        <v>4.1827716444572731</v>
      </c>
      <c r="Q12">
        <v>4.1018112024190643</v>
      </c>
      <c r="R12">
        <v>3.7451158478505095</v>
      </c>
      <c r="S12">
        <v>3.9542130848121984</v>
      </c>
      <c r="T12">
        <v>4.3098643798285909</v>
      </c>
      <c r="U12">
        <v>3.3281395779638943</v>
      </c>
    </row>
    <row r="13" spans="1:48">
      <c r="A13">
        <v>5</v>
      </c>
      <c r="B13">
        <v>5.1018047285079948</v>
      </c>
      <c r="C13">
        <v>5.4262972863437247</v>
      </c>
      <c r="D13">
        <v>7.4303907952403438</v>
      </c>
      <c r="E13">
        <v>6.4945590613815884</v>
      </c>
      <c r="F13">
        <v>5.5568220132157169</v>
      </c>
      <c r="G13">
        <v>6.3264022140998808</v>
      </c>
      <c r="H13">
        <v>8.9794120597937805</v>
      </c>
      <c r="I13">
        <v>8.291616712893326</v>
      </c>
      <c r="J13">
        <v>5.3925072436302406</v>
      </c>
      <c r="K13">
        <v>40.090176873447732</v>
      </c>
      <c r="L13">
        <v>5.1159239411354065</v>
      </c>
      <c r="M13">
        <v>5.4363695473405045</v>
      </c>
      <c r="N13">
        <v>5.9613618710708689</v>
      </c>
      <c r="O13">
        <v>5.8606552864562698</v>
      </c>
      <c r="P13">
        <v>5.4638327242431624</v>
      </c>
      <c r="Q13">
        <v>5.8027885058321305</v>
      </c>
      <c r="R13">
        <v>5.4244177587280147</v>
      </c>
      <c r="S13">
        <v>5.8110074847843354</v>
      </c>
      <c r="T13">
        <v>5.5250614375375671</v>
      </c>
      <c r="U13">
        <v>4.99801176338348</v>
      </c>
    </row>
    <row r="14" spans="1:48">
      <c r="A14">
        <v>6</v>
      </c>
      <c r="B14">
        <v>4.3225235080718996</v>
      </c>
      <c r="C14">
        <v>3.5648551042574637</v>
      </c>
      <c r="D14">
        <v>3.8500230981338004</v>
      </c>
      <c r="E14">
        <v>3.9028699142567227</v>
      </c>
      <c r="F14">
        <v>3.9781610126018547</v>
      </c>
      <c r="G14">
        <v>3.9805998169166665</v>
      </c>
      <c r="H14">
        <v>4.197738403137298</v>
      </c>
      <c r="I14">
        <v>3.9608992689748121</v>
      </c>
      <c r="J14">
        <v>3.9800688424564683</v>
      </c>
      <c r="K14">
        <v>4.1026007684118326</v>
      </c>
      <c r="L14">
        <v>4.5266525173187251</v>
      </c>
      <c r="M14">
        <v>3.7332813638218294</v>
      </c>
      <c r="N14">
        <v>3.5528314640214007</v>
      </c>
      <c r="O14">
        <v>3.8020493129822324</v>
      </c>
      <c r="P14">
        <v>3.9238112426881933</v>
      </c>
      <c r="Q14">
        <v>3.7792992544248127</v>
      </c>
      <c r="R14">
        <v>3.4749018184823615</v>
      </c>
      <c r="S14">
        <v>3.6258608828779675</v>
      </c>
      <c r="T14">
        <v>4.036220636738979</v>
      </c>
      <c r="U14">
        <v>3.0969885779875272</v>
      </c>
    </row>
    <row r="15" spans="1:48">
      <c r="A15">
        <v>7</v>
      </c>
      <c r="B15">
        <v>0.53384362459182733</v>
      </c>
      <c r="C15">
        <v>0.54002261832343601</v>
      </c>
      <c r="D15">
        <v>0.71894514054895364</v>
      </c>
      <c r="E15">
        <v>0.81257367830737492</v>
      </c>
      <c r="F15">
        <v>0.83424147114410507</v>
      </c>
      <c r="G15">
        <v>0.84735768201849204</v>
      </c>
      <c r="H15">
        <v>0.92332353321141725</v>
      </c>
      <c r="I15">
        <v>0.77424969212948402</v>
      </c>
      <c r="J15">
        <v>0.85926506372183287</v>
      </c>
      <c r="K15">
        <v>0.55886902407701333</v>
      </c>
      <c r="L15">
        <v>0.61683533430099491</v>
      </c>
      <c r="M15">
        <v>0.96577318468305218</v>
      </c>
      <c r="N15">
        <v>1.4465404052064332</v>
      </c>
      <c r="O15">
        <v>1.0800818110857309</v>
      </c>
      <c r="P15">
        <v>0.85684269893960829</v>
      </c>
      <c r="Q15">
        <v>1.0765644504890695</v>
      </c>
      <c r="R15">
        <v>1.4314077593979373</v>
      </c>
      <c r="S15">
        <v>1.2788318219394201</v>
      </c>
      <c r="T15">
        <v>0.74660461298511338</v>
      </c>
      <c r="U15">
        <v>2.0378179192525407</v>
      </c>
    </row>
    <row r="16" spans="1:48">
      <c r="A16">
        <v>8</v>
      </c>
      <c r="B16">
        <v>1.1587821769714355</v>
      </c>
      <c r="C16">
        <v>1.9983026285005749</v>
      </c>
      <c r="D16">
        <v>1.3197262994521402</v>
      </c>
      <c r="E16">
        <v>1.6335936821372767</v>
      </c>
      <c r="F16">
        <v>2.1290414382601326</v>
      </c>
      <c r="G16">
        <v>1.8221702520367518</v>
      </c>
      <c r="H16">
        <v>1.7226891017682358</v>
      </c>
      <c r="I16">
        <v>1.4569023558717469</v>
      </c>
      <c r="J16">
        <v>2.0678973112338817</v>
      </c>
      <c r="K16">
        <v>0.81927030143146751</v>
      </c>
      <c r="L16">
        <v>1.5358913040161133</v>
      </c>
      <c r="M16">
        <v>2.299996443130242</v>
      </c>
      <c r="N16">
        <v>1.8506887529781242</v>
      </c>
      <c r="O16">
        <v>1.8664949402187698</v>
      </c>
      <c r="P16">
        <v>2.1199509678459632</v>
      </c>
      <c r="Q16">
        <v>1.9174378164372206</v>
      </c>
      <c r="R16">
        <v>2.062512335461923</v>
      </c>
      <c r="S16">
        <v>1.9146814960456107</v>
      </c>
      <c r="T16">
        <v>2.0206148648739304</v>
      </c>
      <c r="U16">
        <v>2.2082265657750821</v>
      </c>
    </row>
    <row r="17" spans="1:21">
      <c r="A17">
        <v>9</v>
      </c>
      <c r="B17">
        <v>5.1215043759346006</v>
      </c>
      <c r="C17">
        <v>5.7634421046187807</v>
      </c>
      <c r="D17">
        <v>8.0788677816412733</v>
      </c>
      <c r="E17">
        <v>6.935757162340721</v>
      </c>
      <c r="F17">
        <v>5.8169588971790933</v>
      </c>
      <c r="G17">
        <v>6.7314831872228202</v>
      </c>
      <c r="H17">
        <v>10.178052575304051</v>
      </c>
      <c r="I17">
        <v>9.2174905733538743</v>
      </c>
      <c r="J17">
        <v>5.5948935329068306</v>
      </c>
      <c r="K17">
        <v>60.581934265801856</v>
      </c>
      <c r="L17">
        <v>5.130001400709153</v>
      </c>
      <c r="M17">
        <v>5.7448332544943117</v>
      </c>
      <c r="N17">
        <v>6.3975954292276658</v>
      </c>
      <c r="O17">
        <v>6.2030048897300141</v>
      </c>
      <c r="P17">
        <v>5.7176024628333932</v>
      </c>
      <c r="Q17">
        <v>6.1522113711374651</v>
      </c>
      <c r="R17">
        <v>5.8374604891783397</v>
      </c>
      <c r="S17">
        <v>6.217312684630687</v>
      </c>
      <c r="T17">
        <v>5.738395317972147</v>
      </c>
      <c r="U17">
        <v>5.4506023736682216</v>
      </c>
    </row>
    <row r="18" spans="1:21">
      <c r="A18">
        <v>10</v>
      </c>
      <c r="B18">
        <v>3.7636872768402099</v>
      </c>
      <c r="C18">
        <v>3.1998739540684022</v>
      </c>
      <c r="D18">
        <v>3.1480046670670276</v>
      </c>
      <c r="E18">
        <v>3.3406007459919831</v>
      </c>
      <c r="F18">
        <v>3.5994625756384924</v>
      </c>
      <c r="G18">
        <v>3.469585455789991</v>
      </c>
      <c r="H18">
        <v>3.4978184072297194</v>
      </c>
      <c r="I18">
        <v>3.2419795360306698</v>
      </c>
      <c r="J18">
        <v>3.597146511774735</v>
      </c>
      <c r="K18">
        <v>2.6239151018182567</v>
      </c>
      <c r="L18">
        <v>4.076525650024414</v>
      </c>
      <c r="M18">
        <v>3.3993493781410411</v>
      </c>
      <c r="N18">
        <v>3.0805803209614515</v>
      </c>
      <c r="O18">
        <v>3.3396609453103014</v>
      </c>
      <c r="P18">
        <v>3.5543818796215887</v>
      </c>
      <c r="Q18">
        <v>3.3384982439491449</v>
      </c>
      <c r="R18">
        <v>3.1228136876010826</v>
      </c>
      <c r="S18">
        <v>3.1906373254129186</v>
      </c>
      <c r="T18">
        <v>3.632585059440828</v>
      </c>
      <c r="U18">
        <v>2.8195775022856164</v>
      </c>
    </row>
    <row r="19" spans="1:21">
      <c r="A19">
        <v>11</v>
      </c>
      <c r="B19">
        <v>3.8827291297912598</v>
      </c>
      <c r="C19">
        <v>3.2650857361819887</v>
      </c>
      <c r="D19">
        <v>3.2734354542261288</v>
      </c>
      <c r="E19">
        <v>3.4432808769233647</v>
      </c>
      <c r="F19">
        <v>3.6706279933626398</v>
      </c>
      <c r="G19">
        <v>3.5633790563633858</v>
      </c>
      <c r="H19">
        <v>3.6197952987661748</v>
      </c>
      <c r="I19">
        <v>3.3680336762623595</v>
      </c>
      <c r="J19">
        <v>3.670074699428945</v>
      </c>
      <c r="K19">
        <v>2.8420495056251087</v>
      </c>
      <c r="L19">
        <v>4.1743369102478027</v>
      </c>
      <c r="M19">
        <v>3.4590135549887839</v>
      </c>
      <c r="N19">
        <v>3.1649582090473567</v>
      </c>
      <c r="O19">
        <v>3.424699725275385</v>
      </c>
      <c r="P19">
        <v>3.6238054430062565</v>
      </c>
      <c r="Q19">
        <v>3.4194046079459381</v>
      </c>
      <c r="R19">
        <v>3.1861406806749728</v>
      </c>
      <c r="S19">
        <v>3.2692936061563045</v>
      </c>
      <c r="T19">
        <v>3.7094581189793203</v>
      </c>
      <c r="U19">
        <v>2.8672522405766001</v>
      </c>
    </row>
    <row r="20" spans="1:21">
      <c r="A20">
        <v>12</v>
      </c>
      <c r="B20">
        <v>0.95225709915161127</v>
      </c>
      <c r="C20">
        <v>1.783995201446416</v>
      </c>
      <c r="D20">
        <v>1.1700964985205169</v>
      </c>
      <c r="E20">
        <v>1.4580620091391112</v>
      </c>
      <c r="F20">
        <v>1.915438364951118</v>
      </c>
      <c r="G20">
        <v>1.6327621014047837</v>
      </c>
      <c r="H20">
        <v>1.5542622635804972</v>
      </c>
      <c r="I20">
        <v>1.3030965790205009</v>
      </c>
      <c r="J20">
        <v>1.8545918960445831</v>
      </c>
      <c r="K20">
        <v>0.74482505524324416</v>
      </c>
      <c r="L20">
        <v>1.2709564876556396</v>
      </c>
      <c r="M20">
        <v>2.1039202769357255</v>
      </c>
      <c r="N20">
        <v>1.7500320730410832</v>
      </c>
      <c r="O20">
        <v>1.7052194979607807</v>
      </c>
      <c r="P20">
        <v>1.9115760720994224</v>
      </c>
      <c r="Q20">
        <v>1.754054337337301</v>
      </c>
      <c r="R20">
        <v>1.9418999348775807</v>
      </c>
      <c r="S20">
        <v>1.7830425537915413</v>
      </c>
      <c r="T20">
        <v>1.7957712151252436</v>
      </c>
      <c r="U20">
        <v>2.1644965418482203</v>
      </c>
    </row>
    <row r="21" spans="1:21">
      <c r="A21">
        <v>13</v>
      </c>
      <c r="B21">
        <v>5.0788628172874457</v>
      </c>
      <c r="C21">
        <v>5.1760777982676043</v>
      </c>
      <c r="D21">
        <v>6.9491092486439303</v>
      </c>
      <c r="E21">
        <v>6.1630592195476606</v>
      </c>
      <c r="F21">
        <v>5.3609897811896339</v>
      </c>
      <c r="G21">
        <v>6.0235947033953545</v>
      </c>
      <c r="H21">
        <v>8.1711408212322851</v>
      </c>
      <c r="I21">
        <v>7.6348308724813538</v>
      </c>
      <c r="J21">
        <v>5.2347318703297105</v>
      </c>
      <c r="K21">
        <v>29.509556151910243</v>
      </c>
      <c r="L21">
        <v>5.0994120001792904</v>
      </c>
      <c r="M21">
        <v>5.2074363806111901</v>
      </c>
      <c r="N21">
        <v>5.6376014818052518</v>
      </c>
      <c r="O21">
        <v>5.602192174450245</v>
      </c>
      <c r="P21">
        <v>5.2727937082772556</v>
      </c>
      <c r="Q21">
        <v>5.5415867337255946</v>
      </c>
      <c r="R21">
        <v>5.1328742757266834</v>
      </c>
      <c r="S21">
        <v>5.5127703722228976</v>
      </c>
      <c r="T21">
        <v>5.3587515914332364</v>
      </c>
      <c r="U21">
        <v>4.6865855725850896</v>
      </c>
    </row>
    <row r="22" spans="1:21">
      <c r="A22">
        <v>14</v>
      </c>
      <c r="B22">
        <v>0.62658996105194087</v>
      </c>
      <c r="C22">
        <v>1.1092920835878382</v>
      </c>
      <c r="D22">
        <v>0.86365565318953785</v>
      </c>
      <c r="E22">
        <v>1.0490364378533905</v>
      </c>
      <c r="F22">
        <v>1.3055459984422459</v>
      </c>
      <c r="G22">
        <v>1.1569407214324037</v>
      </c>
      <c r="H22">
        <v>1.1586275226140992</v>
      </c>
      <c r="I22">
        <v>0.96212083597477471</v>
      </c>
      <c r="J22">
        <v>1.2746101086244186</v>
      </c>
      <c r="K22">
        <v>0.61280567796674268</v>
      </c>
      <c r="L22">
        <v>0.78856286048889157</v>
      </c>
      <c r="M22">
        <v>1.4866145564215967</v>
      </c>
      <c r="N22">
        <v>1.5438878564741436</v>
      </c>
      <c r="O22">
        <v>1.3164347574257365</v>
      </c>
      <c r="P22">
        <v>1.3166115132138649</v>
      </c>
      <c r="Q22">
        <v>1.343610793959547</v>
      </c>
      <c r="R22">
        <v>1.6349539369678874</v>
      </c>
      <c r="S22">
        <v>1.4690929237278183</v>
      </c>
      <c r="T22">
        <v>1.1844167319041394</v>
      </c>
      <c r="U22">
        <v>2.077621937525103</v>
      </c>
    </row>
    <row r="23" spans="1:21">
      <c r="A23">
        <v>15</v>
      </c>
      <c r="B23">
        <v>1.2110770416259764</v>
      </c>
      <c r="C23">
        <v>2.042665276505427</v>
      </c>
      <c r="D23">
        <v>1.3552723076282986</v>
      </c>
      <c r="E23">
        <v>1.6737269740512319</v>
      </c>
      <c r="F23">
        <v>2.1749964718928703</v>
      </c>
      <c r="G23">
        <v>1.8645615922091197</v>
      </c>
      <c r="H23">
        <v>1.7612459990852127</v>
      </c>
      <c r="I23">
        <v>1.4927550723784984</v>
      </c>
      <c r="J23">
        <v>2.1143766407769373</v>
      </c>
      <c r="K23">
        <v>0.83802264290343698</v>
      </c>
      <c r="L23">
        <v>1.5999171066284179</v>
      </c>
      <c r="M23">
        <v>2.3405851341644071</v>
      </c>
      <c r="N23">
        <v>1.8746007220227268</v>
      </c>
      <c r="O23">
        <v>1.9029924029372247</v>
      </c>
      <c r="P23">
        <v>2.1647811998922846</v>
      </c>
      <c r="Q23">
        <v>1.9540045883420232</v>
      </c>
      <c r="R23">
        <v>2.0894248853730919</v>
      </c>
      <c r="S23">
        <v>1.9446312101183987</v>
      </c>
      <c r="T23">
        <v>2.0696083800317995</v>
      </c>
      <c r="U23">
        <v>2.2187442662347694</v>
      </c>
    </row>
    <row r="24" spans="1:21">
      <c r="A24">
        <v>16</v>
      </c>
      <c r="B24">
        <v>2.3449474620819091</v>
      </c>
      <c r="C24">
        <v>2.6317969330079491</v>
      </c>
      <c r="D24">
        <v>2.0619818070475389</v>
      </c>
      <c r="E24">
        <v>2.3921886700114694</v>
      </c>
      <c r="F24">
        <v>2.8744903026621</v>
      </c>
      <c r="G24">
        <v>2.5836322514655827</v>
      </c>
      <c r="H24">
        <v>2.4668559081561412</v>
      </c>
      <c r="I24">
        <v>2.1815322475166408</v>
      </c>
      <c r="J24">
        <v>2.8397472181784797</v>
      </c>
      <c r="K24">
        <v>1.3142025960377366</v>
      </c>
      <c r="L24">
        <v>2.8134144973754882</v>
      </c>
      <c r="M24">
        <v>2.8795990086655774</v>
      </c>
      <c r="N24">
        <v>2.3500075691120683</v>
      </c>
      <c r="O24">
        <v>2.5380020525193263</v>
      </c>
      <c r="P24">
        <v>2.847154125543141</v>
      </c>
      <c r="Q24">
        <v>2.5742749707727834</v>
      </c>
      <c r="R24">
        <v>2.5452219816562027</v>
      </c>
      <c r="S24">
        <v>2.4776208561248474</v>
      </c>
      <c r="T24">
        <v>2.8342161041185783</v>
      </c>
      <c r="U24">
        <v>2.4385695936268319</v>
      </c>
    </row>
    <row r="25" spans="1:21">
      <c r="A25">
        <v>17</v>
      </c>
      <c r="B25">
        <v>4.7147461271286009</v>
      </c>
      <c r="C25">
        <v>3.9981106507292239</v>
      </c>
      <c r="D25">
        <v>4.6833630633005772</v>
      </c>
      <c r="E25">
        <v>4.5389930640721108</v>
      </c>
      <c r="F25">
        <v>4.3824775059922159</v>
      </c>
      <c r="G25">
        <v>4.5544032516657378</v>
      </c>
      <c r="H25">
        <v>5.1002609929487157</v>
      </c>
      <c r="I25">
        <v>4.8624340903385317</v>
      </c>
      <c r="J25">
        <v>4.3721319879568421</v>
      </c>
      <c r="K25">
        <v>6.9739591251217412</v>
      </c>
      <c r="L25">
        <v>4.8292541551589974</v>
      </c>
      <c r="M25">
        <v>4.1296796021023177</v>
      </c>
      <c r="N25">
        <v>4.1134232286984691</v>
      </c>
      <c r="O25">
        <v>4.3168292548195275</v>
      </c>
      <c r="P25">
        <v>4.318231631185796</v>
      </c>
      <c r="Q25">
        <v>4.2742621225800974</v>
      </c>
      <c r="R25">
        <v>3.8947323137777365</v>
      </c>
      <c r="S25">
        <v>4.1330483753267924</v>
      </c>
      <c r="T25">
        <v>4.4494914788693718</v>
      </c>
      <c r="U25">
        <v>3.4619358904484141</v>
      </c>
    </row>
    <row r="26" spans="1:21">
      <c r="A26">
        <v>18</v>
      </c>
      <c r="B26">
        <v>2.9770864677429199</v>
      </c>
      <c r="C26">
        <v>2.8550238264130265</v>
      </c>
      <c r="D26">
        <v>2.4847069996548909</v>
      </c>
      <c r="E26">
        <v>2.7765204109484696</v>
      </c>
      <c r="F26">
        <v>3.1861847727250652</v>
      </c>
      <c r="G26">
        <v>2.9481081323375253</v>
      </c>
      <c r="H26">
        <v>2.8664584793382035</v>
      </c>
      <c r="I26">
        <v>2.5893345508113677</v>
      </c>
      <c r="J26">
        <v>3.167390629279776</v>
      </c>
      <c r="K26">
        <v>1.7200721672711097</v>
      </c>
      <c r="L26">
        <v>3.400878849029541</v>
      </c>
      <c r="M26">
        <v>3.0838358568795137</v>
      </c>
      <c r="N26">
        <v>2.6343768200813082</v>
      </c>
      <c r="O26">
        <v>2.8668078626816191</v>
      </c>
      <c r="P26">
        <v>3.1512195198185449</v>
      </c>
      <c r="Q26">
        <v>2.8886718817091768</v>
      </c>
      <c r="R26">
        <v>2.77915710867418</v>
      </c>
      <c r="S26">
        <v>2.7640867107518665</v>
      </c>
      <c r="T26">
        <v>3.1795825839275764</v>
      </c>
      <c r="U26">
        <v>2.5803368065859495</v>
      </c>
    </row>
    <row r="27" spans="1:21">
      <c r="A27">
        <v>19</v>
      </c>
      <c r="B27">
        <v>4.4997479629516608</v>
      </c>
      <c r="C27">
        <v>3.7293041854112547</v>
      </c>
      <c r="D27">
        <v>4.1663306276655456</v>
      </c>
      <c r="E27">
        <v>4.1477116212334195</v>
      </c>
      <c r="F27">
        <v>4.1361528535827397</v>
      </c>
      <c r="G27">
        <v>4.2017342259855033</v>
      </c>
      <c r="H27">
        <v>4.5296529285798002</v>
      </c>
      <c r="I27">
        <v>4.2964766807953598</v>
      </c>
      <c r="J27">
        <v>4.1355500496274633</v>
      </c>
      <c r="K27">
        <v>5.0178642904116</v>
      </c>
      <c r="L27">
        <v>4.6647337627410881</v>
      </c>
      <c r="M27">
        <v>3.8837406633900962</v>
      </c>
      <c r="N27">
        <v>3.7656130460560004</v>
      </c>
      <c r="O27">
        <v>4.0011254705380885</v>
      </c>
      <c r="P27">
        <v>4.0779360541115253</v>
      </c>
      <c r="Q27">
        <v>3.9700498054534941</v>
      </c>
      <c r="R27">
        <v>3.6332811246295851</v>
      </c>
      <c r="S27">
        <v>3.8190905477664479</v>
      </c>
      <c r="T27">
        <v>4.2001122194099292</v>
      </c>
      <c r="U27">
        <v>3.2307457846503973</v>
      </c>
    </row>
    <row r="28" spans="1:21">
      <c r="A28">
        <v>20</v>
      </c>
      <c r="B28">
        <v>3.4717588329315183</v>
      </c>
      <c r="C28">
        <v>3.0576417443417911</v>
      </c>
      <c r="D28">
        <v>2.8744299011709988</v>
      </c>
      <c r="E28">
        <v>3.1126227436609266</v>
      </c>
      <c r="F28">
        <v>3.4374361389287382</v>
      </c>
      <c r="G28">
        <v>3.2602651374450238</v>
      </c>
      <c r="H28">
        <v>3.2352193011612491</v>
      </c>
      <c r="I28">
        <v>2.9702030488911082</v>
      </c>
      <c r="J28">
        <v>3.4297551842548053</v>
      </c>
      <c r="K28">
        <v>2.2044782477444596</v>
      </c>
      <c r="L28">
        <v>3.831966323852539</v>
      </c>
      <c r="M28">
        <v>3.2692169474739483</v>
      </c>
      <c r="N28">
        <v>2.8965452726074732</v>
      </c>
      <c r="O28">
        <v>3.1497748314906859</v>
      </c>
      <c r="P28">
        <v>3.3963212237773002</v>
      </c>
      <c r="Q28">
        <v>3.1579385281006158</v>
      </c>
      <c r="R28">
        <v>2.9832888782157334</v>
      </c>
      <c r="S28">
        <v>3.0171808740047639</v>
      </c>
      <c r="T28">
        <v>3.456139107600094</v>
      </c>
      <c r="U28">
        <v>2.7183269926156775</v>
      </c>
    </row>
    <row r="29" spans="1:21">
      <c r="A29">
        <v>21</v>
      </c>
      <c r="B29">
        <v>0.48043499723076821</v>
      </c>
      <c r="C29">
        <v>-2.1819619916012627</v>
      </c>
      <c r="D29">
        <v>0.50730553947982826</v>
      </c>
      <c r="E29">
        <v>0.27210376652820956</v>
      </c>
      <c r="F29">
        <v>-1.2367162305237218</v>
      </c>
      <c r="G29">
        <v>-0.10820294888705151</v>
      </c>
      <c r="H29">
        <v>0.34051808751327933</v>
      </c>
      <c r="I29">
        <v>0.35066675660065333</v>
      </c>
      <c r="J29">
        <v>-0.65504567068704</v>
      </c>
      <c r="K29">
        <v>0.4884175634983553</v>
      </c>
      <c r="L29">
        <v>0.48266523659229277</v>
      </c>
      <c r="M29">
        <v>-1.5246505681980449</v>
      </c>
      <c r="N29">
        <v>1.304169437296419</v>
      </c>
      <c r="O29">
        <v>0.47386899678984695</v>
      </c>
      <c r="P29">
        <v>-1.1634259633761093</v>
      </c>
      <c r="Q29">
        <v>0.25229780806976576</v>
      </c>
      <c r="R29">
        <v>0.79806589792914295</v>
      </c>
      <c r="S29">
        <v>0.7712567879110579</v>
      </c>
      <c r="T29">
        <v>-0.84961905567300411</v>
      </c>
      <c r="U29">
        <v>1.9809735362515819</v>
      </c>
    </row>
    <row r="30" spans="1:21">
      <c r="A30">
        <v>22</v>
      </c>
      <c r="B30">
        <v>0.72352607727050777</v>
      </c>
      <c r="C30">
        <v>1.3999910903058337</v>
      </c>
      <c r="D30">
        <v>0.97185124289624847</v>
      </c>
      <c r="E30">
        <v>1.2036229937885206</v>
      </c>
      <c r="F30">
        <v>1.5592588919938042</v>
      </c>
      <c r="G30">
        <v>1.3437496420505122</v>
      </c>
      <c r="H30">
        <v>1.309232644028657</v>
      </c>
      <c r="I30">
        <v>1.0883295779166129</v>
      </c>
      <c r="J30">
        <v>1.5102655682211683</v>
      </c>
      <c r="K30">
        <v>0.65650656616447067</v>
      </c>
      <c r="L30">
        <v>0.94489965438842771</v>
      </c>
      <c r="M30">
        <v>1.752583624957023</v>
      </c>
      <c r="N30">
        <v>1.6166715451237361</v>
      </c>
      <c r="O30">
        <v>1.4658647761441661</v>
      </c>
      <c r="P30">
        <v>1.564114495845941</v>
      </c>
      <c r="Q30">
        <v>1.5047521771347223</v>
      </c>
      <c r="R30">
        <v>1.7562620108654716</v>
      </c>
      <c r="S30">
        <v>1.5893715564269246</v>
      </c>
      <c r="T30">
        <v>1.432819397030644</v>
      </c>
      <c r="U30">
        <v>2.1078893028460484</v>
      </c>
    </row>
    <row r="31" spans="1:21">
      <c r="A31">
        <v>23</v>
      </c>
      <c r="B31">
        <v>3.5876385879516599</v>
      </c>
      <c r="C31">
        <v>3.1115073576179939</v>
      </c>
      <c r="D31">
        <v>2.9780370417069451</v>
      </c>
      <c r="E31">
        <v>3.1996510413942847</v>
      </c>
      <c r="F31">
        <v>3.4999901216025355</v>
      </c>
      <c r="G31">
        <v>3.3403640703889863</v>
      </c>
      <c r="H31">
        <v>3.3341803896454527</v>
      </c>
      <c r="I31">
        <v>3.0726463972643336</v>
      </c>
      <c r="J31">
        <v>3.4945845212183544</v>
      </c>
      <c r="K31">
        <v>2.3547965786950669</v>
      </c>
      <c r="L31">
        <v>3.9298622035980224</v>
      </c>
      <c r="M31">
        <v>3.318500180846188</v>
      </c>
      <c r="N31">
        <v>2.9662422896400926</v>
      </c>
      <c r="O31">
        <v>3.2224439651026691</v>
      </c>
      <c r="P31">
        <v>3.457344126754573</v>
      </c>
      <c r="Q31">
        <v>3.2270318711954671</v>
      </c>
      <c r="R31">
        <v>3.0364011513066407</v>
      </c>
      <c r="S31">
        <v>3.0832112769039335</v>
      </c>
      <c r="T31">
        <v>3.5244752289345476</v>
      </c>
      <c r="U31">
        <v>2.75623722252449</v>
      </c>
    </row>
    <row r="32" spans="1:21">
      <c r="A32">
        <v>24</v>
      </c>
      <c r="B32">
        <v>0.60338528394699098</v>
      </c>
      <c r="C32">
        <v>1.0110290920859242</v>
      </c>
      <c r="D32">
        <v>0.83316659672714999</v>
      </c>
      <c r="E32">
        <v>1.0026122115584881</v>
      </c>
      <c r="F32">
        <v>1.2220980587843195</v>
      </c>
      <c r="G32">
        <v>1.0987228068166333</v>
      </c>
      <c r="H32">
        <v>1.1129810400104414</v>
      </c>
      <c r="I32">
        <v>0.92478175840075361</v>
      </c>
      <c r="J32">
        <v>1.198934002120017</v>
      </c>
      <c r="K32">
        <v>0.60102494376738291</v>
      </c>
      <c r="L32">
        <v>0.74837081432342534</v>
      </c>
      <c r="M32">
        <v>1.3967108563149713</v>
      </c>
      <c r="N32">
        <v>1.5233777229391845</v>
      </c>
      <c r="O32">
        <v>1.2708462385869264</v>
      </c>
      <c r="P32">
        <v>1.235206056554875</v>
      </c>
      <c r="Q32">
        <v>1.2933920182409202</v>
      </c>
      <c r="R32">
        <v>1.5969151735035614</v>
      </c>
      <c r="S32">
        <v>1.4324328215047077</v>
      </c>
      <c r="T32">
        <v>1.1046471115683421</v>
      </c>
      <c r="U32">
        <v>2.0691714862346382</v>
      </c>
    </row>
    <row r="33" spans="1:21">
      <c r="A33">
        <v>25</v>
      </c>
      <c r="B33">
        <v>4.9295861864089972</v>
      </c>
      <c r="C33">
        <v>4.4449116738080168</v>
      </c>
      <c r="D33">
        <v>5.542756906128691</v>
      </c>
      <c r="E33">
        <v>5.1697260342958433</v>
      </c>
      <c r="F33">
        <v>4.7683949451100478</v>
      </c>
      <c r="G33">
        <v>5.1229613631927</v>
      </c>
      <c r="H33">
        <v>6.1421528617213266</v>
      </c>
      <c r="I33">
        <v>5.8551981998849181</v>
      </c>
      <c r="J33">
        <v>4.7273393344733687</v>
      </c>
      <c r="K33">
        <v>12.053231187750615</v>
      </c>
      <c r="L33">
        <v>4.990157063007354</v>
      </c>
      <c r="M33">
        <v>4.5384709952019948</v>
      </c>
      <c r="N33">
        <v>4.6915415610014239</v>
      </c>
      <c r="O33">
        <v>4.8202938621433749</v>
      </c>
      <c r="P33">
        <v>4.6947033031388257</v>
      </c>
      <c r="Q33">
        <v>4.7647003746923424</v>
      </c>
      <c r="R33">
        <v>4.3426868962669491</v>
      </c>
      <c r="S33">
        <v>4.6535543521727556</v>
      </c>
      <c r="T33">
        <v>4.8239128977416721</v>
      </c>
      <c r="U33">
        <v>3.8833898608331703</v>
      </c>
    </row>
    <row r="34" spans="1:21">
      <c r="A34">
        <v>26</v>
      </c>
      <c r="B34">
        <v>1.8770950317382813</v>
      </c>
      <c r="C34">
        <v>2.441983541370377</v>
      </c>
      <c r="D34">
        <v>1.7737004185777949</v>
      </c>
      <c r="E34">
        <v>2.1137934079918441</v>
      </c>
      <c r="F34">
        <v>2.6260853441389234</v>
      </c>
      <c r="G34">
        <v>2.3123554306519583</v>
      </c>
      <c r="H34">
        <v>2.1886743057458187</v>
      </c>
      <c r="I34">
        <v>1.9037110373712545</v>
      </c>
      <c r="J34">
        <v>2.5793080439142586</v>
      </c>
      <c r="K34">
        <v>1.0938353370558442</v>
      </c>
      <c r="L34">
        <v>2.3443016815185547</v>
      </c>
      <c r="M34">
        <v>2.7059331556605493</v>
      </c>
      <c r="N34">
        <v>2.1560793056890288</v>
      </c>
      <c r="O34">
        <v>2.2955787776939021</v>
      </c>
      <c r="P34">
        <v>2.6048291602075118</v>
      </c>
      <c r="Q34">
        <v>2.3402715731586214</v>
      </c>
      <c r="R34">
        <v>2.3729696528767663</v>
      </c>
      <c r="S34">
        <v>2.2712471499129228</v>
      </c>
      <c r="T34">
        <v>2.5596891099157633</v>
      </c>
      <c r="U34">
        <v>2.3463836551892685</v>
      </c>
    </row>
    <row r="35" spans="1:21">
      <c r="A35">
        <v>27</v>
      </c>
      <c r="B35">
        <v>2.6034823703765868</v>
      </c>
      <c r="C35">
        <v>2.7216086922767584</v>
      </c>
      <c r="D35">
        <v>2.228091327589663</v>
      </c>
      <c r="E35">
        <v>2.5461234438438343</v>
      </c>
      <c r="F35">
        <v>3.0030569531471123</v>
      </c>
      <c r="G35">
        <v>2.7307942386301476</v>
      </c>
      <c r="H35">
        <v>2.6244483143058819</v>
      </c>
      <c r="I35">
        <v>2.3414120054823493</v>
      </c>
      <c r="J35">
        <v>2.9749673052005545</v>
      </c>
      <c r="K35">
        <v>1.4608039352062245</v>
      </c>
      <c r="L35">
        <v>3.0592921066284178</v>
      </c>
      <c r="M35">
        <v>2.961770427914443</v>
      </c>
      <c r="N35">
        <v>2.4617502349420155</v>
      </c>
      <c r="O35">
        <v>2.6704418801549359</v>
      </c>
      <c r="P35">
        <v>2.9725739613923179</v>
      </c>
      <c r="Q35">
        <v>2.7012169074000143</v>
      </c>
      <c r="R35">
        <v>2.6392290627184485</v>
      </c>
      <c r="S35">
        <v>2.5920613542892346</v>
      </c>
      <c r="T35">
        <v>2.9767505909172223</v>
      </c>
      <c r="U35">
        <v>2.4933234163816542</v>
      </c>
    </row>
    <row r="36" spans="1:21">
      <c r="A36">
        <v>28</v>
      </c>
      <c r="B36">
        <v>1.0462538003921509</v>
      </c>
      <c r="C36">
        <v>1.8907521722690217</v>
      </c>
      <c r="D36">
        <v>1.2403719086382399</v>
      </c>
      <c r="E36">
        <v>1.5419313936662462</v>
      </c>
      <c r="F36">
        <v>2.0202239215152633</v>
      </c>
      <c r="G36">
        <v>1.7241224700259294</v>
      </c>
      <c r="H36">
        <v>1.6347219394628025</v>
      </c>
      <c r="I36">
        <v>1.3759841231205072</v>
      </c>
      <c r="J36">
        <v>1.9586468318797048</v>
      </c>
      <c r="K36">
        <v>0.77890692802606953</v>
      </c>
      <c r="L36">
        <v>1.3941736459732055</v>
      </c>
      <c r="M36">
        <v>2.2015953684674172</v>
      </c>
      <c r="N36">
        <v>1.7973066762258889</v>
      </c>
      <c r="O36">
        <v>1.782625493702199</v>
      </c>
      <c r="P36">
        <v>2.0137968832822715</v>
      </c>
      <c r="Q36">
        <v>1.8328617953446258</v>
      </c>
      <c r="R36">
        <v>2.0001598806367289</v>
      </c>
      <c r="S36">
        <v>1.8460879166284181</v>
      </c>
      <c r="T36">
        <v>1.9054547481324633</v>
      </c>
      <c r="U36">
        <v>2.1849259558604075</v>
      </c>
    </row>
    <row r="37" spans="1:21">
      <c r="A37">
        <v>29</v>
      </c>
      <c r="B37">
        <v>4.8013631153106697</v>
      </c>
      <c r="C37">
        <v>4.144765037697546</v>
      </c>
      <c r="D37">
        <v>4.9654436107349582</v>
      </c>
      <c r="E37">
        <v>4.7484590008485483</v>
      </c>
      <c r="F37">
        <v>4.5119032475381529</v>
      </c>
      <c r="G37">
        <v>4.7431053520556716</v>
      </c>
      <c r="H37">
        <v>5.4283313731481107</v>
      </c>
      <c r="I37">
        <v>5.1808795502758089</v>
      </c>
      <c r="J37">
        <v>4.4934126662800962</v>
      </c>
      <c r="K37">
        <v>8.3459393465123739</v>
      </c>
      <c r="L37">
        <v>4.8945715188980099</v>
      </c>
      <c r="M37">
        <v>4.2638580127510934</v>
      </c>
      <c r="N37">
        <v>4.3031801568156345</v>
      </c>
      <c r="O37">
        <v>4.4847235262014102</v>
      </c>
      <c r="P37">
        <v>4.444489530867501</v>
      </c>
      <c r="Q37">
        <v>4.4370365627100572</v>
      </c>
      <c r="R37">
        <v>4.039562068149924</v>
      </c>
      <c r="S37">
        <v>4.3038719411280013</v>
      </c>
      <c r="T37">
        <v>4.5773325387599364</v>
      </c>
      <c r="U37">
        <v>3.5949691009957667</v>
      </c>
    </row>
    <row r="38" spans="1:21">
      <c r="A38">
        <v>30</v>
      </c>
      <c r="B38">
        <v>3.114357147216797</v>
      </c>
      <c r="C38">
        <v>2.9076368516017737</v>
      </c>
      <c r="D38">
        <v>2.5859048652913712</v>
      </c>
      <c r="E38">
        <v>2.8652492948046984</v>
      </c>
      <c r="F38">
        <v>3.2541642974794858</v>
      </c>
      <c r="G38">
        <v>3.0310094253403279</v>
      </c>
      <c r="H38">
        <v>2.961869819795476</v>
      </c>
      <c r="I38">
        <v>2.6876356939993413</v>
      </c>
      <c r="J38">
        <v>3.2386286992919859</v>
      </c>
      <c r="K38">
        <v>1.8345437683205901</v>
      </c>
      <c r="L38">
        <v>3.5227621364593507</v>
      </c>
      <c r="M38">
        <v>3.1319730605812683</v>
      </c>
      <c r="N38">
        <v>2.7024531064110464</v>
      </c>
      <c r="O38">
        <v>2.9418886506571722</v>
      </c>
      <c r="P38">
        <v>3.2175351685784732</v>
      </c>
      <c r="Q38">
        <v>2.960182540714543</v>
      </c>
      <c r="R38">
        <v>2.8329678795286393</v>
      </c>
      <c r="S38">
        <v>2.8306295466161</v>
      </c>
      <c r="T38">
        <v>3.2546741030452835</v>
      </c>
      <c r="U38">
        <v>2.6154801186135894</v>
      </c>
    </row>
    <row r="39" spans="1:21">
      <c r="A39">
        <v>31</v>
      </c>
      <c r="B39">
        <v>2.4072942352294922</v>
      </c>
      <c r="C39">
        <v>2.6541592918603185</v>
      </c>
      <c r="D39">
        <v>2.1014054473992756</v>
      </c>
      <c r="E39">
        <v>2.429105088153765</v>
      </c>
      <c r="F39">
        <v>2.9058314964109728</v>
      </c>
      <c r="G39">
        <v>2.6190874252861431</v>
      </c>
      <c r="H39">
        <v>2.504378096517482</v>
      </c>
      <c r="I39">
        <v>2.2194608520350338</v>
      </c>
      <c r="J39">
        <v>2.872701731931659</v>
      </c>
      <c r="K39">
        <v>1.3476063070724658</v>
      </c>
      <c r="L39">
        <v>2.8734899044036863</v>
      </c>
      <c r="M39">
        <v>2.9000589882897576</v>
      </c>
      <c r="N39">
        <v>2.376528039794584</v>
      </c>
      <c r="O39">
        <v>2.5698607160555547</v>
      </c>
      <c r="P39">
        <v>2.8777282080168778</v>
      </c>
      <c r="Q39">
        <v>2.6048586052761968</v>
      </c>
      <c r="R39">
        <v>2.5678251628523845</v>
      </c>
      <c r="S39">
        <v>2.5050367966243217</v>
      </c>
      <c r="T39">
        <v>2.868953211666375</v>
      </c>
      <c r="U39">
        <v>2.4514547846563768</v>
      </c>
    </row>
    <row r="40" spans="1:21">
      <c r="A40">
        <v>32</v>
      </c>
      <c r="B40">
        <v>2.2783608055114746</v>
      </c>
      <c r="C40">
        <v>2.6072798129462624</v>
      </c>
      <c r="D40">
        <v>2.0202375039291374</v>
      </c>
      <c r="E40">
        <v>2.3528219050126102</v>
      </c>
      <c r="F40">
        <v>2.8406911190841599</v>
      </c>
      <c r="G40">
        <v>2.5457020408979183</v>
      </c>
      <c r="H40">
        <v>2.4270207720353065</v>
      </c>
      <c r="I40">
        <v>2.1413706488622974</v>
      </c>
      <c r="J40">
        <v>2.8042220628287775</v>
      </c>
      <c r="K40">
        <v>1.2797346787013124</v>
      </c>
      <c r="L40">
        <v>2.7486716556549071</v>
      </c>
      <c r="M40">
        <v>2.8571675746555405</v>
      </c>
      <c r="N40">
        <v>2.3219259775305634</v>
      </c>
      <c r="O40">
        <v>2.5039583040812694</v>
      </c>
      <c r="P40">
        <v>2.8141822153301139</v>
      </c>
      <c r="Q40">
        <v>2.5415563694620138</v>
      </c>
      <c r="R40">
        <v>2.5210690352965024</v>
      </c>
      <c r="S40">
        <v>2.4484022889249273</v>
      </c>
      <c r="T40">
        <v>2.7967693024064535</v>
      </c>
      <c r="U40">
        <v>2.4249997351726331</v>
      </c>
    </row>
    <row r="41" spans="1:21">
      <c r="A41">
        <v>33</v>
      </c>
      <c r="B41">
        <v>2.1881163120269775</v>
      </c>
      <c r="C41">
        <v>2.572907798102563</v>
      </c>
      <c r="D41">
        <v>1.964169172985162</v>
      </c>
      <c r="E41">
        <v>2.2994768733949495</v>
      </c>
      <c r="F41">
        <v>2.7942395746925603</v>
      </c>
      <c r="G41">
        <v>2.4940933255977047</v>
      </c>
      <c r="H41">
        <v>2.3733211927341578</v>
      </c>
      <c r="I41">
        <v>2.087413858288087</v>
      </c>
      <c r="J41">
        <v>2.7554307950125154</v>
      </c>
      <c r="K41">
        <v>1.2348577590537313</v>
      </c>
      <c r="L41">
        <v>2.6599280452728271</v>
      </c>
      <c r="M41">
        <v>2.8257196076505031</v>
      </c>
      <c r="N41">
        <v>2.2842085441897888</v>
      </c>
      <c r="O41">
        <v>2.4577072495954519</v>
      </c>
      <c r="P41">
        <v>2.7688676251890696</v>
      </c>
      <c r="Q41">
        <v>2.4970386893648668</v>
      </c>
      <c r="R41">
        <v>2.4882482064813685</v>
      </c>
      <c r="S41">
        <v>2.4088334549056372</v>
      </c>
      <c r="T41">
        <v>2.7453387903309006</v>
      </c>
      <c r="U41">
        <v>2.4068923001651759</v>
      </c>
    </row>
    <row r="42" spans="1:21">
      <c r="A42">
        <v>34</v>
      </c>
      <c r="B42">
        <v>5.1323145198822022</v>
      </c>
      <c r="C42">
        <v>6.0691007383763997</v>
      </c>
      <c r="D42">
        <v>8.6667830600094415</v>
      </c>
      <c r="E42">
        <v>7.3309931714430636</v>
      </c>
      <c r="F42">
        <v>6.0499424870499192</v>
      </c>
      <c r="G42">
        <v>7.0964832689589681</v>
      </c>
      <c r="H42">
        <v>11.386792609516995</v>
      </c>
      <c r="I42">
        <v>10.099044244057721</v>
      </c>
      <c r="J42">
        <v>5.7695196906641568</v>
      </c>
      <c r="K42">
        <v>88.085184238315776</v>
      </c>
      <c r="L42">
        <v>5.1376686531305307</v>
      </c>
      <c r="M42">
        <v>6.0244893256593191</v>
      </c>
      <c r="N42">
        <v>6.7930888378691936</v>
      </c>
      <c r="O42">
        <v>6.508240289970912</v>
      </c>
      <c r="P42">
        <v>5.9448835150107415</v>
      </c>
      <c r="Q42">
        <v>6.4670604577624733</v>
      </c>
      <c r="R42">
        <v>6.234018360791092</v>
      </c>
      <c r="S42">
        <v>6.5906468861774465</v>
      </c>
      <c r="T42">
        <v>5.9224674504911565</v>
      </c>
      <c r="U42">
        <v>5.8962491664654886</v>
      </c>
    </row>
    <row r="43" spans="1:21">
      <c r="A43">
        <v>35</v>
      </c>
      <c r="B43">
        <v>4.6506602001190185</v>
      </c>
      <c r="C43">
        <v>3.9067119013460196</v>
      </c>
      <c r="D43">
        <v>4.5075632812838204</v>
      </c>
      <c r="E43">
        <v>4.4070823933732139</v>
      </c>
      <c r="F43">
        <v>4.3001655840464394</v>
      </c>
      <c r="G43">
        <v>4.4355622257818759</v>
      </c>
      <c r="H43">
        <v>4.9020074167929133</v>
      </c>
      <c r="I43">
        <v>4.6674814287890118</v>
      </c>
      <c r="J43">
        <v>4.2938992211900571</v>
      </c>
      <c r="K43">
        <v>6.2354874844878676</v>
      </c>
      <c r="L43">
        <v>4.7805623006820674</v>
      </c>
      <c r="M43">
        <v>4.0460561989362516</v>
      </c>
      <c r="N43">
        <v>3.9951618778092257</v>
      </c>
      <c r="O43">
        <v>4.2107124569446537</v>
      </c>
      <c r="P43">
        <v>4.2379343869165833</v>
      </c>
      <c r="Q43">
        <v>4.1717498484043318</v>
      </c>
      <c r="R43">
        <v>3.8053369644066861</v>
      </c>
      <c r="S43">
        <v>4.0264721815023004</v>
      </c>
      <c r="T43">
        <v>4.3670269019894494</v>
      </c>
      <c r="U43">
        <v>3.3815280410157809</v>
      </c>
    </row>
    <row r="44" spans="1:21">
      <c r="A44">
        <v>36</v>
      </c>
      <c r="B44">
        <v>0.71395627737045286</v>
      </c>
      <c r="C44">
        <v>1.3769465260944038</v>
      </c>
      <c r="D44">
        <v>0.96215649743425491</v>
      </c>
      <c r="E44">
        <v>1.190323199099796</v>
      </c>
      <c r="F44">
        <v>1.5387213664770965</v>
      </c>
      <c r="G44">
        <v>1.3280596198402841</v>
      </c>
      <c r="H44">
        <v>1.2963452442638348</v>
      </c>
      <c r="I44">
        <v>1.0773515458621512</v>
      </c>
      <c r="J44">
        <v>1.4908825375939108</v>
      </c>
      <c r="K44">
        <v>0.65246685995117515</v>
      </c>
      <c r="L44">
        <v>0.93012241363525394</v>
      </c>
      <c r="M44">
        <v>1.731499475591268</v>
      </c>
      <c r="N44">
        <v>1.6101498436647808</v>
      </c>
      <c r="O44">
        <v>1.4531407177107507</v>
      </c>
      <c r="P44">
        <v>1.5440796495670919</v>
      </c>
      <c r="Q44">
        <v>1.4912179632832649</v>
      </c>
      <c r="R44">
        <v>1.7461161942750605</v>
      </c>
      <c r="S44">
        <v>1.5791173058569679</v>
      </c>
      <c r="T44">
        <v>1.412387888784332</v>
      </c>
      <c r="U44">
        <v>2.1051593387093517</v>
      </c>
    </row>
    <row r="45" spans="1:21">
      <c r="A45">
        <v>37</v>
      </c>
      <c r="B45">
        <v>5.046115062236785</v>
      </c>
      <c r="C45">
        <v>4.9321699839070883</v>
      </c>
      <c r="D45">
        <v>6.4799678119598756</v>
      </c>
      <c r="E45">
        <v>5.8361328317104313</v>
      </c>
      <c r="F45">
        <v>5.1671993250807855</v>
      </c>
      <c r="G45">
        <v>5.7261652871479969</v>
      </c>
      <c r="H45">
        <v>7.4429413735272538</v>
      </c>
      <c r="I45">
        <v>7.0186125619743471</v>
      </c>
      <c r="J45">
        <v>5.073838151628685</v>
      </c>
      <c r="K45">
        <v>21.889918608755298</v>
      </c>
      <c r="L45">
        <v>5.0756806778907784</v>
      </c>
      <c r="M45">
        <v>4.9842779497435199</v>
      </c>
      <c r="N45">
        <v>5.3220078023142943</v>
      </c>
      <c r="O45">
        <v>5.3461557545331964</v>
      </c>
      <c r="P45">
        <v>5.0837464934465153</v>
      </c>
      <c r="Q45">
        <v>5.2850241061353236</v>
      </c>
      <c r="R45">
        <v>4.8597986259402326</v>
      </c>
      <c r="S45">
        <v>5.2243964982699058</v>
      </c>
      <c r="T45">
        <v>5.189154720663347</v>
      </c>
      <c r="U45">
        <v>4.4017018342367642</v>
      </c>
    </row>
    <row r="46" spans="1:21">
      <c r="A46">
        <v>38</v>
      </c>
      <c r="B46">
        <v>4.8229321861267085</v>
      </c>
      <c r="C46">
        <v>4.1867793492393135</v>
      </c>
      <c r="D46">
        <v>5.0462555130910776</v>
      </c>
      <c r="E46">
        <v>4.8080027214874512</v>
      </c>
      <c r="F46">
        <v>4.548439882321869</v>
      </c>
      <c r="G46">
        <v>4.7967575035060825</v>
      </c>
      <c r="H46">
        <v>5.5247073122941064</v>
      </c>
      <c r="I46">
        <v>5.2734185165887126</v>
      </c>
      <c r="J46">
        <v>4.5272603604084853</v>
      </c>
      <c r="K46">
        <v>8.7865801354582729</v>
      </c>
      <c r="L46">
        <v>4.9107449817657471</v>
      </c>
      <c r="M46">
        <v>4.3022981417081265</v>
      </c>
      <c r="N46">
        <v>4.3575427085260419</v>
      </c>
      <c r="O46">
        <v>4.5323188910925882</v>
      </c>
      <c r="P46">
        <v>4.4801318900622693</v>
      </c>
      <c r="Q46">
        <v>4.4833169109206086</v>
      </c>
      <c r="R46">
        <v>4.0814134657581871</v>
      </c>
      <c r="S46">
        <v>4.3527942233648238</v>
      </c>
      <c r="T46">
        <v>4.6130111410900758</v>
      </c>
      <c r="U46">
        <v>3.6340147349875185</v>
      </c>
    </row>
    <row r="47" spans="1:21">
      <c r="A47">
        <v>39</v>
      </c>
      <c r="B47">
        <v>3.024170551300049</v>
      </c>
      <c r="C47">
        <v>2.8728128491105593</v>
      </c>
      <c r="D47">
        <v>2.518923072999677</v>
      </c>
      <c r="E47">
        <v>2.8066450634784115</v>
      </c>
      <c r="F47">
        <v>3.2094104737315776</v>
      </c>
      <c r="G47">
        <v>2.9762987405289896</v>
      </c>
      <c r="H47">
        <v>2.8987057267087857</v>
      </c>
      <c r="I47">
        <v>2.6225309551159901</v>
      </c>
      <c r="J47">
        <v>3.1917458291035783</v>
      </c>
      <c r="K47">
        <v>1.7579538921570868</v>
      </c>
      <c r="L47">
        <v>3.4428902149200438</v>
      </c>
      <c r="M47">
        <v>3.1001115567879354</v>
      </c>
      <c r="N47">
        <v>2.657394135628913</v>
      </c>
      <c r="O47">
        <v>2.8923309872208955</v>
      </c>
      <c r="P47">
        <v>3.1738767454422185</v>
      </c>
      <c r="Q47">
        <v>2.9129891015801088</v>
      </c>
      <c r="R47">
        <v>2.7974260138470917</v>
      </c>
      <c r="S47">
        <v>2.786658822739188</v>
      </c>
      <c r="T47">
        <v>3.2052552186981584</v>
      </c>
      <c r="U47">
        <v>2.5921659762890603</v>
      </c>
    </row>
    <row r="48" spans="1:21">
      <c r="A48">
        <v>40</v>
      </c>
      <c r="B48">
        <v>2.0442007732391358</v>
      </c>
      <c r="C48">
        <v>2.5149873608706268</v>
      </c>
      <c r="D48">
        <v>1.8756685175299188</v>
      </c>
      <c r="E48">
        <v>2.2141040840900983</v>
      </c>
      <c r="F48">
        <v>2.7182375164888803</v>
      </c>
      <c r="G48">
        <v>2.4109607901531636</v>
      </c>
      <c r="H48">
        <v>2.2880104880649093</v>
      </c>
      <c r="I48">
        <v>2.0021650608904125</v>
      </c>
      <c r="J48">
        <v>2.6757120298466535</v>
      </c>
      <c r="K48">
        <v>1.1672028235757159</v>
      </c>
      <c r="L48">
        <v>2.5158610820770262</v>
      </c>
      <c r="M48">
        <v>2.7727264966190401</v>
      </c>
      <c r="N48">
        <v>2.2246737316396636</v>
      </c>
      <c r="O48">
        <v>2.3833908864151185</v>
      </c>
      <c r="P48">
        <v>2.6947258035880131</v>
      </c>
      <c r="Q48">
        <v>2.4253285606190449</v>
      </c>
      <c r="R48">
        <v>2.4354670729613281</v>
      </c>
      <c r="S48">
        <v>2.3455542396855118</v>
      </c>
      <c r="T48">
        <v>2.6613078336041625</v>
      </c>
      <c r="U48">
        <v>2.3785854956529024</v>
      </c>
    </row>
    <row r="49" spans="1:21">
      <c r="A49">
        <v>41</v>
      </c>
      <c r="B49">
        <v>5.1499473911523825</v>
      </c>
      <c r="C49">
        <v>9.7911239894702646</v>
      </c>
      <c r="D49">
        <v>15.825862157035299</v>
      </c>
      <c r="E49">
        <v>11.916630899305311</v>
      </c>
      <c r="F49">
        <v>8.8041749097178883</v>
      </c>
      <c r="G49">
        <v>11.475436645206781</v>
      </c>
      <c r="H49">
        <v>42.908772940160489</v>
      </c>
      <c r="I49">
        <v>24.6215816725202</v>
      </c>
      <c r="J49">
        <v>7.4733434418289022</v>
      </c>
      <c r="K49">
        <v>8402.3801825967203</v>
      </c>
      <c r="L49">
        <v>5.1499659886583693</v>
      </c>
      <c r="M49">
        <v>9.4298778350220935</v>
      </c>
      <c r="N49">
        <v>11.609035452959528</v>
      </c>
      <c r="O49">
        <v>9.9790246271939402</v>
      </c>
      <c r="P49">
        <v>8.6317029743212075</v>
      </c>
      <c r="Q49">
        <v>10.244345833500443</v>
      </c>
      <c r="R49">
        <v>13.558276902072203</v>
      </c>
      <c r="S49">
        <v>11.641978541008005</v>
      </c>
      <c r="T49">
        <v>7.7184553788820089</v>
      </c>
      <c r="U49">
        <v>15.353062307412557</v>
      </c>
    </row>
    <row r="50" spans="1:21">
      <c r="A50">
        <v>42</v>
      </c>
      <c r="B50">
        <v>3.9160113239288328</v>
      </c>
      <c r="C50">
        <v>3.2842485482229873</v>
      </c>
      <c r="D50">
        <v>3.3102939255112371</v>
      </c>
      <c r="E50">
        <v>3.4732520038553449</v>
      </c>
      <c r="F50">
        <v>3.6912098483531772</v>
      </c>
      <c r="G50">
        <v>3.5907080522680315</v>
      </c>
      <c r="H50">
        <v>3.6558589484357755</v>
      </c>
      <c r="I50">
        <v>3.4052608142338205</v>
      </c>
      <c r="J50">
        <v>3.6910907953707994</v>
      </c>
      <c r="K50">
        <v>2.9095316008036796</v>
      </c>
      <c r="L50">
        <v>4.2014908695220949</v>
      </c>
      <c r="M50">
        <v>3.4765461751604385</v>
      </c>
      <c r="N50">
        <v>3.1897530782780468</v>
      </c>
      <c r="O50">
        <v>3.449467912538136</v>
      </c>
      <c r="P50">
        <v>3.6438835337447699</v>
      </c>
      <c r="Q50">
        <v>3.4429786010202088</v>
      </c>
      <c r="R50">
        <v>3.2046938424238824</v>
      </c>
      <c r="S50">
        <v>3.2923182207629713</v>
      </c>
      <c r="T50">
        <v>3.7316110292129472</v>
      </c>
      <c r="U50">
        <v>2.8814143413073361</v>
      </c>
    </row>
    <row r="51" spans="1:21">
      <c r="A51">
        <v>43</v>
      </c>
      <c r="B51">
        <v>4.1566558837890621</v>
      </c>
      <c r="C51">
        <v>3.4380461203525794</v>
      </c>
      <c r="D51">
        <v>3.6061139431542504</v>
      </c>
      <c r="E51">
        <v>3.7107437568752433</v>
      </c>
      <c r="F51">
        <v>3.8515627369683214</v>
      </c>
      <c r="G51">
        <v>3.8066121512212554</v>
      </c>
      <c r="H51">
        <v>3.9494160228448547</v>
      </c>
      <c r="I51">
        <v>3.7072767158408801</v>
      </c>
      <c r="J51">
        <v>3.853553785308204</v>
      </c>
      <c r="K51">
        <v>3.5125126388342189</v>
      </c>
      <c r="L51">
        <v>4.3954120922088622</v>
      </c>
      <c r="M51">
        <v>3.617260095941047</v>
      </c>
      <c r="N51">
        <v>3.3887526134606771</v>
      </c>
      <c r="O51">
        <v>3.6449198623982948</v>
      </c>
      <c r="P51">
        <v>3.8003116034827871</v>
      </c>
      <c r="Q51">
        <v>3.6292174863121778</v>
      </c>
      <c r="R51">
        <v>3.3529901325555467</v>
      </c>
      <c r="S51">
        <v>3.4758671080617658</v>
      </c>
      <c r="T51">
        <v>3.9028620571073525</v>
      </c>
      <c r="U51">
        <v>2.9976401493036726</v>
      </c>
    </row>
    <row r="52" spans="1:21">
      <c r="A52">
        <v>44</v>
      </c>
      <c r="B52">
        <v>0.78491308689117423</v>
      </c>
      <c r="C52">
        <v>1.529574228617901</v>
      </c>
      <c r="D52">
        <v>1.0305475474991708</v>
      </c>
      <c r="E52">
        <v>1.2822154412799271</v>
      </c>
      <c r="F52">
        <v>1.6763342245716606</v>
      </c>
      <c r="G52">
        <v>1.4351768982759423</v>
      </c>
      <c r="H52">
        <v>1.3851833199396715</v>
      </c>
      <c r="I52">
        <v>1.1536885257800722</v>
      </c>
      <c r="J52">
        <v>1.6217661123756482</v>
      </c>
      <c r="K52">
        <v>0.68150448435036881</v>
      </c>
      <c r="L52">
        <v>1.0370770359039305</v>
      </c>
      <c r="M52">
        <v>1.8711430482721227</v>
      </c>
      <c r="N52">
        <v>1.6561568288647956</v>
      </c>
      <c r="O52">
        <v>1.5405944540678771</v>
      </c>
      <c r="P52">
        <v>1.6783242768312079</v>
      </c>
      <c r="Q52">
        <v>1.5836173323924569</v>
      </c>
      <c r="R52">
        <v>1.8152350192439024</v>
      </c>
      <c r="S52">
        <v>1.6496655874444248</v>
      </c>
      <c r="T52">
        <v>1.5503512903227539</v>
      </c>
      <c r="U52">
        <v>2.1244934888546529</v>
      </c>
    </row>
    <row r="53" spans="1:21">
      <c r="A53">
        <v>45</v>
      </c>
      <c r="B53">
        <v>0.77311089038848868</v>
      </c>
      <c r="C53">
        <v>1.5067721302386761</v>
      </c>
      <c r="D53">
        <v>1.0196782709186958</v>
      </c>
      <c r="E53">
        <v>1.267897764591821</v>
      </c>
      <c r="F53">
        <v>1.6555274645355404</v>
      </c>
      <c r="G53">
        <v>1.4186787212485956</v>
      </c>
      <c r="H53">
        <v>1.3713704488854694</v>
      </c>
      <c r="I53">
        <v>1.1417186790097664</v>
      </c>
      <c r="J53">
        <v>1.6018263138476292</v>
      </c>
      <c r="K53">
        <v>0.67680466189387967</v>
      </c>
      <c r="L53">
        <v>1.0196765899658202</v>
      </c>
      <c r="M53">
        <v>1.8502807380253632</v>
      </c>
      <c r="N53">
        <v>1.6488450147268621</v>
      </c>
      <c r="O53">
        <v>1.5270373862155395</v>
      </c>
      <c r="P53">
        <v>1.6580267858532685</v>
      </c>
      <c r="Q53">
        <v>1.5693860041600629</v>
      </c>
      <c r="R53">
        <v>1.8046114506375475</v>
      </c>
      <c r="S53">
        <v>1.6387176285256007</v>
      </c>
      <c r="T53">
        <v>1.5293328971782829</v>
      </c>
      <c r="U53">
        <v>2.1214089184352956</v>
      </c>
    </row>
    <row r="54" spans="1:21">
      <c r="A54">
        <v>46</v>
      </c>
      <c r="B54">
        <v>1.2652580308914185</v>
      </c>
      <c r="C54">
        <v>2.0856054544526819</v>
      </c>
      <c r="D54">
        <v>1.391393940336632</v>
      </c>
      <c r="E54">
        <v>1.7139755920137318</v>
      </c>
      <c r="F54">
        <v>2.2201301464129108</v>
      </c>
      <c r="G54">
        <v>1.9067696148841327</v>
      </c>
      <c r="H54">
        <v>1.7999536284901343</v>
      </c>
      <c r="I54">
        <v>1.5289744392838722</v>
      </c>
      <c r="J54">
        <v>2.160211304285125</v>
      </c>
      <c r="K54">
        <v>0.85751841606493462</v>
      </c>
      <c r="L54">
        <v>1.6651676654815672</v>
      </c>
      <c r="M54">
        <v>2.379872365518644</v>
      </c>
      <c r="N54">
        <v>1.8988999164324523</v>
      </c>
      <c r="O54">
        <v>1.9394648354226396</v>
      </c>
      <c r="P54">
        <v>2.2088101765220642</v>
      </c>
      <c r="Q54">
        <v>1.9904132305655116</v>
      </c>
      <c r="R54">
        <v>2.1161982059725899</v>
      </c>
      <c r="S54">
        <v>1.9746242660796551</v>
      </c>
      <c r="T54">
        <v>2.1179223575228918</v>
      </c>
      <c r="U54">
        <v>2.2294836082610141</v>
      </c>
    </row>
    <row r="55" spans="1:21">
      <c r="A55">
        <v>47</v>
      </c>
      <c r="B55">
        <v>5.0329444789886466</v>
      </c>
      <c r="C55">
        <v>4.8551336683843562</v>
      </c>
      <c r="D55">
        <v>6.3317932738216207</v>
      </c>
      <c r="E55">
        <v>5.7320210450590316</v>
      </c>
      <c r="F55">
        <v>5.1052864970320702</v>
      </c>
      <c r="G55">
        <v>5.6316764625955038</v>
      </c>
      <c r="H55">
        <v>7.224259709217451</v>
      </c>
      <c r="I55">
        <v>6.8287767887459134</v>
      </c>
      <c r="J55">
        <v>5.0214147328163197</v>
      </c>
      <c r="K55">
        <v>19.919278115946259</v>
      </c>
      <c r="L55">
        <v>5.066091949939727</v>
      </c>
      <c r="M55">
        <v>4.9137951596084344</v>
      </c>
      <c r="N55">
        <v>5.2223300845913592</v>
      </c>
      <c r="O55">
        <v>5.2643652288276268</v>
      </c>
      <c r="P55">
        <v>5.0233490521074522</v>
      </c>
      <c r="Q55">
        <v>5.2035180419034566</v>
      </c>
      <c r="R55">
        <v>4.7756554592216141</v>
      </c>
      <c r="S55">
        <v>5.133734099287806</v>
      </c>
      <c r="T55">
        <v>5.1338955852700154</v>
      </c>
      <c r="U55">
        <v>4.3153733149800813</v>
      </c>
    </row>
    <row r="56" spans="1:21">
      <c r="A56">
        <v>48</v>
      </c>
      <c r="B56">
        <v>4.8670256376266483</v>
      </c>
      <c r="C56">
        <v>4.281774864768396</v>
      </c>
      <c r="D56">
        <v>5.2289734499915461</v>
      </c>
      <c r="E56">
        <v>4.9419177310509195</v>
      </c>
      <c r="F56">
        <v>4.6302472691646033</v>
      </c>
      <c r="G56">
        <v>4.9174588595391349</v>
      </c>
      <c r="H56">
        <v>5.7467482233247393</v>
      </c>
      <c r="I56">
        <v>5.4848482704668564</v>
      </c>
      <c r="J56">
        <v>4.6024170591159921</v>
      </c>
      <c r="K56">
        <v>9.8705588780964408</v>
      </c>
      <c r="L56">
        <v>4.9436942648887641</v>
      </c>
      <c r="M56">
        <v>4.3892123319751155</v>
      </c>
      <c r="N56">
        <v>4.4804579351642921</v>
      </c>
      <c r="O56">
        <v>4.6391591783223554</v>
      </c>
      <c r="P56">
        <v>4.5599369482975067</v>
      </c>
      <c r="Q56">
        <v>4.5874339059652218</v>
      </c>
      <c r="R56">
        <v>4.1766999166470979</v>
      </c>
      <c r="S56">
        <v>4.4634205873069259</v>
      </c>
      <c r="T56">
        <v>4.6922332575349941</v>
      </c>
      <c r="U56">
        <v>3.7238685676475778</v>
      </c>
    </row>
    <row r="57" spans="1:21">
      <c r="A57">
        <v>49</v>
      </c>
      <c r="B57">
        <v>0.54578165769577025</v>
      </c>
      <c r="C57">
        <v>0.65356223555265691</v>
      </c>
      <c r="D57">
        <v>0.74233059643858623</v>
      </c>
      <c r="E57">
        <v>0.8540109111489862</v>
      </c>
      <c r="F57">
        <v>0.92615999206253852</v>
      </c>
      <c r="G57">
        <v>0.90420289869795689</v>
      </c>
      <c r="H57">
        <v>0.96512129837700955</v>
      </c>
      <c r="I57">
        <v>0.80678858757907679</v>
      </c>
      <c r="J57">
        <v>0.93797140581745797</v>
      </c>
      <c r="K57">
        <v>0.56725216697645575</v>
      </c>
      <c r="L57">
        <v>0.64104987859725948</v>
      </c>
      <c r="M57">
        <v>1.0696539188391874</v>
      </c>
      <c r="N57">
        <v>1.4622719127938837</v>
      </c>
      <c r="O57">
        <v>1.122305747344325</v>
      </c>
      <c r="P57">
        <v>0.9465114097724614</v>
      </c>
      <c r="Q57">
        <v>1.1255991369072167</v>
      </c>
      <c r="R57">
        <v>1.4690102271756196</v>
      </c>
      <c r="S57">
        <v>1.3128886712117303</v>
      </c>
      <c r="T57">
        <v>0.82956838209263495</v>
      </c>
      <c r="U57">
        <v>2.0441982666774297</v>
      </c>
    </row>
    <row r="58" spans="1:21">
      <c r="A58">
        <v>50</v>
      </c>
      <c r="B58">
        <v>0.86914959430694583</v>
      </c>
      <c r="C58">
        <v>1.6709993882658805</v>
      </c>
      <c r="D58">
        <v>1.1036990340802957</v>
      </c>
      <c r="E58">
        <v>1.3761085804170365</v>
      </c>
      <c r="F58">
        <v>1.8075648993551874</v>
      </c>
      <c r="G58">
        <v>1.5417760773708</v>
      </c>
      <c r="H58">
        <v>1.475566440619744</v>
      </c>
      <c r="I58">
        <v>1.2329034283154221</v>
      </c>
      <c r="J58">
        <v>1.7487288447316665</v>
      </c>
      <c r="K58">
        <v>0.71399512725171943</v>
      </c>
      <c r="L58">
        <v>1.1575017499923705</v>
      </c>
      <c r="M58">
        <v>2.0005370850929527</v>
      </c>
      <c r="N58">
        <v>1.7053661823884283</v>
      </c>
      <c r="O58">
        <v>1.6289115111655761</v>
      </c>
      <c r="P58">
        <v>1.8063429319617261</v>
      </c>
      <c r="Q58">
        <v>1.6755697889873935</v>
      </c>
      <c r="R58">
        <v>1.8836953487856092</v>
      </c>
      <c r="S58">
        <v>1.7211107323799049</v>
      </c>
      <c r="T58">
        <v>1.6841817610572118</v>
      </c>
      <c r="U58">
        <v>2.1453699943325093</v>
      </c>
    </row>
    <row r="59" spans="1:21">
      <c r="A59">
        <v>51</v>
      </c>
      <c r="B59">
        <v>4.9656708455085745</v>
      </c>
      <c r="C59">
        <v>4.5611751953232131</v>
      </c>
      <c r="D59">
        <v>5.7663825232930765</v>
      </c>
      <c r="E59">
        <v>5.3305369060865164</v>
      </c>
      <c r="F59">
        <v>4.8652604969961626</v>
      </c>
      <c r="G59">
        <v>5.2682042690683186</v>
      </c>
      <c r="H59">
        <v>6.4355172887993515</v>
      </c>
      <c r="I59">
        <v>6.1248767799454757</v>
      </c>
      <c r="J59">
        <v>4.8134284543278927</v>
      </c>
      <c r="K59">
        <v>13.897491271582103</v>
      </c>
      <c r="L59">
        <v>5.0167955112457268</v>
      </c>
      <c r="M59">
        <v>4.6448439094790732</v>
      </c>
      <c r="N59">
        <v>4.8419755790412182</v>
      </c>
      <c r="O59">
        <v>4.9477156267320872</v>
      </c>
      <c r="P59">
        <v>4.7891979607437758</v>
      </c>
      <c r="Q59">
        <v>4.8899869117149759</v>
      </c>
      <c r="R59">
        <v>4.4629914919329847</v>
      </c>
      <c r="S59">
        <v>4.7892769503003283</v>
      </c>
      <c r="T59">
        <v>4.9146587979081779</v>
      </c>
      <c r="U59">
        <v>4.0012302324591493</v>
      </c>
    </row>
    <row r="60" spans="1:21">
      <c r="A60">
        <v>52</v>
      </c>
      <c r="B60">
        <v>4.0064651393890376</v>
      </c>
      <c r="C60">
        <v>3.3386832028272306</v>
      </c>
      <c r="D60">
        <v>3.4149955814765867</v>
      </c>
      <c r="E60">
        <v>3.557913575149672</v>
      </c>
      <c r="F60">
        <v>3.7489122366847787</v>
      </c>
      <c r="G60">
        <v>3.667799501098211</v>
      </c>
      <c r="H60">
        <v>3.7588926027646727</v>
      </c>
      <c r="I60">
        <v>3.5114861823519585</v>
      </c>
      <c r="J60">
        <v>3.749819237554223</v>
      </c>
      <c r="K60">
        <v>3.1100924032039807</v>
      </c>
      <c r="L60">
        <v>4.2748782634735107</v>
      </c>
      <c r="M60">
        <v>3.5263500411749624</v>
      </c>
      <c r="N60">
        <v>3.2601863810543987</v>
      </c>
      <c r="O60">
        <v>3.5193056021293287</v>
      </c>
      <c r="P60">
        <v>3.700173590655746</v>
      </c>
      <c r="Q60">
        <v>3.5094776881856919</v>
      </c>
      <c r="R60">
        <v>3.2572867172808135</v>
      </c>
      <c r="S60">
        <v>3.357522694262757</v>
      </c>
      <c r="T60">
        <v>3.7935162427906572</v>
      </c>
      <c r="U60">
        <v>2.9220265062639528</v>
      </c>
    </row>
    <row r="61" spans="1:21">
      <c r="A61">
        <v>53</v>
      </c>
      <c r="B61">
        <v>4.0660528707504273</v>
      </c>
      <c r="C61">
        <v>3.376637950701463</v>
      </c>
      <c r="D61">
        <v>3.4879991668409307</v>
      </c>
      <c r="E61">
        <v>3.6165441260926743</v>
      </c>
      <c r="F61">
        <v>3.7885130545870229</v>
      </c>
      <c r="G61">
        <v>3.7211022312911544</v>
      </c>
      <c r="H61">
        <v>3.8312793849389393</v>
      </c>
      <c r="I61">
        <v>3.5859803170533056</v>
      </c>
      <c r="J61">
        <v>3.7899541810558515</v>
      </c>
      <c r="K61">
        <v>3.2580588711303129</v>
      </c>
      <c r="L61">
        <v>4.3228953886032109</v>
      </c>
      <c r="M61">
        <v>3.5610759559710847</v>
      </c>
      <c r="N61">
        <v>3.3092962407248878</v>
      </c>
      <c r="O61">
        <v>3.5675631053349051</v>
      </c>
      <c r="P61">
        <v>3.7388051336107493</v>
      </c>
      <c r="Q61">
        <v>3.5554566256041196</v>
      </c>
      <c r="R61">
        <v>3.2938794902562338</v>
      </c>
      <c r="S61">
        <v>3.4028246278504359</v>
      </c>
      <c r="T61">
        <v>3.8358221878664307</v>
      </c>
      <c r="U61">
        <v>2.9506816957022211</v>
      </c>
    </row>
    <row r="62" spans="1:21">
      <c r="A62">
        <v>54</v>
      </c>
      <c r="B62">
        <v>3.3479292964935303</v>
      </c>
      <c r="C62">
        <v>3.0031919779891414</v>
      </c>
      <c r="D62">
        <v>2.7696991787020746</v>
      </c>
      <c r="E62">
        <v>3.0237240747970109</v>
      </c>
      <c r="F62">
        <v>3.3725544068204627</v>
      </c>
      <c r="G62">
        <v>3.1781650303713271</v>
      </c>
      <c r="H62">
        <v>3.1356777634274291</v>
      </c>
      <c r="I62">
        <v>2.8671993059259275</v>
      </c>
      <c r="J62">
        <v>3.3622765262719509</v>
      </c>
      <c r="K62">
        <v>2.0622797006668567</v>
      </c>
      <c r="L62">
        <v>3.7261095285415649</v>
      </c>
      <c r="M62">
        <v>3.2193992552764841</v>
      </c>
      <c r="N62">
        <v>2.8260924166556904</v>
      </c>
      <c r="O62">
        <v>3.0752995384554742</v>
      </c>
      <c r="P62">
        <v>3.3330275456739038</v>
      </c>
      <c r="Q62">
        <v>3.0871189721130792</v>
      </c>
      <c r="R62">
        <v>2.9291815169363775</v>
      </c>
      <c r="S62">
        <v>2.9499536061897582</v>
      </c>
      <c r="T62">
        <v>3.3850103567076535</v>
      </c>
      <c r="U62">
        <v>2.6805355565682403</v>
      </c>
    </row>
    <row r="63" spans="1:21">
      <c r="A63">
        <v>55</v>
      </c>
      <c r="B63">
        <v>3.4490808010101319</v>
      </c>
      <c r="C63">
        <v>3.0474445558974552</v>
      </c>
      <c r="D63">
        <v>2.854816246522597</v>
      </c>
      <c r="E63">
        <v>3.0960469092898251</v>
      </c>
      <c r="F63">
        <v>3.4254161763533411</v>
      </c>
      <c r="G63">
        <v>3.2449792793732684</v>
      </c>
      <c r="H63">
        <v>3.2165427402169873</v>
      </c>
      <c r="I63">
        <v>2.9508719644756796</v>
      </c>
      <c r="J63">
        <v>3.4172714310028462</v>
      </c>
      <c r="K63">
        <v>2.177121184623894</v>
      </c>
      <c r="L63">
        <v>3.8126775264739989</v>
      </c>
      <c r="M63">
        <v>3.2598872399429859</v>
      </c>
      <c r="N63">
        <v>2.8833510736842118</v>
      </c>
      <c r="O63">
        <v>3.1359074017974411</v>
      </c>
      <c r="P63">
        <v>3.3845954634231772</v>
      </c>
      <c r="Q63">
        <v>3.1447529462528538</v>
      </c>
      <c r="R63">
        <v>2.9731900874070152</v>
      </c>
      <c r="S63">
        <v>3.0046291560241856</v>
      </c>
      <c r="T63">
        <v>3.4429800762588525</v>
      </c>
      <c r="U63">
        <v>2.7112092033431856</v>
      </c>
    </row>
    <row r="64" spans="1:21">
      <c r="A64">
        <v>56</v>
      </c>
      <c r="B64">
        <v>0.58009264707565311</v>
      </c>
      <c r="C64">
        <v>0.89194581786501836</v>
      </c>
      <c r="D64">
        <v>0.79965942711311544</v>
      </c>
      <c r="E64">
        <v>0.94977311968409484</v>
      </c>
      <c r="F64">
        <v>1.1222775046269495</v>
      </c>
      <c r="G64">
        <v>1.0310754603765147</v>
      </c>
      <c r="H64">
        <v>1.0607347155161782</v>
      </c>
      <c r="I64">
        <v>0.88257223957259179</v>
      </c>
      <c r="J64">
        <v>1.1096170009862427</v>
      </c>
      <c r="K64">
        <v>0.58833908148424874</v>
      </c>
      <c r="L64">
        <v>0.70649305820465091</v>
      </c>
      <c r="M64">
        <v>1.2877580673795477</v>
      </c>
      <c r="N64">
        <v>1.5008372903085399</v>
      </c>
      <c r="O64">
        <v>1.2185081671965854</v>
      </c>
      <c r="P64">
        <v>1.137828723711855</v>
      </c>
      <c r="Q64">
        <v>1.2350394142141814</v>
      </c>
      <c r="R64">
        <v>1.5525738710380352</v>
      </c>
      <c r="S64">
        <v>1.3903398659516755</v>
      </c>
      <c r="T64">
        <v>1.0104987257821525</v>
      </c>
      <c r="U64">
        <v>2.0599241621264288</v>
      </c>
    </row>
    <row r="65" spans="1:21">
      <c r="A65">
        <v>57</v>
      </c>
      <c r="B65">
        <v>5.1000009965896602</v>
      </c>
      <c r="C65">
        <v>5.4027026093649244</v>
      </c>
      <c r="D65">
        <v>7.3850079087389311</v>
      </c>
      <c r="E65">
        <v>6.4634556637331464</v>
      </c>
      <c r="F65">
        <v>5.5384672037173512</v>
      </c>
      <c r="G65">
        <v>6.2979358295716681</v>
      </c>
      <c r="H65">
        <v>8.9003758543276845</v>
      </c>
      <c r="I65">
        <v>8.2285966835715882</v>
      </c>
      <c r="J65">
        <v>5.3779206785702591</v>
      </c>
      <c r="K65">
        <v>38.948390431944063</v>
      </c>
      <c r="L65">
        <v>5.1146301531791689</v>
      </c>
      <c r="M65">
        <v>5.4147820836291691</v>
      </c>
      <c r="N65">
        <v>5.9308325871130627</v>
      </c>
      <c r="O65">
        <v>5.8364514536743926</v>
      </c>
      <c r="P65">
        <v>5.4459271695317071</v>
      </c>
      <c r="Q65">
        <v>5.7782334012809393</v>
      </c>
      <c r="R65">
        <v>5.3964030455500316</v>
      </c>
      <c r="S65">
        <v>5.7827711220374329</v>
      </c>
      <c r="T65">
        <v>5.50968584792831</v>
      </c>
      <c r="U65">
        <v>4.9677825517738334</v>
      </c>
    </row>
    <row r="66" spans="1:21">
      <c r="A66">
        <v>58</v>
      </c>
      <c r="B66">
        <v>0.64143957376480099</v>
      </c>
      <c r="C66">
        <v>1.1643949015423594</v>
      </c>
      <c r="D66">
        <v>0.88198640614684776</v>
      </c>
      <c r="E66">
        <v>1.07627246616063</v>
      </c>
      <c r="F66">
        <v>1.3528099365277626</v>
      </c>
      <c r="G66">
        <v>1.190606342642514</v>
      </c>
      <c r="H66">
        <v>1.1853067497057916</v>
      </c>
      <c r="I66">
        <v>0.98414296008708169</v>
      </c>
      <c r="J66">
        <v>1.3178778291680744</v>
      </c>
      <c r="K66">
        <v>0.61999940095486206</v>
      </c>
      <c r="L66">
        <v>0.81361469268798825</v>
      </c>
      <c r="M66">
        <v>1.5370297447309895</v>
      </c>
      <c r="N66">
        <v>1.5562190413179442</v>
      </c>
      <c r="O66">
        <v>1.343018423249644</v>
      </c>
      <c r="P66">
        <v>1.3627186127914666</v>
      </c>
      <c r="Q66">
        <v>1.3726507603021543</v>
      </c>
      <c r="R66">
        <v>1.6568992099627848</v>
      </c>
      <c r="S66">
        <v>1.4904733373848755</v>
      </c>
      <c r="T66">
        <v>1.2300249139313431</v>
      </c>
      <c r="U66">
        <v>2.0827191547711639</v>
      </c>
    </row>
    <row r="67" spans="1:21">
      <c r="A67">
        <v>59</v>
      </c>
      <c r="B67">
        <v>1.6040946388244628</v>
      </c>
      <c r="C67">
        <v>2.3048748297181016</v>
      </c>
      <c r="D67">
        <v>1.6066274678009806</v>
      </c>
      <c r="E67">
        <v>1.9442402973619735</v>
      </c>
      <c r="F67">
        <v>2.4623034137590265</v>
      </c>
      <c r="G67">
        <v>2.1430739481755103</v>
      </c>
      <c r="H67">
        <v>2.0226483390323926</v>
      </c>
      <c r="I67">
        <v>1.7414069478623366</v>
      </c>
      <c r="J67">
        <v>2.4089380493995902</v>
      </c>
      <c r="K67">
        <v>0.98345829941817398</v>
      </c>
      <c r="L67">
        <v>2.052538022994995</v>
      </c>
      <c r="M67">
        <v>2.580488364025523</v>
      </c>
      <c r="N67">
        <v>2.0436885357503343</v>
      </c>
      <c r="O67">
        <v>2.1458354590570874</v>
      </c>
      <c r="P67">
        <v>2.4450559783923516</v>
      </c>
      <c r="Q67">
        <v>2.1942493588985021</v>
      </c>
      <c r="R67">
        <v>2.265824892424019</v>
      </c>
      <c r="S67">
        <v>2.1456373265307978</v>
      </c>
      <c r="T67">
        <v>2.3801033673768481</v>
      </c>
      <c r="U67">
        <v>2.2945611252737823</v>
      </c>
    </row>
    <row r="68" spans="1:21">
      <c r="A68">
        <v>60</v>
      </c>
      <c r="B68">
        <v>4.1764479446411134</v>
      </c>
      <c r="C68">
        <v>3.4521219583424321</v>
      </c>
      <c r="D68">
        <v>3.6331879377878566</v>
      </c>
      <c r="E68">
        <v>3.7322253138716261</v>
      </c>
      <c r="F68">
        <v>3.8658462327094023</v>
      </c>
      <c r="G68">
        <v>3.8260915728706713</v>
      </c>
      <c r="H68">
        <v>3.9766812336307225</v>
      </c>
      <c r="I68">
        <v>3.7352171153770781</v>
      </c>
      <c r="J68">
        <v>3.867908816741255</v>
      </c>
      <c r="K68">
        <v>3.5735832874967528</v>
      </c>
      <c r="L68">
        <v>4.4111735916137693</v>
      </c>
      <c r="M68">
        <v>3.6301384939833508</v>
      </c>
      <c r="N68">
        <v>3.4069654186337419</v>
      </c>
      <c r="O68">
        <v>3.6625307077136418</v>
      </c>
      <c r="P68">
        <v>3.8142454944602733</v>
      </c>
      <c r="Q68">
        <v>3.6460204362872286</v>
      </c>
      <c r="R68">
        <v>3.3665279643643373</v>
      </c>
      <c r="S68">
        <v>3.4925691751751473</v>
      </c>
      <c r="T68">
        <v>3.9179935888446025</v>
      </c>
      <c r="U68">
        <v>3.0085087109874236</v>
      </c>
    </row>
    <row r="69" spans="1:21">
      <c r="A69">
        <v>61</v>
      </c>
      <c r="B69">
        <v>4.749800877571106</v>
      </c>
      <c r="C69">
        <v>4.0537399668738541</v>
      </c>
      <c r="D69">
        <v>4.7903625760725141</v>
      </c>
      <c r="E69">
        <v>4.6187548927032562</v>
      </c>
      <c r="F69">
        <v>4.4319348925871891</v>
      </c>
      <c r="G69">
        <v>4.6262552514230446</v>
      </c>
      <c r="H69">
        <v>5.2232180250809215</v>
      </c>
      <c r="I69">
        <v>4.9824003099077743</v>
      </c>
      <c r="J69">
        <v>4.4187292108802234</v>
      </c>
      <c r="K69">
        <v>7.4656044073029344</v>
      </c>
      <c r="L69">
        <v>4.8557578802108772</v>
      </c>
      <c r="M69">
        <v>4.1805764990862251</v>
      </c>
      <c r="N69">
        <v>4.1854023106958174</v>
      </c>
      <c r="O69">
        <v>4.3808475529117654</v>
      </c>
      <c r="P69">
        <v>4.3664784921320097</v>
      </c>
      <c r="Q69">
        <v>4.3362416607439318</v>
      </c>
      <c r="R69">
        <v>3.9494526819354254</v>
      </c>
      <c r="S69">
        <v>4.1978633535828482</v>
      </c>
      <c r="T69">
        <v>4.4986092645615363</v>
      </c>
      <c r="U69">
        <v>3.5118087829567788</v>
      </c>
    </row>
    <row r="70" spans="1:21">
      <c r="A70">
        <v>62</v>
      </c>
      <c r="B70">
        <v>0.82501383304595943</v>
      </c>
      <c r="C70">
        <v>1.6010877031851549</v>
      </c>
      <c r="D70">
        <v>1.0662558659313308</v>
      </c>
      <c r="E70">
        <v>1.3285629517082294</v>
      </c>
      <c r="F70">
        <v>1.7422054454073568</v>
      </c>
      <c r="G70">
        <v>1.4881313980412434</v>
      </c>
      <c r="H70">
        <v>1.4298370236115741</v>
      </c>
      <c r="I70">
        <v>1.1926330752912968</v>
      </c>
      <c r="J70">
        <v>1.6852388180588871</v>
      </c>
      <c r="K70">
        <v>0.69717553432431933</v>
      </c>
      <c r="L70">
        <v>1.0951750183105469</v>
      </c>
      <c r="M70">
        <v>1.9365728288314898</v>
      </c>
      <c r="N70">
        <v>1.6801779847918716</v>
      </c>
      <c r="O70">
        <v>1.5843141664124785</v>
      </c>
      <c r="P70">
        <v>1.7425832248027973</v>
      </c>
      <c r="Q70">
        <v>1.6292958862286218</v>
      </c>
      <c r="R70">
        <v>1.8492818747997655</v>
      </c>
      <c r="S70">
        <v>1.6850046661496845</v>
      </c>
      <c r="T70">
        <v>1.617257396726937</v>
      </c>
      <c r="U70">
        <v>2.1346586870322453</v>
      </c>
    </row>
    <row r="71" spans="1:21">
      <c r="A71">
        <v>63</v>
      </c>
      <c r="B71">
        <v>4.2819239521026606</v>
      </c>
      <c r="C71">
        <v>3.5318103928669138</v>
      </c>
      <c r="D71">
        <v>3.7864636610685398</v>
      </c>
      <c r="E71">
        <v>3.8531004307468448</v>
      </c>
      <c r="F71">
        <v>3.9456063739182046</v>
      </c>
      <c r="G71">
        <v>3.9355757746692954</v>
      </c>
      <c r="H71">
        <v>4.1324291997402165</v>
      </c>
      <c r="I71">
        <v>3.8943896038421162</v>
      </c>
      <c r="J71">
        <v>3.9476930089761897</v>
      </c>
      <c r="K71">
        <v>3.9398977193137728</v>
      </c>
      <c r="L71">
        <v>4.4947086477279665</v>
      </c>
      <c r="M71">
        <v>3.7030477857721715</v>
      </c>
      <c r="N71">
        <v>3.5100747279045095</v>
      </c>
      <c r="O71">
        <v>3.761425905461147</v>
      </c>
      <c r="P71">
        <v>3.892053415721171</v>
      </c>
      <c r="Q71">
        <v>3.740461513593845</v>
      </c>
      <c r="R71">
        <v>3.4431352884010509</v>
      </c>
      <c r="S71">
        <v>3.586871342862779</v>
      </c>
      <c r="T71">
        <v>4.0020935117576411</v>
      </c>
      <c r="U71">
        <v>3.0707868399994691</v>
      </c>
    </row>
    <row r="72" spans="1:21">
      <c r="A72">
        <v>64</v>
      </c>
      <c r="B72">
        <v>1.4237704372406006</v>
      </c>
      <c r="C72">
        <v>2.1971095905644527</v>
      </c>
      <c r="D72">
        <v>1.4938909010711217</v>
      </c>
      <c r="E72">
        <v>1.8255246802361182</v>
      </c>
      <c r="F72">
        <v>2.3406373614003755</v>
      </c>
      <c r="G72">
        <v>2.0222759164822861</v>
      </c>
      <c r="H72">
        <v>1.9075223870257325</v>
      </c>
      <c r="I72">
        <v>1.6307610126511891</v>
      </c>
      <c r="J72">
        <v>2.2834304072273239</v>
      </c>
      <c r="K72">
        <v>0.91534342668240054</v>
      </c>
      <c r="L72">
        <v>1.8504398822784422</v>
      </c>
      <c r="M72">
        <v>2.4818907781521102</v>
      </c>
      <c r="N72">
        <v>1.9678501102236314</v>
      </c>
      <c r="O72">
        <v>2.0399051775388708</v>
      </c>
      <c r="P72">
        <v>2.326367840701324</v>
      </c>
      <c r="Q72">
        <v>2.0900489714251544</v>
      </c>
      <c r="R72">
        <v>2.1893760096579515</v>
      </c>
      <c r="S72">
        <v>2.0575691697547369</v>
      </c>
      <c r="T72">
        <v>2.2478066963695933</v>
      </c>
      <c r="U72">
        <v>2.2602408938121918</v>
      </c>
    </row>
    <row r="73" spans="1:21">
      <c r="A73">
        <v>65</v>
      </c>
      <c r="B73">
        <v>0.98200531482696529</v>
      </c>
      <c r="C73">
        <v>1.8198282981428253</v>
      </c>
      <c r="D73">
        <v>1.1928143090499974</v>
      </c>
      <c r="E73">
        <v>1.4854760695438531</v>
      </c>
      <c r="F73">
        <v>1.9502789118328308</v>
      </c>
      <c r="G73">
        <v>1.6628098887408655</v>
      </c>
      <c r="H73">
        <v>1.580565251612398</v>
      </c>
      <c r="I73">
        <v>1.3268021349570218</v>
      </c>
      <c r="J73">
        <v>1.8890594816860637</v>
      </c>
      <c r="K73">
        <v>0.75567629131267866</v>
      </c>
      <c r="L73">
        <v>1.3104871654510499</v>
      </c>
      <c r="M73">
        <v>2.1367050306873243</v>
      </c>
      <c r="N73">
        <v>1.7653144524140345</v>
      </c>
      <c r="O73">
        <v>1.7305944395547246</v>
      </c>
      <c r="P73">
        <v>1.9455638570678842</v>
      </c>
      <c r="Q73">
        <v>1.7799735600203976</v>
      </c>
      <c r="R73">
        <v>1.9610802118238169</v>
      </c>
      <c r="S73">
        <v>1.8036837987307226</v>
      </c>
      <c r="T73">
        <v>1.8321032404832418</v>
      </c>
      <c r="U73">
        <v>2.1710797424592161</v>
      </c>
    </row>
    <row r="74" spans="1:21">
      <c r="A74">
        <v>66</v>
      </c>
      <c r="B74">
        <v>1.6873112583160399</v>
      </c>
      <c r="C74">
        <v>2.3494874316611654</v>
      </c>
      <c r="D74">
        <v>1.657828301927069</v>
      </c>
      <c r="E74">
        <v>1.9969514751449298</v>
      </c>
      <c r="F74">
        <v>2.5143929928728461</v>
      </c>
      <c r="G74">
        <v>2.1960823756657701</v>
      </c>
      <c r="H74">
        <v>2.0740382029851929</v>
      </c>
      <c r="I74">
        <v>1.7913190890860173</v>
      </c>
      <c r="J74">
        <v>2.4629653315360289</v>
      </c>
      <c r="K74">
        <v>1.0160453230991859</v>
      </c>
      <c r="L74">
        <v>2.1431388092041015</v>
      </c>
      <c r="M74">
        <v>2.6213057452670387</v>
      </c>
      <c r="N74">
        <v>2.0781315807925065</v>
      </c>
      <c r="O74">
        <v>2.1925748076622584</v>
      </c>
      <c r="P74">
        <v>2.4958706059591607</v>
      </c>
      <c r="Q74">
        <v>2.2399744307925982</v>
      </c>
      <c r="R74">
        <v>2.2993661276372226</v>
      </c>
      <c r="S74">
        <v>2.1846993356978066</v>
      </c>
      <c r="T74">
        <v>2.4370531231567392</v>
      </c>
      <c r="U74">
        <v>2.310319733451776</v>
      </c>
    </row>
    <row r="75" spans="1:21">
      <c r="A75">
        <v>67</v>
      </c>
      <c r="B75">
        <v>0.4833714199066162</v>
      </c>
      <c r="C75">
        <v>-1.0260444009094627</v>
      </c>
      <c r="D75">
        <v>0.54792284758178122</v>
      </c>
      <c r="E75">
        <v>0.42583319182303758</v>
      </c>
      <c r="F75">
        <v>-0.37599071087376856</v>
      </c>
      <c r="G75">
        <v>0.226523011300237</v>
      </c>
      <c r="H75">
        <v>0.51545556541457282</v>
      </c>
      <c r="I75">
        <v>0.47368117447223018</v>
      </c>
      <c r="J75">
        <v>-8.0150478592091901E-2</v>
      </c>
      <c r="K75">
        <v>0.50121266718851398</v>
      </c>
      <c r="L75">
        <v>0.49423946142196651</v>
      </c>
      <c r="M75">
        <v>-0.46706757756108264</v>
      </c>
      <c r="N75">
        <v>1.3314928939612496</v>
      </c>
      <c r="O75">
        <v>0.66117797621383545</v>
      </c>
      <c r="P75">
        <v>-0.32376767735519874</v>
      </c>
      <c r="Q75">
        <v>0.5410324361097385</v>
      </c>
      <c r="R75">
        <v>1.0173984040310111</v>
      </c>
      <c r="S75">
        <v>0.93448804974233779</v>
      </c>
      <c r="T75">
        <v>-0.24362631470631602</v>
      </c>
      <c r="U75">
        <v>1.9917586188161049</v>
      </c>
    </row>
    <row r="76" spans="1:21">
      <c r="A76">
        <v>68</v>
      </c>
      <c r="B76">
        <v>0.56838954448699952</v>
      </c>
      <c r="C76">
        <v>0.82126291347224489</v>
      </c>
      <c r="D76">
        <v>0.78138926407365306</v>
      </c>
      <c r="E76">
        <v>0.92005298550169456</v>
      </c>
      <c r="F76">
        <v>1.063643413062666</v>
      </c>
      <c r="G76">
        <v>0.99232243975210133</v>
      </c>
      <c r="H76">
        <v>1.0311964230680333</v>
      </c>
      <c r="I76">
        <v>0.85895845175512364</v>
      </c>
      <c r="J76">
        <v>1.0577669580567812</v>
      </c>
      <c r="K76">
        <v>0.58153513925771472</v>
      </c>
      <c r="L76">
        <v>0.68474806785583497</v>
      </c>
      <c r="M76">
        <v>1.2230881998936856</v>
      </c>
      <c r="N76">
        <v>1.4885468645911315</v>
      </c>
      <c r="O76">
        <v>1.1888454033345033</v>
      </c>
      <c r="P76">
        <v>1.0806297680618799</v>
      </c>
      <c r="Q76">
        <v>1.2016110569121226</v>
      </c>
      <c r="R76">
        <v>1.5271042379036353</v>
      </c>
      <c r="S76">
        <v>1.3664739949302069</v>
      </c>
      <c r="T76">
        <v>0.95584398163728368</v>
      </c>
      <c r="U76">
        <v>2.0548993764683225</v>
      </c>
    </row>
    <row r="77" spans="1:21">
      <c r="A77">
        <v>69</v>
      </c>
      <c r="B77">
        <v>0.52597233891487116</v>
      </c>
      <c r="C77">
        <v>0.45047924786088478</v>
      </c>
      <c r="D77">
        <v>0.70204953464925945</v>
      </c>
      <c r="E77">
        <v>0.78160085309590577</v>
      </c>
      <c r="F77">
        <v>0.76233794906253172</v>
      </c>
      <c r="G77">
        <v>0.80400097374743384</v>
      </c>
      <c r="H77">
        <v>0.89189299202226169</v>
      </c>
      <c r="I77">
        <v>0.75001501537307458</v>
      </c>
      <c r="J77">
        <v>0.79846536676202096</v>
      </c>
      <c r="K77">
        <v>0.55288953625998793</v>
      </c>
      <c r="L77">
        <v>0.60031225919723508</v>
      </c>
      <c r="M77">
        <v>0.88384732224434481</v>
      </c>
      <c r="N77">
        <v>1.4351746506254655</v>
      </c>
      <c r="O77">
        <v>1.0482623696991489</v>
      </c>
      <c r="P77">
        <v>0.78669909713907815</v>
      </c>
      <c r="Q77">
        <v>1.0391649520197033</v>
      </c>
      <c r="R77">
        <v>1.4026653358279533</v>
      </c>
      <c r="S77">
        <v>1.2531293371671863</v>
      </c>
      <c r="T77">
        <v>0.68251610517143924</v>
      </c>
      <c r="U77">
        <v>2.0332206184785289</v>
      </c>
    </row>
    <row r="78" spans="1:21">
      <c r="A78">
        <v>70</v>
      </c>
      <c r="B78">
        <v>1.3687900161743163</v>
      </c>
      <c r="C78">
        <v>2.160527335403247</v>
      </c>
      <c r="D78">
        <v>1.4587954651762602</v>
      </c>
      <c r="E78">
        <v>1.787747574824091</v>
      </c>
      <c r="F78">
        <v>2.300543167028843</v>
      </c>
      <c r="G78">
        <v>1.983389793654164</v>
      </c>
      <c r="H78">
        <v>1.8710376694077313</v>
      </c>
      <c r="I78">
        <v>1.59605658221655</v>
      </c>
      <c r="J78">
        <v>2.2423045248148812</v>
      </c>
      <c r="K78">
        <v>0.89511762802520167</v>
      </c>
      <c r="L78">
        <v>1.7870643138885498</v>
      </c>
      <c r="M78">
        <v>2.4484205972939073</v>
      </c>
      <c r="N78">
        <v>1.9442412432992258</v>
      </c>
      <c r="O78">
        <v>2.0059925904328448</v>
      </c>
      <c r="P78">
        <v>2.2872549972258778</v>
      </c>
      <c r="Q78">
        <v>2.0565058001562981</v>
      </c>
      <c r="R78">
        <v>2.1647522060161548</v>
      </c>
      <c r="S78">
        <v>2.0295049808079169</v>
      </c>
      <c r="T78">
        <v>2.2044562099670664</v>
      </c>
      <c r="U78">
        <v>2.2496619782366656</v>
      </c>
    </row>
    <row r="79" spans="1:21">
      <c r="A79">
        <v>71</v>
      </c>
      <c r="B79">
        <v>4.4109575891494757</v>
      </c>
      <c r="C79">
        <v>3.6423247275420829</v>
      </c>
      <c r="D79">
        <v>3.999031076670311</v>
      </c>
      <c r="E79">
        <v>4.0187811997144252</v>
      </c>
      <c r="F79">
        <v>4.0533833453727253</v>
      </c>
      <c r="G79">
        <v>4.0853543673918251</v>
      </c>
      <c r="H79">
        <v>4.3526201664182063</v>
      </c>
      <c r="I79">
        <v>4.1180186109949846</v>
      </c>
      <c r="J79">
        <v>4.0544425102959893</v>
      </c>
      <c r="K79">
        <v>4.5108694303462586</v>
      </c>
      <c r="L79">
        <v>4.5958312034606941</v>
      </c>
      <c r="M79">
        <v>3.8041605999686143</v>
      </c>
      <c r="N79">
        <v>3.6530698410708293</v>
      </c>
      <c r="O79">
        <v>3.8964509062857147</v>
      </c>
      <c r="P79">
        <v>3.9971924235210459</v>
      </c>
      <c r="Q79">
        <v>3.8696605342909334</v>
      </c>
      <c r="R79">
        <v>3.5494286227081888</v>
      </c>
      <c r="S79">
        <v>3.7170401563117941</v>
      </c>
      <c r="T79">
        <v>4.1146173661768799</v>
      </c>
      <c r="U79">
        <v>3.1592954196320355</v>
      </c>
    </row>
    <row r="80" spans="1:21">
      <c r="A80">
        <v>72</v>
      </c>
      <c r="B80">
        <v>0.66616183519363403</v>
      </c>
      <c r="C80">
        <v>1.2458867522008155</v>
      </c>
      <c r="D80">
        <v>0.91085962118743979</v>
      </c>
      <c r="E80">
        <v>1.1182439942257147</v>
      </c>
      <c r="F80">
        <v>1.4233793874582181</v>
      </c>
      <c r="G80">
        <v>1.2418249361890703</v>
      </c>
      <c r="H80">
        <v>1.2262890288707036</v>
      </c>
      <c r="I80">
        <v>1.0182545755789074</v>
      </c>
      <c r="J80">
        <v>1.3830229630568209</v>
      </c>
      <c r="K80">
        <v>0.63150205866249731</v>
      </c>
      <c r="L80">
        <v>0.85433227062225336</v>
      </c>
      <c r="M80">
        <v>1.6115890349657982</v>
      </c>
      <c r="N80">
        <v>1.5756421906304419</v>
      </c>
      <c r="O80">
        <v>1.3837621130026707</v>
      </c>
      <c r="P80">
        <v>1.4315607963458721</v>
      </c>
      <c r="Q80">
        <v>1.4168319213573675</v>
      </c>
      <c r="R80">
        <v>1.690214990299814</v>
      </c>
      <c r="S80">
        <v>1.5232526767043004</v>
      </c>
      <c r="T80">
        <v>1.2986939144530303</v>
      </c>
      <c r="U80">
        <v>2.0907732795757932</v>
      </c>
    </row>
    <row r="81" spans="1:21">
      <c r="A81">
        <v>73</v>
      </c>
      <c r="B81">
        <v>1.4680309009552002</v>
      </c>
      <c r="C81">
        <v>2.2251745661059461</v>
      </c>
      <c r="D81">
        <v>1.5218594199502584</v>
      </c>
      <c r="E81">
        <v>1.8553395755834998</v>
      </c>
      <c r="F81">
        <v>2.3717935961533478</v>
      </c>
      <c r="G81">
        <v>2.052808452326262</v>
      </c>
      <c r="H81">
        <v>1.936364299838738</v>
      </c>
      <c r="I81">
        <v>1.6583217152357117</v>
      </c>
      <c r="J81">
        <v>2.3154719656696012</v>
      </c>
      <c r="K81">
        <v>0.93178865335927785</v>
      </c>
      <c r="L81">
        <v>1.9008330345153808</v>
      </c>
      <c r="M81">
        <v>2.5075682494565843</v>
      </c>
      <c r="N81">
        <v>1.9866646661182612</v>
      </c>
      <c r="O81">
        <v>2.0665988712331655</v>
      </c>
      <c r="P81">
        <v>2.3567614912604302</v>
      </c>
      <c r="Q81">
        <v>2.1163863381925685</v>
      </c>
      <c r="R81">
        <v>2.2087038060787259</v>
      </c>
      <c r="S81">
        <v>2.0797029272305569</v>
      </c>
      <c r="T81">
        <v>2.2815814645225907</v>
      </c>
      <c r="U81">
        <v>2.2687071307225768</v>
      </c>
    </row>
    <row r="82" spans="1:21">
      <c r="A82">
        <v>74</v>
      </c>
      <c r="B82">
        <v>0.48010272990912195</v>
      </c>
      <c r="C82">
        <v>-2.9966237479132705</v>
      </c>
      <c r="D82">
        <v>0.49441140870511435</v>
      </c>
      <c r="E82">
        <v>0.20008403694777227</v>
      </c>
      <c r="F82">
        <v>-1.8373529345055961</v>
      </c>
      <c r="G82">
        <v>-0.30594225874596859</v>
      </c>
      <c r="H82">
        <v>0.25497398476576044</v>
      </c>
      <c r="I82">
        <v>0.2896684184520022</v>
      </c>
      <c r="J82">
        <v>-1.020402711816915</v>
      </c>
      <c r="K82">
        <v>0.48442441140239278</v>
      </c>
      <c r="L82">
        <v>0.48081766396760939</v>
      </c>
      <c r="M82">
        <v>-2.2700085621726616</v>
      </c>
      <c r="N82">
        <v>1.2954954940954264</v>
      </c>
      <c r="O82">
        <v>0.3780584391507561</v>
      </c>
      <c r="P82">
        <v>-1.7493614025760231</v>
      </c>
      <c r="Q82">
        <v>8.1727870652752888E-2</v>
      </c>
      <c r="R82">
        <v>0.67367648852555462</v>
      </c>
      <c r="S82">
        <v>0.68267300127906516</v>
      </c>
      <c r="T82">
        <v>-1.2347391920564115</v>
      </c>
      <c r="U82">
        <v>1.9775619949864134</v>
      </c>
    </row>
    <row r="83" spans="1:21">
      <c r="A83">
        <v>75</v>
      </c>
      <c r="B83">
        <v>1.7647692966461181</v>
      </c>
      <c r="C83">
        <v>2.3886532620345977</v>
      </c>
      <c r="D83">
        <v>1.705212194068132</v>
      </c>
      <c r="E83">
        <v>2.0451249874688049</v>
      </c>
      <c r="F83">
        <v>2.5610483805598165</v>
      </c>
      <c r="G83">
        <v>2.2442183698208171</v>
      </c>
      <c r="H83">
        <v>2.1211743590099426</v>
      </c>
      <c r="I83">
        <v>1.8373629157711795</v>
      </c>
      <c r="J83">
        <v>2.5114867834788148</v>
      </c>
      <c r="K83">
        <v>1.0471642825274206</v>
      </c>
      <c r="L83">
        <v>2.2261149311065673</v>
      </c>
      <c r="M83">
        <v>2.6571397150505809</v>
      </c>
      <c r="N83">
        <v>2.1100069507770849</v>
      </c>
      <c r="O83">
        <v>2.235140770510764</v>
      </c>
      <c r="P83">
        <v>2.541384050099651</v>
      </c>
      <c r="Q83">
        <v>2.2814965414765593</v>
      </c>
      <c r="R83">
        <v>2.3298295107911025</v>
      </c>
      <c r="S83">
        <v>2.2203863506007271</v>
      </c>
      <c r="T83">
        <v>2.4881992243292741</v>
      </c>
      <c r="U83">
        <v>2.3249999712548601</v>
      </c>
    </row>
    <row r="84" spans="1:21">
      <c r="A84">
        <v>76</v>
      </c>
      <c r="B84">
        <v>0.48961099624633786</v>
      </c>
      <c r="C84">
        <v>-0.43447117309274041</v>
      </c>
      <c r="D84">
        <v>0.58871990131845509</v>
      </c>
      <c r="E84">
        <v>0.53975047172137769</v>
      </c>
      <c r="F84">
        <v>7.2117246779794364E-2</v>
      </c>
      <c r="G84">
        <v>0.43196405882804867</v>
      </c>
      <c r="H84">
        <v>0.63962994830529218</v>
      </c>
      <c r="I84">
        <v>0.56232403294575284</v>
      </c>
      <c r="J84">
        <v>0.24781865821485694</v>
      </c>
      <c r="K84">
        <v>0.51440182898452169</v>
      </c>
      <c r="L84">
        <v>0.51353883624076846</v>
      </c>
      <c r="M84">
        <v>7.4180162323847387E-2</v>
      </c>
      <c r="N84">
        <v>1.3589372663708821</v>
      </c>
      <c r="O84">
        <v>0.79041126651095883</v>
      </c>
      <c r="P84">
        <v>0.11337232963418487</v>
      </c>
      <c r="Q84">
        <v>0.71824589278006967</v>
      </c>
      <c r="R84">
        <v>1.1544928957342184</v>
      </c>
      <c r="S84">
        <v>1.0426482183509582</v>
      </c>
      <c r="T84">
        <v>0.10208351014345807</v>
      </c>
      <c r="U84">
        <v>2.0026505375152941</v>
      </c>
    </row>
    <row r="85" spans="1:21">
      <c r="A85">
        <v>77</v>
      </c>
      <c r="B85">
        <v>4.5222990655899054</v>
      </c>
      <c r="C85">
        <v>3.7531675108866391</v>
      </c>
      <c r="D85">
        <v>4.2122302427596052</v>
      </c>
      <c r="E85">
        <v>4.1828726508292995</v>
      </c>
      <c r="F85">
        <v>4.1585730599987372</v>
      </c>
      <c r="G85">
        <v>4.2334519587634984</v>
      </c>
      <c r="H85">
        <v>4.5788340348131387</v>
      </c>
      <c r="I85">
        <v>4.3458262481003791</v>
      </c>
      <c r="J85">
        <v>4.1573847161425519</v>
      </c>
      <c r="K85">
        <v>5.16666431091123</v>
      </c>
      <c r="L85">
        <v>4.6821475696563724</v>
      </c>
      <c r="M85">
        <v>3.9055739215099043</v>
      </c>
      <c r="N85">
        <v>3.796489935799825</v>
      </c>
      <c r="O85">
        <v>4.0296134098688583</v>
      </c>
      <c r="P85">
        <v>4.0998075005386596</v>
      </c>
      <c r="Q85">
        <v>3.9974095231485349</v>
      </c>
      <c r="R85">
        <v>3.6563337188427902</v>
      </c>
      <c r="S85">
        <v>3.8470386516189512</v>
      </c>
      <c r="T85">
        <v>4.2231279787892264</v>
      </c>
      <c r="U85">
        <v>3.2506295657114759</v>
      </c>
    </row>
    <row r="86" spans="1:21">
      <c r="A86">
        <v>78</v>
      </c>
      <c r="B86">
        <v>0.51495565652847286</v>
      </c>
      <c r="C86">
        <v>0.2953784076296273</v>
      </c>
      <c r="D86">
        <v>0.67567341881290333</v>
      </c>
      <c r="E86">
        <v>0.73123183026291128</v>
      </c>
      <c r="F86">
        <v>0.63889010457317053</v>
      </c>
      <c r="G86">
        <v>0.73175046356292373</v>
      </c>
      <c r="H86">
        <v>0.84040627871204587</v>
      </c>
      <c r="I86">
        <v>0.71074218632369601</v>
      </c>
      <c r="J86">
        <v>0.69563845300810101</v>
      </c>
      <c r="K86">
        <v>0.54368246070665693</v>
      </c>
      <c r="L86">
        <v>0.5762402319908142</v>
      </c>
      <c r="M86">
        <v>0.74194100315813039</v>
      </c>
      <c r="N86">
        <v>1.4174313118440711</v>
      </c>
      <c r="O86">
        <v>0.9960077097228015</v>
      </c>
      <c r="P86">
        <v>0.66627277870127033</v>
      </c>
      <c r="Q86">
        <v>0.97684165874376383</v>
      </c>
      <c r="R86">
        <v>1.3546583501097691</v>
      </c>
      <c r="S86">
        <v>1.2108304134998054</v>
      </c>
      <c r="T86">
        <v>0.57412702109541192</v>
      </c>
      <c r="U86">
        <v>2.0260643923575223</v>
      </c>
    </row>
    <row r="87" spans="1:21">
      <c r="A87">
        <v>79</v>
      </c>
      <c r="B87">
        <v>2.7681920433044431</v>
      </c>
      <c r="C87">
        <v>2.7789123697095257</v>
      </c>
      <c r="D87">
        <v>2.338311369651751</v>
      </c>
      <c r="E87">
        <v>2.6460967307507266</v>
      </c>
      <c r="F87">
        <v>3.0837758248803731</v>
      </c>
      <c r="G87">
        <v>2.8254843141774071</v>
      </c>
      <c r="H87">
        <v>2.7284953517728057</v>
      </c>
      <c r="I87">
        <v>2.4477034630260488</v>
      </c>
      <c r="J87">
        <v>3.0598467163501031</v>
      </c>
      <c r="K87">
        <v>1.5669963637933297</v>
      </c>
      <c r="L87">
        <v>3.2117497634887693</v>
      </c>
      <c r="M87">
        <v>3.0141992472713413</v>
      </c>
      <c r="N87">
        <v>2.53589578233575</v>
      </c>
      <c r="O87">
        <v>2.755908694646652</v>
      </c>
      <c r="P87">
        <v>3.0513171471603608</v>
      </c>
      <c r="Q87">
        <v>2.7828965707488544</v>
      </c>
      <c r="R87">
        <v>2.7000164211064819</v>
      </c>
      <c r="S87">
        <v>2.6665823423312149</v>
      </c>
      <c r="T87">
        <v>3.0662213461460435</v>
      </c>
      <c r="U87">
        <v>2.5303315031600535</v>
      </c>
    </row>
    <row r="88" spans="1:21">
      <c r="A88">
        <v>80</v>
      </c>
      <c r="B88">
        <v>0.89955027103424068</v>
      </c>
      <c r="C88">
        <v>1.7148216144382897</v>
      </c>
      <c r="D88">
        <v>1.1285461125108855</v>
      </c>
      <c r="E88">
        <v>1.4071124428061035</v>
      </c>
      <c r="F88">
        <v>1.8490571459142293</v>
      </c>
      <c r="G88">
        <v>1.5764090502548387</v>
      </c>
      <c r="H88">
        <v>1.5053529348126551</v>
      </c>
      <c r="I88">
        <v>1.2593407883913239</v>
      </c>
      <c r="J88">
        <v>1.7892920026928341</v>
      </c>
      <c r="K88">
        <v>0.72537989449480633</v>
      </c>
      <c r="L88">
        <v>1.1995554256439209</v>
      </c>
      <c r="M88">
        <v>2.0406313283028417</v>
      </c>
      <c r="N88">
        <v>1.7220809304224871</v>
      </c>
      <c r="O88">
        <v>1.6578611925891655</v>
      </c>
      <c r="P88">
        <v>1.8468196087112327</v>
      </c>
      <c r="Q88">
        <v>1.7054441929266526</v>
      </c>
      <c r="R88">
        <v>1.9058736806724197</v>
      </c>
      <c r="S88">
        <v>1.7445825552229501</v>
      </c>
      <c r="T88">
        <v>1.726939083806039</v>
      </c>
      <c r="U88">
        <v>2.1525076089142523</v>
      </c>
    </row>
    <row r="89" spans="1:21">
      <c r="A89">
        <v>81</v>
      </c>
      <c r="B89">
        <v>2.1084715270996091</v>
      </c>
      <c r="C89">
        <v>2.5413626766838511</v>
      </c>
      <c r="D89">
        <v>1.9150797964558097</v>
      </c>
      <c r="E89">
        <v>2.2523062621746517</v>
      </c>
      <c r="F89">
        <v>2.7525085499529509</v>
      </c>
      <c r="G89">
        <v>2.4482455283695868</v>
      </c>
      <c r="H89">
        <v>2.3260926241834277</v>
      </c>
      <c r="I89">
        <v>2.0401448309112964</v>
      </c>
      <c r="J89">
        <v>2.7116392392169963</v>
      </c>
      <c r="K89">
        <v>1.1968607521361339</v>
      </c>
      <c r="L89">
        <v>2.5805994701385497</v>
      </c>
      <c r="M89">
        <v>2.796858048557834</v>
      </c>
      <c r="N89">
        <v>2.2511858867321219</v>
      </c>
      <c r="O89">
        <v>2.416691711924746</v>
      </c>
      <c r="P89">
        <v>2.7281580146258708</v>
      </c>
      <c r="Q89">
        <v>2.4574903774511276</v>
      </c>
      <c r="R89">
        <v>2.4591272278166043</v>
      </c>
      <c r="S89">
        <v>2.3738641393486826</v>
      </c>
      <c r="T89">
        <v>2.699178437465505</v>
      </c>
      <c r="U89">
        <v>2.3911497846842815</v>
      </c>
    </row>
    <row r="90" spans="1:21">
      <c r="A90">
        <v>82</v>
      </c>
      <c r="B90">
        <v>2.4748027992248538</v>
      </c>
      <c r="C90">
        <v>2.6777782763811357</v>
      </c>
      <c r="D90">
        <v>2.1445156509413343</v>
      </c>
      <c r="E90">
        <v>2.4691940741864356</v>
      </c>
      <c r="F90">
        <v>2.9394932016185416</v>
      </c>
      <c r="G90">
        <v>2.6574697972681567</v>
      </c>
      <c r="H90">
        <v>2.5453143594242054</v>
      </c>
      <c r="I90">
        <v>2.260943337590624</v>
      </c>
      <c r="J90">
        <v>2.9081053759131978</v>
      </c>
      <c r="K90">
        <v>1.3851062566778194</v>
      </c>
      <c r="L90">
        <v>2.9379655265808107</v>
      </c>
      <c r="M90">
        <v>2.9216686916859871</v>
      </c>
      <c r="N90">
        <v>2.4055284790983604</v>
      </c>
      <c r="O90">
        <v>2.6043868151607752</v>
      </c>
      <c r="P90">
        <v>2.9105660047986244</v>
      </c>
      <c r="Q90">
        <v>2.6379672410429524</v>
      </c>
      <c r="R90">
        <v>2.5923255132894538</v>
      </c>
      <c r="S90">
        <v>2.5348283671670933</v>
      </c>
      <c r="T90">
        <v>2.9062719291501669</v>
      </c>
      <c r="U90">
        <v>2.4656228337669046</v>
      </c>
    </row>
    <row r="91" spans="1:21">
      <c r="A91">
        <v>83</v>
      </c>
      <c r="B91">
        <v>2.9213711929321287</v>
      </c>
      <c r="C91">
        <v>2.8342947767681044</v>
      </c>
      <c r="D91">
        <v>2.4448359682284861</v>
      </c>
      <c r="E91">
        <v>2.7412506811520707</v>
      </c>
      <c r="F91">
        <v>3.1587942045631681</v>
      </c>
      <c r="G91">
        <v>2.9150417542732101</v>
      </c>
      <c r="H91">
        <v>2.8288893044717556</v>
      </c>
      <c r="I91">
        <v>2.5506997469446406</v>
      </c>
      <c r="J91">
        <v>3.1386491674797377</v>
      </c>
      <c r="K91">
        <v>1.6769582478185932</v>
      </c>
      <c r="L91">
        <v>3.3508776187896729</v>
      </c>
      <c r="M91">
        <v>3.0648702398726662</v>
      </c>
      <c r="N91">
        <v>2.6075553872914505</v>
      </c>
      <c r="O91">
        <v>2.8368824634854635</v>
      </c>
      <c r="P91">
        <v>3.1244993668883625</v>
      </c>
      <c r="Q91">
        <v>2.8601488225305967</v>
      </c>
      <c r="R91">
        <v>2.7577654532694855</v>
      </c>
      <c r="S91">
        <v>2.7376845407278592</v>
      </c>
      <c r="T91">
        <v>3.1492864230706279</v>
      </c>
      <c r="U91">
        <v>2.566620690796666</v>
      </c>
    </row>
    <row r="92" spans="1:21">
      <c r="A92">
        <v>84</v>
      </c>
      <c r="B92">
        <v>1.0821725606918333</v>
      </c>
      <c r="C92">
        <v>1.9271274030494534</v>
      </c>
      <c r="D92">
        <v>1.2661868636682185</v>
      </c>
      <c r="E92">
        <v>1.5720816925529797</v>
      </c>
      <c r="F92">
        <v>2.0566384070108032</v>
      </c>
      <c r="G92">
        <v>1.7565702465646886</v>
      </c>
      <c r="H92">
        <v>1.6636473135158976</v>
      </c>
      <c r="I92">
        <v>1.4024534735015513</v>
      </c>
      <c r="J92">
        <v>1.9950755386308789</v>
      </c>
      <c r="K92">
        <v>0.79181450389451613</v>
      </c>
      <c r="L92">
        <v>1.4400396537780762</v>
      </c>
      <c r="M92">
        <v>2.2348761366326073</v>
      </c>
      <c r="N92">
        <v>1.8146725194594107</v>
      </c>
      <c r="O92">
        <v>1.8102934830289592</v>
      </c>
      <c r="P92">
        <v>2.0493200829312754</v>
      </c>
      <c r="Q92">
        <v>1.8608512488199425</v>
      </c>
      <c r="R92">
        <v>2.0208126612028687</v>
      </c>
      <c r="S92">
        <v>1.8686823750885433</v>
      </c>
      <c r="T92">
        <v>1.9438539766484844</v>
      </c>
      <c r="U92">
        <v>2.1924788216514717</v>
      </c>
    </row>
    <row r="93" spans="1:21">
      <c r="A93">
        <v>85</v>
      </c>
      <c r="B93">
        <v>2.0158176040649414</v>
      </c>
      <c r="C93">
        <v>2.5030589840028656</v>
      </c>
      <c r="D93">
        <v>1.8583106349969949</v>
      </c>
      <c r="E93">
        <v>2.1971814200464976</v>
      </c>
      <c r="F93">
        <v>2.7029154561487085</v>
      </c>
      <c r="G93">
        <v>2.3943987748967972</v>
      </c>
      <c r="H93">
        <v>2.2711868369985964</v>
      </c>
      <c r="I93">
        <v>1.9854267936102961</v>
      </c>
      <c r="J93">
        <v>2.6596614647316921</v>
      </c>
      <c r="K93">
        <v>1.1543748086672518</v>
      </c>
      <c r="L93">
        <v>2.4870592689514162</v>
      </c>
      <c r="M93">
        <v>2.7618128738981498</v>
      </c>
      <c r="N93">
        <v>2.2129970013651934</v>
      </c>
      <c r="O93">
        <v>2.3686149543528847</v>
      </c>
      <c r="P93">
        <v>2.6797787680583016</v>
      </c>
      <c r="Q93">
        <v>2.411042165527479</v>
      </c>
      <c r="R93">
        <v>2.4249627459577741</v>
      </c>
      <c r="S93">
        <v>2.3330160734424901</v>
      </c>
      <c r="T93">
        <v>2.6443890524387892</v>
      </c>
      <c r="U93">
        <v>2.3730727764962358</v>
      </c>
    </row>
    <row r="94" spans="1:21">
      <c r="A94">
        <v>86</v>
      </c>
      <c r="B94">
        <v>3.7258178138732911</v>
      </c>
      <c r="C94">
        <v>3.180116456148915</v>
      </c>
      <c r="D94">
        <v>3.1100023546625133</v>
      </c>
      <c r="E94">
        <v>3.3092732591560958</v>
      </c>
      <c r="F94">
        <v>3.5775391797285048</v>
      </c>
      <c r="G94">
        <v>3.440914451845702</v>
      </c>
      <c r="H94">
        <v>3.4610765809025694</v>
      </c>
      <c r="I94">
        <v>3.2039753251302554</v>
      </c>
      <c r="J94">
        <v>3.5746021746321346</v>
      </c>
      <c r="K94">
        <v>2.5611915771980063</v>
      </c>
      <c r="L94">
        <v>4.0451852512359618</v>
      </c>
      <c r="M94">
        <v>3.3812726623738816</v>
      </c>
      <c r="N94">
        <v>3.0550159843603719</v>
      </c>
      <c r="O94">
        <v>3.3136576705426997</v>
      </c>
      <c r="P94">
        <v>3.5329950836996731</v>
      </c>
      <c r="Q94">
        <v>3.3137666346806109</v>
      </c>
      <c r="R94">
        <v>3.1035597892724769</v>
      </c>
      <c r="S94">
        <v>3.1667073225490969</v>
      </c>
      <c r="T94">
        <v>3.6088212415377114</v>
      </c>
      <c r="U94">
        <v>2.8052903546579988</v>
      </c>
    </row>
    <row r="95" spans="1:21">
      <c r="A95">
        <v>87</v>
      </c>
      <c r="B95">
        <v>2.785788450241089</v>
      </c>
      <c r="C95">
        <v>2.7851637112161538</v>
      </c>
      <c r="D95">
        <v>2.3503354343309066</v>
      </c>
      <c r="E95">
        <v>2.6569070473781258</v>
      </c>
      <c r="F95">
        <v>3.0923842136007678</v>
      </c>
      <c r="G95">
        <v>2.8356855652862816</v>
      </c>
      <c r="H95">
        <v>2.739832202662694</v>
      </c>
      <c r="I95">
        <v>2.4593144503839968</v>
      </c>
      <c r="J95">
        <v>3.0688944602273134</v>
      </c>
      <c r="K95">
        <v>1.579038307911363</v>
      </c>
      <c r="L95">
        <v>3.2278586483001708</v>
      </c>
      <c r="M95">
        <v>3.0199187834210734</v>
      </c>
      <c r="N95">
        <v>2.5439844279291846</v>
      </c>
      <c r="O95">
        <v>2.7651259453449288</v>
      </c>
      <c r="P95">
        <v>3.0597148358001816</v>
      </c>
      <c r="Q95">
        <v>2.7916961704058849</v>
      </c>
      <c r="R95">
        <v>2.706581240352381</v>
      </c>
      <c r="S95">
        <v>2.6746512196412899</v>
      </c>
      <c r="T95">
        <v>3.0757585055919856</v>
      </c>
      <c r="U95">
        <v>2.5344018546569207</v>
      </c>
    </row>
    <row r="96" spans="1:21">
      <c r="A96">
        <v>88</v>
      </c>
      <c r="B96">
        <v>4.9038351297378533</v>
      </c>
      <c r="C96">
        <v>4.372875232587802</v>
      </c>
      <c r="D96">
        <v>5.4041993137191859</v>
      </c>
      <c r="E96">
        <v>5.0694565431224792</v>
      </c>
      <c r="F96">
        <v>4.7077347327711232</v>
      </c>
      <c r="G96">
        <v>5.0324779060234306</v>
      </c>
      <c r="H96">
        <v>5.965287801275954</v>
      </c>
      <c r="I96">
        <v>5.6905169003708274</v>
      </c>
      <c r="J96">
        <v>4.6727961008511141</v>
      </c>
      <c r="K96">
        <v>11.035500623545525</v>
      </c>
      <c r="L96">
        <v>4.9710753607749947</v>
      </c>
      <c r="M96">
        <v>4.4725627370752861</v>
      </c>
      <c r="N96">
        <v>4.5983332084862454</v>
      </c>
      <c r="O96">
        <v>4.740660615873816</v>
      </c>
      <c r="P96">
        <v>4.6355278183189021</v>
      </c>
      <c r="Q96">
        <v>4.6866493405421323</v>
      </c>
      <c r="R96">
        <v>4.2690053226652953</v>
      </c>
      <c r="S96">
        <v>4.5695623077262795</v>
      </c>
      <c r="T96">
        <v>4.7664192813426709</v>
      </c>
      <c r="U96">
        <v>3.8121243055904297</v>
      </c>
    </row>
    <row r="97" spans="1:21">
      <c r="A97">
        <v>89</v>
      </c>
      <c r="B97">
        <v>3.2525230121612547</v>
      </c>
      <c r="C97">
        <v>2.9631352284310455</v>
      </c>
      <c r="D97">
        <v>2.6926525244739241</v>
      </c>
      <c r="E97">
        <v>2.9576902055314767</v>
      </c>
      <c r="F97">
        <v>3.323668354512392</v>
      </c>
      <c r="G97">
        <v>3.1169797882084245</v>
      </c>
      <c r="H97">
        <v>3.0627051383676882</v>
      </c>
      <c r="I97">
        <v>2.7917507465673563</v>
      </c>
      <c r="J97">
        <v>3.3112931250592781</v>
      </c>
      <c r="K97">
        <v>1.9635592720538131</v>
      </c>
      <c r="L97">
        <v>3.643643350601196</v>
      </c>
      <c r="M97">
        <v>3.1827501573356063</v>
      </c>
      <c r="N97">
        <v>2.7742627652989613</v>
      </c>
      <c r="O97">
        <v>3.019812842586111</v>
      </c>
      <c r="P97">
        <v>3.2853380349597137</v>
      </c>
      <c r="Q97">
        <v>3.0343405795212508</v>
      </c>
      <c r="R97">
        <v>2.8890627937427067</v>
      </c>
      <c r="S97">
        <v>2.9001553830469655</v>
      </c>
      <c r="T97">
        <v>3.3312691331429072</v>
      </c>
      <c r="U97">
        <v>2.6530695876436927</v>
      </c>
    </row>
    <row r="98" spans="1:21">
      <c r="A98">
        <v>90</v>
      </c>
      <c r="B98">
        <v>3.6406193161010743</v>
      </c>
      <c r="C98">
        <v>3.1372056944599267</v>
      </c>
      <c r="D98">
        <v>3.0274661864763508</v>
      </c>
      <c r="E98">
        <v>3.2408671082562641</v>
      </c>
      <c r="F98">
        <v>3.5293039155408117</v>
      </c>
      <c r="G98">
        <v>3.3782118590224073</v>
      </c>
      <c r="H98">
        <v>3.3815912022082588</v>
      </c>
      <c r="I98">
        <v>3.1217227497229016</v>
      </c>
      <c r="J98">
        <v>3.5248796120962465</v>
      </c>
      <c r="K98">
        <v>2.4300804523591517</v>
      </c>
      <c r="L98">
        <v>3.9742607307434081</v>
      </c>
      <c r="M98">
        <v>3.3420123448192456</v>
      </c>
      <c r="N98">
        <v>2.999493510811531</v>
      </c>
      <c r="O98">
        <v>3.2567799291136561</v>
      </c>
      <c r="P98">
        <v>3.4859404323282632</v>
      </c>
      <c r="Q98">
        <v>3.2596793753421185</v>
      </c>
      <c r="R98">
        <v>3.0616147696063218</v>
      </c>
      <c r="S98">
        <v>3.114561147747489</v>
      </c>
      <c r="T98">
        <v>3.5564090586331902</v>
      </c>
      <c r="U98">
        <v>2.7745093616887995</v>
      </c>
    </row>
    <row r="99" spans="1:21">
      <c r="A99">
        <v>91</v>
      </c>
      <c r="B99">
        <v>5.1460557281970978</v>
      </c>
      <c r="C99">
        <v>7.0295730502364542</v>
      </c>
      <c r="D99">
        <v>10.514191522352766</v>
      </c>
      <c r="E99">
        <v>8.5489962394385373</v>
      </c>
      <c r="F99">
        <v>6.7705542892427513</v>
      </c>
      <c r="G99">
        <v>8.2343332917278271</v>
      </c>
      <c r="H99">
        <v>16.111750988079063</v>
      </c>
      <c r="I99">
        <v>13.146869820036045</v>
      </c>
      <c r="J99">
        <v>6.273761400126741</v>
      </c>
      <c r="K99">
        <v>285.57155279931703</v>
      </c>
      <c r="L99">
        <v>5.1473038661479951</v>
      </c>
      <c r="M99">
        <v>6.9032536841055148</v>
      </c>
      <c r="N99">
        <v>8.035849311713898</v>
      </c>
      <c r="O99">
        <v>7.4414834536686438</v>
      </c>
      <c r="P99">
        <v>6.6478575257752262</v>
      </c>
      <c r="Q99">
        <v>7.4485699376534731</v>
      </c>
      <c r="R99">
        <v>7.6393122237966011</v>
      </c>
      <c r="S99">
        <v>7.7993103836135624</v>
      </c>
      <c r="T99">
        <v>6.4539848815440379</v>
      </c>
      <c r="U99">
        <v>7.5479120106365505</v>
      </c>
    </row>
    <row r="100" spans="1:21">
      <c r="A100">
        <v>92</v>
      </c>
      <c r="B100">
        <v>0.5008818155527115</v>
      </c>
      <c r="C100">
        <v>3.987007391587305E-3</v>
      </c>
      <c r="D100">
        <v>0.63455433931956207</v>
      </c>
      <c r="E100">
        <v>0.6466035905190497</v>
      </c>
      <c r="F100">
        <v>0.41017250999019961</v>
      </c>
      <c r="G100">
        <v>0.60477572286237047</v>
      </c>
      <c r="H100">
        <v>0.75273992355190866</v>
      </c>
      <c r="I100">
        <v>0.64505128044138538</v>
      </c>
      <c r="J100">
        <v>0.51022557786053424</v>
      </c>
      <c r="K100">
        <v>0.52963395050895679</v>
      </c>
      <c r="L100">
        <v>0.54321635007858271</v>
      </c>
      <c r="M100">
        <v>0.47533844343308695</v>
      </c>
      <c r="N100">
        <v>1.3897703111737676</v>
      </c>
      <c r="O100">
        <v>0.90663024391408431</v>
      </c>
      <c r="P100">
        <v>0.44315330673712383</v>
      </c>
      <c r="Q100">
        <v>0.86731324180791325</v>
      </c>
      <c r="R100">
        <v>1.2700134088908246</v>
      </c>
      <c r="S100">
        <v>1.1381346161703199</v>
      </c>
      <c r="T100">
        <v>0.37868469009983263</v>
      </c>
      <c r="U100">
        <v>2.0149583913723021</v>
      </c>
    </row>
    <row r="101" spans="1:21">
      <c r="A101">
        <v>93</v>
      </c>
      <c r="B101">
        <v>1.6611504650115967</v>
      </c>
      <c r="C101">
        <v>2.3357608176944007</v>
      </c>
      <c r="D101">
        <v>1.6417696429709276</v>
      </c>
      <c r="E101">
        <v>1.9804946619235144</v>
      </c>
      <c r="F101">
        <v>2.4982498907339656</v>
      </c>
      <c r="G101">
        <v>2.1795716802608789</v>
      </c>
      <c r="H101">
        <v>2.0579738568647152</v>
      </c>
      <c r="I101">
        <v>1.7756838008814815</v>
      </c>
      <c r="J101">
        <v>2.4462045915025641</v>
      </c>
      <c r="K101">
        <v>1.0057101432610933</v>
      </c>
      <c r="L101">
        <v>2.1148224449157715</v>
      </c>
      <c r="M101">
        <v>2.6087468625515315</v>
      </c>
      <c r="N101">
        <v>2.06732884440776</v>
      </c>
      <c r="O101">
        <v>2.17800112433408</v>
      </c>
      <c r="P101">
        <v>2.4801226245602757</v>
      </c>
      <c r="Q101">
        <v>2.225732304207181</v>
      </c>
      <c r="R101">
        <v>2.2889185966399497</v>
      </c>
      <c r="S101">
        <v>2.1725057444506457</v>
      </c>
      <c r="T101">
        <v>2.4193857518981674</v>
      </c>
      <c r="U101">
        <v>2.3053655804112085</v>
      </c>
    </row>
    <row r="102" spans="1:21">
      <c r="A102">
        <v>94</v>
      </c>
      <c r="B102">
        <v>0.49915685772895813</v>
      </c>
      <c r="C102">
        <v>-4.4754039983015748E-2</v>
      </c>
      <c r="D102">
        <v>0.62860181189764419</v>
      </c>
      <c r="E102">
        <v>0.63359345530730771</v>
      </c>
      <c r="F102">
        <v>0.37226676052044194</v>
      </c>
      <c r="G102">
        <v>0.58454970062569922</v>
      </c>
      <c r="H102">
        <v>0.73912114772365434</v>
      </c>
      <c r="I102">
        <v>0.63497440946359862</v>
      </c>
      <c r="J102">
        <v>0.48012298097761352</v>
      </c>
      <c r="K102">
        <v>0.52763054688923128</v>
      </c>
      <c r="L102">
        <v>0.53891968250274658</v>
      </c>
      <c r="M102">
        <v>0.4307438260794747</v>
      </c>
      <c r="N102">
        <v>1.3857660176186473</v>
      </c>
      <c r="O102">
        <v>0.89269554222408076</v>
      </c>
      <c r="P102">
        <v>0.4061753434915838</v>
      </c>
      <c r="Q102">
        <v>0.84986627413332405</v>
      </c>
      <c r="R102">
        <v>1.2565051150039586</v>
      </c>
      <c r="S102">
        <v>1.1267510544966344</v>
      </c>
      <c r="T102">
        <v>0.34695376688786128</v>
      </c>
      <c r="U102">
        <v>2.013355703959526</v>
      </c>
    </row>
    <row r="103" spans="1:21">
      <c r="A103">
        <v>95</v>
      </c>
      <c r="B103">
        <v>5.1444184517860414</v>
      </c>
      <c r="C103">
        <v>6.807400805294435</v>
      </c>
      <c r="D103">
        <v>10.0868570949721</v>
      </c>
      <c r="E103">
        <v>8.2700917882895695</v>
      </c>
      <c r="F103">
        <v>6.6050173226796822</v>
      </c>
      <c r="G103">
        <v>7.9720444313771628</v>
      </c>
      <c r="H103">
        <v>14.876982638812907</v>
      </c>
      <c r="I103">
        <v>12.402926774530416</v>
      </c>
      <c r="J103">
        <v>6.162392738660416</v>
      </c>
      <c r="K103">
        <v>217.54851983033177</v>
      </c>
      <c r="L103">
        <v>5.1461672088503843</v>
      </c>
      <c r="M103">
        <v>6.6999817647797748</v>
      </c>
      <c r="N103">
        <v>7.7483794065538252</v>
      </c>
      <c r="O103">
        <v>7.2286817421100924</v>
      </c>
      <c r="P103">
        <v>6.4863722642786517</v>
      </c>
      <c r="Q103">
        <v>7.2223195551315937</v>
      </c>
      <c r="R103">
        <v>7.2907700431819054</v>
      </c>
      <c r="S103">
        <v>7.5145824173953182</v>
      </c>
      <c r="T103">
        <v>6.3365920048114335</v>
      </c>
      <c r="U103">
        <v>7.1288257170102556</v>
      </c>
    </row>
    <row r="104" spans="1:21">
      <c r="A104">
        <v>96</v>
      </c>
      <c r="B104">
        <v>1.9340016603469847</v>
      </c>
      <c r="C104">
        <v>2.4676245892438713</v>
      </c>
      <c r="D104">
        <v>1.8083789367366081</v>
      </c>
      <c r="E104">
        <v>2.1481562184367853</v>
      </c>
      <c r="F104">
        <v>2.6580200978344211</v>
      </c>
      <c r="G104">
        <v>2.3462534219469831</v>
      </c>
      <c r="H104">
        <v>2.2226005506270963</v>
      </c>
      <c r="I104">
        <v>1.9372315668840767</v>
      </c>
      <c r="J104">
        <v>2.6126792619003796</v>
      </c>
      <c r="K104">
        <v>1.1182544316372189</v>
      </c>
      <c r="L104">
        <v>2.403272581100464</v>
      </c>
      <c r="M104">
        <v>2.7293929042719411</v>
      </c>
      <c r="N104">
        <v>2.17940771006616</v>
      </c>
      <c r="O104">
        <v>2.3257220679964714</v>
      </c>
      <c r="P104">
        <v>2.635982274574757</v>
      </c>
      <c r="Q104">
        <v>2.3695119819467383</v>
      </c>
      <c r="R104">
        <v>2.3944440280530981</v>
      </c>
      <c r="S104">
        <v>2.2966990446360849</v>
      </c>
      <c r="T104">
        <v>2.5948654622924696</v>
      </c>
      <c r="U104">
        <v>2.3572860194147363</v>
      </c>
    </row>
    <row r="105" spans="1:21">
      <c r="A105">
        <v>97</v>
      </c>
      <c r="B105">
        <v>5.003367729187012</v>
      </c>
      <c r="C105">
        <v>4.709497905133075</v>
      </c>
      <c r="D105">
        <v>6.0516719854429848</v>
      </c>
      <c r="E105">
        <v>5.5339825353470822</v>
      </c>
      <c r="F105">
        <v>4.9871723671725752</v>
      </c>
      <c r="G105">
        <v>5.4522198255622243</v>
      </c>
      <c r="H105">
        <v>6.8247323082841804</v>
      </c>
      <c r="I105">
        <v>6.4760347510930787</v>
      </c>
      <c r="J105">
        <v>4.920014662092103</v>
      </c>
      <c r="K105">
        <v>16.665544506439424</v>
      </c>
      <c r="L105">
        <v>5.0444816827774055</v>
      </c>
      <c r="M105">
        <v>4.7805487177485038</v>
      </c>
      <c r="N105">
        <v>5.0338911593750879</v>
      </c>
      <c r="O105">
        <v>5.108426519234488</v>
      </c>
      <c r="P105">
        <v>4.9081258995825827</v>
      </c>
      <c r="Q105">
        <v>5.0487187388732515</v>
      </c>
      <c r="R105">
        <v>4.6191510488451852</v>
      </c>
      <c r="S105">
        <v>4.9628108566707372</v>
      </c>
      <c r="T105">
        <v>5.027010525806455</v>
      </c>
      <c r="U105">
        <v>4.1567698118861838</v>
      </c>
    </row>
    <row r="106" spans="1:21">
      <c r="A106">
        <v>98</v>
      </c>
      <c r="B106">
        <v>4.3492899990081781</v>
      </c>
      <c r="C106">
        <v>3.5874622551029218</v>
      </c>
      <c r="D106">
        <v>3.8935065398381115</v>
      </c>
      <c r="E106">
        <v>3.9368044336293861</v>
      </c>
      <c r="F106">
        <v>4.0002676355664208</v>
      </c>
      <c r="G106">
        <v>4.0112824130692983</v>
      </c>
      <c r="H106">
        <v>4.2426748445860332</v>
      </c>
      <c r="I106">
        <v>4.0065752667504553</v>
      </c>
      <c r="J106">
        <v>4.0019898290055496</v>
      </c>
      <c r="K106">
        <v>4.217766317233564</v>
      </c>
      <c r="L106">
        <v>4.5476492929458612</v>
      </c>
      <c r="M106">
        <v>3.7539653108379931</v>
      </c>
      <c r="N106">
        <v>3.582082982415066</v>
      </c>
      <c r="O106">
        <v>3.8297165042555621</v>
      </c>
      <c r="P106">
        <v>3.9453767809746463</v>
      </c>
      <c r="Q106">
        <v>3.8057660632211006</v>
      </c>
      <c r="R106">
        <v>3.4966401851246141</v>
      </c>
      <c r="S106">
        <v>3.6525002148184758</v>
      </c>
      <c r="T106">
        <v>4.0593273854233161</v>
      </c>
      <c r="U106">
        <v>3.1150428695682297</v>
      </c>
    </row>
    <row r="107" spans="1:21">
      <c r="A107">
        <v>99</v>
      </c>
      <c r="B107">
        <v>0.48671444773674011</v>
      </c>
      <c r="C107">
        <v>-0.63703177759243035</v>
      </c>
      <c r="D107">
        <v>0.57250415979524172</v>
      </c>
      <c r="E107">
        <v>0.49728958353334396</v>
      </c>
      <c r="F107">
        <v>-8.21734711466795E-2</v>
      </c>
      <c r="G107">
        <v>0.3584009664883272</v>
      </c>
      <c r="H107">
        <v>0.59381813099665637</v>
      </c>
      <c r="I107">
        <v>0.52939196692704504</v>
      </c>
      <c r="J107">
        <v>0.13243904945643958</v>
      </c>
      <c r="K107">
        <v>0.50911843108061716</v>
      </c>
      <c r="L107">
        <v>0.50501564621925354</v>
      </c>
      <c r="M107">
        <v>-0.11114849052916664</v>
      </c>
      <c r="N107">
        <v>1.3480288597949104</v>
      </c>
      <c r="O107">
        <v>0.74297361988777055</v>
      </c>
      <c r="P107">
        <v>-3.7141947920598994E-2</v>
      </c>
      <c r="Q107">
        <v>0.6547903660790777</v>
      </c>
      <c r="R107">
        <v>1.1053205533884602</v>
      </c>
      <c r="S107">
        <v>1.0032398205111626</v>
      </c>
      <c r="T107">
        <v>-1.9537276261778924E-2</v>
      </c>
      <c r="U107">
        <v>1.9983141759898977</v>
      </c>
    </row>
    <row r="108" spans="1:21">
      <c r="A108">
        <v>100</v>
      </c>
      <c r="B108">
        <v>1.5318228864669798</v>
      </c>
      <c r="C108">
        <v>2.2636913383743149</v>
      </c>
      <c r="D108">
        <v>1.5618028254941794</v>
      </c>
      <c r="E108">
        <v>1.8974954764574834</v>
      </c>
      <c r="F108">
        <v>2.4151455727451729</v>
      </c>
      <c r="G108">
        <v>2.0957520708875079</v>
      </c>
      <c r="H108">
        <v>1.9772230256027454</v>
      </c>
      <c r="I108">
        <v>1.697549869260127</v>
      </c>
      <c r="J108">
        <v>2.360171222128125</v>
      </c>
      <c r="K108">
        <v>0.9557886035877905</v>
      </c>
      <c r="L108">
        <v>1.9725413990020753</v>
      </c>
      <c r="M108">
        <v>2.5428083768958469</v>
      </c>
      <c r="N108">
        <v>2.0135347853217693</v>
      </c>
      <c r="O108">
        <v>2.1042375991569937</v>
      </c>
      <c r="P108">
        <v>2.3990523790402118</v>
      </c>
      <c r="Q108">
        <v>2.1534295054600072</v>
      </c>
      <c r="R108">
        <v>2.2358814494874677</v>
      </c>
      <c r="S108">
        <v>2.1109787311531982</v>
      </c>
      <c r="T108">
        <v>2.3286986178975662</v>
      </c>
      <c r="U108">
        <v>2.2808532518996509</v>
      </c>
    </row>
    <row r="110" spans="1:21">
      <c r="A110" t="s">
        <v>114</v>
      </c>
    </row>
    <row r="111" spans="1:21">
      <c r="A111" t="s">
        <v>115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t="str">
        <f>IF(ISBLANK($H110)=TRUE,"",_xll.EDF(H9:H108,$H110))</f>
        <v/>
      </c>
      <c r="I111" t="str">
        <f>IF(ISBLANK($I110)=TRUE,"",_xll.EDF(I9:I108,$I110))</f>
        <v/>
      </c>
      <c r="J111" t="str">
        <f>IF(ISBLANK($J110)=TRUE,"",_xll.EDF(J9:J108,$J110))</f>
        <v/>
      </c>
      <c r="K111" t="str">
        <f>IF(ISBLANK($K110)=TRUE,"",_xll.EDF(K9:K108,$K110))</f>
        <v/>
      </c>
      <c r="L111" t="str">
        <f>IF(ISBLANK($L110)=TRUE,"",_xll.EDF(L9:L108,$L110))</f>
        <v/>
      </c>
      <c r="M111" t="str">
        <f>IF(ISBLANK($M110)=TRUE,"",_xll.EDF(M9:M108,$M110))</f>
        <v/>
      </c>
      <c r="N111" t="str">
        <f>IF(ISBLANK($N110)=TRUE,"",_xll.EDF(N9:N108,$N110))</f>
        <v/>
      </c>
      <c r="O111" t="str">
        <f>IF(ISBLANK($O110)=TRUE,"",_xll.EDF(O9:O108,$O110))</f>
        <v/>
      </c>
      <c r="P111" t="str">
        <f>IF(ISBLANK($P110)=TRUE,"",_xll.EDF(P9:P108,$P110))</f>
        <v/>
      </c>
      <c r="Q111" t="str">
        <f>IF(ISBLANK($Q110)=TRUE,"",_xll.EDF(Q9:Q108,$Q110))</f>
        <v/>
      </c>
      <c r="R111" t="str">
        <f>IF(ISBLANK($R110)=TRUE,"",_xll.EDF(R9:R108,$R110))</f>
        <v/>
      </c>
      <c r="S111" t="str">
        <f>IF(ISBLANK($S110)=TRUE,"",_xll.EDF(S9:S108,$S110))</f>
        <v/>
      </c>
      <c r="T111" t="str">
        <f>IF(ISBLANK($T110)=TRUE,"",_xll.EDF(T9:T108,$T110))</f>
        <v/>
      </c>
      <c r="U111" t="str">
        <f>IF(ISBLANK($U110)=TRUE,"",_xll.EDF(U9:U108,$U110))</f>
        <v/>
      </c>
    </row>
    <row r="112" spans="1:21">
      <c r="A112" t="s">
        <v>116</v>
      </c>
    </row>
    <row r="113" spans="1:21">
      <c r="A113" t="s">
        <v>117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t="str">
        <f>IF(ISBLANK($H112)=TRUE,"",_xll.EDF(H9:H108,$H112))</f>
        <v/>
      </c>
      <c r="I113" t="str">
        <f>IF(ISBLANK($I112)=TRUE,"",_xll.EDF(I9:I108,$I112))</f>
        <v/>
      </c>
      <c r="J113" t="str">
        <f>IF(ISBLANK($J112)=TRUE,"",_xll.EDF(J9:J108,$J112))</f>
        <v/>
      </c>
      <c r="K113" t="str">
        <f>IF(ISBLANK($K112)=TRUE,"",_xll.EDF(K9:K108,$K112))</f>
        <v/>
      </c>
      <c r="L113" t="str">
        <f>IF(ISBLANK($L112)=TRUE,"",_xll.EDF(L9:L108,$L112))</f>
        <v/>
      </c>
      <c r="M113" t="str">
        <f>IF(ISBLANK($M112)=TRUE,"",_xll.EDF(M9:M108,$M112))</f>
        <v/>
      </c>
      <c r="N113" t="str">
        <f>IF(ISBLANK($N112)=TRUE,"",_xll.EDF(N9:N108,$N112))</f>
        <v/>
      </c>
      <c r="O113" t="str">
        <f>IF(ISBLANK($O112)=TRUE,"",_xll.EDF(O9:O108,$O112))</f>
        <v/>
      </c>
      <c r="P113" t="str">
        <f>IF(ISBLANK($P112)=TRUE,"",_xll.EDF(P9:P108,$P112))</f>
        <v/>
      </c>
      <c r="Q113" t="str">
        <f>IF(ISBLANK($Q112)=TRUE,"",_xll.EDF(Q9:Q108,$Q112))</f>
        <v/>
      </c>
      <c r="R113" t="str">
        <f>IF(ISBLANK($R112)=TRUE,"",_xll.EDF(R9:R108,$R112))</f>
        <v/>
      </c>
      <c r="S113" t="str">
        <f>IF(ISBLANK($S112)=TRUE,"",_xll.EDF(S9:S108,$S112))</f>
        <v/>
      </c>
      <c r="T113" t="str">
        <f>IF(ISBLANK($T112)=TRUE,"",_xll.EDF(T9:T108,$T112))</f>
        <v/>
      </c>
      <c r="U113" t="str">
        <f>IF(ISBLANK($U112)=TRUE,"",_xll.EDF(U9:U108,$U112))</f>
        <v/>
      </c>
    </row>
    <row r="114" spans="1:21">
      <c r="A114" t="s">
        <v>118</v>
      </c>
    </row>
    <row r="115" spans="1:21">
      <c r="A115" t="s">
        <v>119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t="str">
        <f>IF(ISBLANK($H114)=TRUE,"",_xll.EDF(H9:H108,$H114))</f>
        <v/>
      </c>
      <c r="I115" t="str">
        <f>IF(ISBLANK($I114)=TRUE,"",_xll.EDF(I9:I108,$I114))</f>
        <v/>
      </c>
      <c r="J115" t="str">
        <f>IF(ISBLANK($J114)=TRUE,"",_xll.EDF(J9:J108,$J114))</f>
        <v/>
      </c>
      <c r="K115" t="str">
        <f>IF(ISBLANK($K114)=TRUE,"",_xll.EDF(K9:K108,$K114))</f>
        <v/>
      </c>
      <c r="L115" t="str">
        <f>IF(ISBLANK($L114)=TRUE,"",_xll.EDF(L9:L108,$L114))</f>
        <v/>
      </c>
      <c r="M115" t="str">
        <f>IF(ISBLANK($M114)=TRUE,"",_xll.EDF(M9:M108,$M114))</f>
        <v/>
      </c>
      <c r="N115" t="str">
        <f>IF(ISBLANK($N114)=TRUE,"",_xll.EDF(N9:N108,$N114))</f>
        <v/>
      </c>
      <c r="O115" t="str">
        <f>IF(ISBLANK($O114)=TRUE,"",_xll.EDF(O9:O108,$O114))</f>
        <v/>
      </c>
      <c r="P115" t="str">
        <f>IF(ISBLANK($P114)=TRUE,"",_xll.EDF(P9:P108,$P114))</f>
        <v/>
      </c>
      <c r="Q115" t="str">
        <f>IF(ISBLANK($Q114)=TRUE,"",_xll.EDF(Q9:Q108,$Q114))</f>
        <v/>
      </c>
      <c r="R115" t="str">
        <f>IF(ISBLANK($R114)=TRUE,"",_xll.EDF(R9:R108,$R114))</f>
        <v/>
      </c>
      <c r="S115" t="str">
        <f>IF(ISBLANK($S114)=TRUE,"",_xll.EDF(S9:S108,$S114))</f>
        <v/>
      </c>
      <c r="T115" t="str">
        <f>IF(ISBLANK($T114)=TRUE,"",_xll.EDF(T9:T108,$T114))</f>
        <v/>
      </c>
      <c r="U115" t="str">
        <f>IF(ISBLANK($U114)=TRUE,"",_xll.EDF(U9:U108,$U114))</f>
        <v/>
      </c>
    </row>
    <row r="116" spans="1:21">
      <c r="A116" t="s">
        <v>120</v>
      </c>
    </row>
    <row r="117" spans="1:21">
      <c r="A117" t="s">
        <v>121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t="str">
        <f>IF(ISBLANK($H116)=TRUE,"",_xll.EDF(H9:H108,$H116))</f>
        <v/>
      </c>
      <c r="I117" t="str">
        <f>IF(ISBLANK($I116)=TRUE,"",_xll.EDF(I9:I108,$I116))</f>
        <v/>
      </c>
      <c r="J117" t="str">
        <f>IF(ISBLANK($J116)=TRUE,"",_xll.EDF(J9:J108,$J116))</f>
        <v/>
      </c>
      <c r="K117" t="str">
        <f>IF(ISBLANK($K116)=TRUE,"",_xll.EDF(K9:K108,$K116))</f>
        <v/>
      </c>
      <c r="L117" t="str">
        <f>IF(ISBLANK($L116)=TRUE,"",_xll.EDF(L9:L108,$L116))</f>
        <v/>
      </c>
      <c r="M117" t="str">
        <f>IF(ISBLANK($M116)=TRUE,"",_xll.EDF(M9:M108,$M116))</f>
        <v/>
      </c>
      <c r="N117" t="str">
        <f>IF(ISBLANK($N116)=TRUE,"",_xll.EDF(N9:N108,$N116))</f>
        <v/>
      </c>
      <c r="O117" t="str">
        <f>IF(ISBLANK($O116)=TRUE,"",_xll.EDF(O9:O108,$O116))</f>
        <v/>
      </c>
      <c r="P117" t="str">
        <f>IF(ISBLANK($P116)=TRUE,"",_xll.EDF(P9:P108,$P116))</f>
        <v/>
      </c>
      <c r="Q117" t="str">
        <f>IF(ISBLANK($Q116)=TRUE,"",_xll.EDF(Q9:Q108,$Q116))</f>
        <v/>
      </c>
      <c r="R117" t="str">
        <f>IF(ISBLANK($R116)=TRUE,"",_xll.EDF(R9:R108,$R116))</f>
        <v/>
      </c>
      <c r="S117" t="str">
        <f>IF(ISBLANK($S116)=TRUE,"",_xll.EDF(S9:S108,$S116))</f>
        <v/>
      </c>
      <c r="T117" t="str">
        <f>IF(ISBLANK($T116)=TRUE,"",_xll.EDF(T9:T108,$T116))</f>
        <v/>
      </c>
      <c r="U117" t="str">
        <f>IF(ISBLANK($U116)=TRUE,"",_xll.EDF(U9:U108,$U116))</f>
        <v/>
      </c>
    </row>
    <row r="118" spans="1:21">
      <c r="A118" t="s">
        <v>122</v>
      </c>
    </row>
    <row r="119" spans="1:21">
      <c r="A119" t="s">
        <v>123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t="str">
        <f>IF(ISBLANK($H118)=TRUE,"",_xll.EDF(H9:H108,$H118))</f>
        <v/>
      </c>
      <c r="I119" t="str">
        <f>IF(ISBLANK($I118)=TRUE,"",_xll.EDF(I9:I108,$I118))</f>
        <v/>
      </c>
      <c r="J119" t="str">
        <f>IF(ISBLANK($J118)=TRUE,"",_xll.EDF(J9:J108,$J118))</f>
        <v/>
      </c>
      <c r="K119" t="str">
        <f>IF(ISBLANK($K118)=TRUE,"",_xll.EDF(K9:K108,$K118))</f>
        <v/>
      </c>
      <c r="L119" t="str">
        <f>IF(ISBLANK($L118)=TRUE,"",_xll.EDF(L9:L108,$L118))</f>
        <v/>
      </c>
      <c r="M119" t="str">
        <f>IF(ISBLANK($M118)=TRUE,"",_xll.EDF(M9:M108,$M118))</f>
        <v/>
      </c>
      <c r="N119" t="str">
        <f>IF(ISBLANK($N118)=TRUE,"",_xll.EDF(N9:N108,$N118))</f>
        <v/>
      </c>
      <c r="O119" t="str">
        <f>IF(ISBLANK($O118)=TRUE,"",_xll.EDF(O9:O108,$O118))</f>
        <v/>
      </c>
      <c r="P119" t="str">
        <f>IF(ISBLANK($P118)=TRUE,"",_xll.EDF(P9:P108,$P118))</f>
        <v/>
      </c>
      <c r="Q119" t="str">
        <f>IF(ISBLANK($Q118)=TRUE,"",_xll.EDF(Q9:Q108,$Q118))</f>
        <v/>
      </c>
      <c r="R119" t="str">
        <f>IF(ISBLANK($R118)=TRUE,"",_xll.EDF(R9:R108,$R118))</f>
        <v/>
      </c>
      <c r="S119" t="str">
        <f>IF(ISBLANK($S118)=TRUE,"",_xll.EDF(S9:S108,$S118))</f>
        <v/>
      </c>
      <c r="T119" t="str">
        <f>IF(ISBLANK($T118)=TRUE,"",_xll.EDF(T9:T108,$T118))</f>
        <v/>
      </c>
      <c r="U119" t="str">
        <f>IF(ISBLANK($U118)=TRUE,"",_xll.EDF(U9:U108,$U118))</f>
        <v/>
      </c>
    </row>
  </sheetData>
  <sheetCalcPr fullCalcOnLoad="1"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9"/>
  <sheetViews>
    <sheetView tabSelected="1" zoomScaleNormal="100" workbookViewId="0"/>
  </sheetViews>
  <sheetFormatPr defaultColWidth="10.7109375" defaultRowHeight="12"/>
  <cols>
    <col min="1" max="1" width="16.42578125" style="1" customWidth="1"/>
    <col min="2" max="2" width="11.140625" style="1" customWidth="1"/>
    <col min="3" max="3" width="19.28515625" style="1" customWidth="1"/>
    <col min="4" max="4" width="10.42578125" style="1" customWidth="1"/>
    <col min="5" max="13" width="9.7109375" style="1" customWidth="1"/>
    <col min="14" max="14" width="9.7109375" style="8" customWidth="1"/>
    <col min="15" max="16" width="7.7109375" style="8" customWidth="1"/>
    <col min="17" max="17" width="5" style="8" customWidth="1"/>
    <col min="18" max="18" width="10.7109375" style="8" customWidth="1"/>
    <col min="19" max="16384" width="10.7109375" style="1"/>
  </cols>
  <sheetData>
    <row r="1" spans="1:256">
      <c r="A1" s="17" t="str">
        <f ca="1">_xll.WBNAME()</f>
        <v>Trend Regression to Reduce Risk Demo.xlsx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26"/>
      <c r="Q1" s="26"/>
    </row>
    <row r="2" spans="1:256">
      <c r="A2" s="7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P2" s="26"/>
      <c r="Q2" s="26"/>
    </row>
    <row r="3" spans="1:256">
      <c r="A3" s="7" t="s">
        <v>207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P3" s="26"/>
      <c r="Q3" s="26"/>
    </row>
    <row r="4" spans="1:256">
      <c r="A4" s="7" t="s">
        <v>75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P4" s="26"/>
      <c r="Q4" s="26"/>
    </row>
    <row r="5" spans="1:256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26"/>
      <c r="Q5" s="26"/>
    </row>
    <row r="6" spans="1:256">
      <c r="A6" s="9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P6" s="26"/>
      <c r="Q6" s="26"/>
    </row>
    <row r="7" spans="1:256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P7" s="26"/>
      <c r="Q7" s="26"/>
    </row>
    <row r="8" spans="1:256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P8" s="26"/>
      <c r="Q8" s="26"/>
    </row>
    <row r="9" spans="1:256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P9" s="26"/>
      <c r="Q9" s="26"/>
    </row>
    <row r="10" spans="1:256" ht="12.75" thickBot="1">
      <c r="A10" s="31" t="s">
        <v>41</v>
      </c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8"/>
      <c r="P10" s="26"/>
      <c r="Q10" s="26"/>
    </row>
    <row r="11" spans="1:256">
      <c r="A11" s="7"/>
      <c r="B11" s="65" t="s">
        <v>38</v>
      </c>
      <c r="E11" s="8"/>
      <c r="F11" s="8"/>
      <c r="G11" s="8"/>
      <c r="H11" s="8"/>
      <c r="I11" s="65"/>
      <c r="J11" s="8"/>
      <c r="K11" s="8"/>
      <c r="L11" s="8"/>
      <c r="M11" s="8"/>
      <c r="P11" s="26"/>
      <c r="Q11" s="26"/>
    </row>
    <row r="12" spans="1:256" ht="12.75" thickBot="1">
      <c r="A12" s="20" t="s">
        <v>1</v>
      </c>
      <c r="B12" s="21" t="s">
        <v>9</v>
      </c>
      <c r="E12" s="8"/>
      <c r="F12" s="50" t="s">
        <v>42</v>
      </c>
      <c r="G12" s="8"/>
      <c r="H12" s="8"/>
      <c r="I12" s="8"/>
      <c r="J12" s="8"/>
      <c r="K12" s="8"/>
      <c r="L12" s="8"/>
      <c r="M12" s="26"/>
      <c r="R12" s="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 thickBot="1">
      <c r="A13" s="7">
        <v>1987</v>
      </c>
      <c r="B13" s="11">
        <v>2.4</v>
      </c>
      <c r="E13" s="11"/>
      <c r="F13" s="71" t="s">
        <v>33</v>
      </c>
      <c r="G13" s="19"/>
      <c r="H13" s="16"/>
      <c r="I13" s="14"/>
      <c r="L13" s="8"/>
      <c r="M13" s="26"/>
    </row>
    <row r="14" spans="1:256">
      <c r="A14" s="7">
        <v>1988</v>
      </c>
      <c r="B14" s="11">
        <v>1.03</v>
      </c>
      <c r="E14" s="11"/>
      <c r="F14" s="62"/>
      <c r="G14" s="104" t="str">
        <f>B12</f>
        <v>X</v>
      </c>
      <c r="H14" s="8"/>
      <c r="I14" s="14"/>
      <c r="L14" s="8"/>
      <c r="M14" s="26"/>
    </row>
    <row r="15" spans="1:256">
      <c r="A15" s="7">
        <v>1989</v>
      </c>
      <c r="B15" s="11">
        <v>4.9800000000000004</v>
      </c>
      <c r="E15" s="11"/>
      <c r="F15" s="62" t="s">
        <v>13</v>
      </c>
      <c r="G15">
        <f>INTERCEPT(Sheet1!B13:B22,Sheet1!$A$13:$A$22)</f>
        <v>-6.8000606060605628</v>
      </c>
      <c r="H15" s="8"/>
      <c r="I15" s="14"/>
      <c r="L15" s="8"/>
      <c r="M15" s="26"/>
      <c r="P15" s="66"/>
    </row>
    <row r="16" spans="1:256">
      <c r="A16" s="7">
        <v>1990</v>
      </c>
      <c r="B16" s="11">
        <v>0</v>
      </c>
      <c r="E16" s="11"/>
      <c r="F16" s="62" t="s">
        <v>14</v>
      </c>
      <c r="G16">
        <f>SLOPE(Sheet1!B13:B22,Sheet1!$A$13:$A$22)</f>
        <v>4.7878787878787663E-3</v>
      </c>
      <c r="H16" s="8"/>
      <c r="I16" s="14"/>
      <c r="L16" s="8"/>
      <c r="M16" s="26"/>
    </row>
    <row r="17" spans="1:17">
      <c r="A17" s="7">
        <v>1991</v>
      </c>
      <c r="B17" s="11">
        <v>5.15</v>
      </c>
      <c r="E17" s="11"/>
      <c r="F17" s="62" t="s">
        <v>27</v>
      </c>
      <c r="G17">
        <f>RSQ(Sheet1!B13:B22,Sheet1!$A$13:$A$22)</f>
        <v>6.2028817409811804E-5</v>
      </c>
      <c r="H17" s="8"/>
      <c r="I17" s="14"/>
      <c r="L17" s="8"/>
      <c r="M17" s="26"/>
    </row>
    <row r="18" spans="1:17">
      <c r="A18" s="7">
        <v>1992</v>
      </c>
      <c r="B18" s="11">
        <v>4.4000000000000004</v>
      </c>
      <c r="E18" s="11"/>
      <c r="F18" s="62" t="s">
        <v>28</v>
      </c>
      <c r="G18">
        <f>INDEX(LINEST(Sheet1!B13:B22,Sheet1!$A$13:$A$22,1,1),4,1)</f>
        <v>4.9626132178226144E-4</v>
      </c>
      <c r="H18" s="8"/>
      <c r="I18" s="14"/>
      <c r="L18" s="8"/>
      <c r="M18" s="26"/>
    </row>
    <row r="19" spans="1:17">
      <c r="A19" s="7">
        <v>1993</v>
      </c>
      <c r="B19" s="11">
        <v>3.78</v>
      </c>
      <c r="E19" s="11"/>
      <c r="F19" s="62" t="s">
        <v>29</v>
      </c>
      <c r="G19">
        <f>FDIST(ABS(Sheet1!G18),1,COUNT(Sheet1!B13:B22)-2)</f>
        <v>0.98277267393675127</v>
      </c>
      <c r="H19" s="8"/>
      <c r="I19" s="14"/>
      <c r="L19" s="8"/>
      <c r="M19" s="26"/>
    </row>
    <row r="20" spans="1:17">
      <c r="A20" s="7">
        <v>1994</v>
      </c>
      <c r="B20" s="11">
        <v>0.48</v>
      </c>
      <c r="E20" s="11"/>
      <c r="F20" s="62" t="s">
        <v>30</v>
      </c>
      <c r="G20">
        <f>INDEX(LINEST(Sheet1!B13:B22,Sheet1!$A$13:$A$22,1,1),2,1)</f>
        <v>0.21492549374241859</v>
      </c>
      <c r="H20" s="8"/>
      <c r="I20" s="14"/>
      <c r="L20" s="8"/>
      <c r="M20" s="26"/>
    </row>
    <row r="21" spans="1:17">
      <c r="A21" s="7">
        <v>1995</v>
      </c>
      <c r="B21" s="11">
        <v>2.33</v>
      </c>
      <c r="E21" s="11"/>
      <c r="F21" s="62" t="s">
        <v>31</v>
      </c>
      <c r="G21">
        <f>Sheet1!G16/Sheet1!G20</f>
        <v>2.2276923525958663E-2</v>
      </c>
      <c r="H21" s="8"/>
      <c r="I21" s="14"/>
      <c r="L21" s="8"/>
      <c r="M21" s="26"/>
    </row>
    <row r="22" spans="1:17">
      <c r="A22" s="46">
        <v>1996</v>
      </c>
      <c r="B22" s="47">
        <v>2.8</v>
      </c>
      <c r="E22" s="11"/>
      <c r="F22" s="62" t="s">
        <v>32</v>
      </c>
      <c r="G22">
        <f>TDIST(ABS(Sheet1!G21),COUNT(Sheet1!B13:B22)-1,2)</f>
        <v>0.98271314067550919</v>
      </c>
      <c r="H22" s="8"/>
      <c r="I22" s="14"/>
      <c r="J22" s="8"/>
      <c r="K22" s="11"/>
      <c r="L22" s="8"/>
      <c r="M22" s="26"/>
    </row>
    <row r="23" spans="1:17">
      <c r="A23" s="7"/>
      <c r="B23" s="11"/>
      <c r="C23" s="11"/>
      <c r="D23" s="8"/>
      <c r="E23" s="8"/>
      <c r="H23" s="8"/>
      <c r="I23" s="8"/>
      <c r="J23" s="8"/>
      <c r="K23" s="8"/>
      <c r="L23" s="8"/>
      <c r="M23" s="62"/>
      <c r="N23" t="str">
        <f>B12</f>
        <v>X</v>
      </c>
      <c r="Q23" s="26"/>
    </row>
    <row r="24" spans="1:17">
      <c r="A24" s="7"/>
      <c r="B24" s="11"/>
      <c r="C24" s="11"/>
      <c r="D24" s="8"/>
      <c r="E24" s="8"/>
      <c r="F24" s="8"/>
      <c r="G24" s="8"/>
      <c r="H24" s="8"/>
      <c r="I24" s="8"/>
      <c r="J24" s="8"/>
      <c r="K24" s="8"/>
      <c r="L24" s="8"/>
      <c r="Q24" s="26"/>
    </row>
    <row r="25" spans="1:17" ht="12.75" thickBot="1">
      <c r="A25" s="31" t="s">
        <v>173</v>
      </c>
      <c r="B25" s="79"/>
      <c r="C25" s="79"/>
      <c r="D25" s="16"/>
      <c r="E25" s="16"/>
      <c r="F25" s="16"/>
      <c r="G25" s="16"/>
      <c r="H25" s="16"/>
      <c r="I25" s="16"/>
      <c r="J25" s="16"/>
      <c r="K25" s="16"/>
      <c r="L25" s="16"/>
      <c r="Q25" s="26"/>
    </row>
    <row r="26" spans="1:17">
      <c r="A26" s="50"/>
      <c r="B26" s="11"/>
      <c r="C26" s="8"/>
      <c r="D26" s="8" t="s">
        <v>39</v>
      </c>
      <c r="E26" s="8" t="s">
        <v>168</v>
      </c>
      <c r="F26" s="8"/>
      <c r="G26" s="8"/>
      <c r="H26" s="8"/>
      <c r="I26" s="8"/>
      <c r="J26" s="8"/>
      <c r="K26" s="8"/>
      <c r="L26" s="8"/>
      <c r="Q26" s="26"/>
    </row>
    <row r="27" spans="1:17">
      <c r="A27" s="81"/>
      <c r="B27" s="48"/>
      <c r="C27" s="124" t="s">
        <v>4</v>
      </c>
      <c r="D27" s="48" t="s">
        <v>40</v>
      </c>
      <c r="E27" s="48" t="s">
        <v>169</v>
      </c>
      <c r="F27" s="69" t="s">
        <v>167</v>
      </c>
      <c r="G27" s="48"/>
      <c r="H27" s="48"/>
      <c r="I27" s="48"/>
      <c r="J27" s="48"/>
      <c r="K27" s="48"/>
      <c r="L27" s="48"/>
      <c r="Q27" s="26"/>
    </row>
    <row r="28" spans="1:17">
      <c r="A28" s="62" t="s">
        <v>4</v>
      </c>
      <c r="B28" s="125">
        <f>AVERAGE(Sheet1!B13:B22)</f>
        <v>2.7350000000000003</v>
      </c>
      <c r="C28" s="11">
        <f t="shared" ref="C28:C37" si="0">$G$28</f>
        <v>2.7350000000000003</v>
      </c>
      <c r="D28" s="11">
        <f t="shared" ref="D28:D37" si="1">B13-C28</f>
        <v>-0.33500000000000041</v>
      </c>
      <c r="E28" s="11" t="str">
        <f ca="1">_xll.VFORMULA(D28)</f>
        <v>=B13-C28</v>
      </c>
      <c r="F28" s="126" t="s">
        <v>4</v>
      </c>
      <c r="G28" s="49">
        <f>B28</f>
        <v>2.7350000000000003</v>
      </c>
      <c r="I28" s="8"/>
      <c r="J28" s="8"/>
      <c r="K28" s="8"/>
      <c r="L28" s="8"/>
      <c r="Q28" s="26"/>
    </row>
    <row r="29" spans="1:17">
      <c r="A29" s="62" t="s">
        <v>111</v>
      </c>
      <c r="B29" s="125">
        <f>STDEVP(Sheet1!B13:B22)</f>
        <v>1.7461171209286046</v>
      </c>
      <c r="C29" s="11">
        <f t="shared" si="0"/>
        <v>2.7350000000000003</v>
      </c>
      <c r="D29" s="11">
        <f t="shared" si="1"/>
        <v>-1.7050000000000003</v>
      </c>
      <c r="E29" s="11" t="str">
        <f ca="1">_xll.VFORMULA(D29)</f>
        <v>=B14-C29</v>
      </c>
      <c r="F29" s="126" t="s">
        <v>10</v>
      </c>
      <c r="G29" s="51">
        <f>B29</f>
        <v>1.7461171209286046</v>
      </c>
      <c r="I29" s="8"/>
      <c r="J29" s="8"/>
      <c r="K29" s="8"/>
      <c r="L29" s="8"/>
      <c r="Q29" s="26"/>
    </row>
    <row r="30" spans="1:17">
      <c r="A30" s="62" t="s">
        <v>133</v>
      </c>
      <c r="B30" s="125">
        <f>Sheet1!B28-Sheet1!B29*TINV((1-0.95)/2,COUNT(Sheet1!B13:B22))/COUNT(Sheet1!B13:B22)^0.5</f>
        <v>1.2807110358156812</v>
      </c>
      <c r="C30" s="11">
        <f t="shared" si="0"/>
        <v>2.7350000000000003</v>
      </c>
      <c r="D30" s="11">
        <f t="shared" si="1"/>
        <v>2.2450000000000001</v>
      </c>
      <c r="E30" s="11" t="str">
        <f ca="1">_xll.VFORMULA(D30)</f>
        <v>=B15-C30</v>
      </c>
      <c r="F30" s="8"/>
      <c r="G30" s="8"/>
      <c r="I30" s="8"/>
      <c r="J30" s="8"/>
      <c r="K30" s="8"/>
      <c r="L30" s="8"/>
      <c r="Q30" s="26"/>
    </row>
    <row r="31" spans="1:17">
      <c r="A31" s="62" t="s">
        <v>134</v>
      </c>
      <c r="B31" s="125">
        <f>Sheet1!B28+Sheet1!B29*TINV((1-0.95)/2,COUNT(Sheet1!B13:B22))/COUNT(Sheet1!B13:B22)^0.5</f>
        <v>4.1892889641843194</v>
      </c>
      <c r="C31" s="11">
        <f t="shared" si="0"/>
        <v>2.7350000000000003</v>
      </c>
      <c r="D31" s="11">
        <f t="shared" si="1"/>
        <v>-2.7350000000000003</v>
      </c>
      <c r="E31" s="11" t="str">
        <f ca="1">_xll.VFORMULA(D31)</f>
        <v>=B16-C31</v>
      </c>
      <c r="F31" s="132" t="s">
        <v>172</v>
      </c>
      <c r="G31" s="67"/>
      <c r="H31" s="8"/>
      <c r="I31" s="8"/>
      <c r="J31" s="8"/>
      <c r="K31" s="8"/>
      <c r="L31" s="8"/>
      <c r="Q31" s="26"/>
    </row>
    <row r="32" spans="1:17">
      <c r="A32" s="62" t="s">
        <v>11</v>
      </c>
      <c r="B32" s="125">
        <f>MIN(Sheet1!B13:B22)</f>
        <v>0</v>
      </c>
      <c r="C32" s="11">
        <f t="shared" si="0"/>
        <v>2.7350000000000003</v>
      </c>
      <c r="D32" s="11">
        <f t="shared" si="1"/>
        <v>2.415</v>
      </c>
      <c r="E32" s="11" t="str">
        <f ca="1">_xll.VFORMULA(D32)</f>
        <v>=B17-C32</v>
      </c>
      <c r="F32" s="130" t="s">
        <v>5</v>
      </c>
      <c r="G32" s="131">
        <f ca="1">_xll.NORM(G28,G29)</f>
        <v>3.5379374087002193</v>
      </c>
      <c r="H32" s="8" t="str">
        <f ca="1">_xll.VFORMULA(G32)</f>
        <v>=NORM(G28,G29)</v>
      </c>
      <c r="I32" s="49"/>
      <c r="J32" s="8"/>
      <c r="K32" s="8"/>
      <c r="L32" s="8"/>
      <c r="Q32" s="26"/>
    </row>
    <row r="33" spans="1:17">
      <c r="A33" s="62" t="s">
        <v>135</v>
      </c>
      <c r="B33" s="125">
        <f>MEDIAN(Sheet1!B13:B22)</f>
        <v>2.5999999999999996</v>
      </c>
      <c r="C33" s="11">
        <f t="shared" si="0"/>
        <v>2.7350000000000003</v>
      </c>
      <c r="D33" s="11">
        <f t="shared" si="1"/>
        <v>1.665</v>
      </c>
      <c r="E33" s="11" t="str">
        <f ca="1">_xll.VFORMULA(D33)</f>
        <v>=B18-C33</v>
      </c>
      <c r="F33" s="26"/>
      <c r="G33" s="105"/>
      <c r="H33" s="8"/>
      <c r="I33" s="49"/>
      <c r="J33" s="8"/>
      <c r="K33" s="8"/>
      <c r="L33" s="8"/>
      <c r="M33" s="8"/>
      <c r="Q33" s="26"/>
    </row>
    <row r="34" spans="1:17">
      <c r="A34" s="62" t="s">
        <v>12</v>
      </c>
      <c r="B34" s="125">
        <f>MAX(Sheet1!B13:B22)</f>
        <v>5.15</v>
      </c>
      <c r="C34" s="11">
        <f t="shared" si="0"/>
        <v>2.7350000000000003</v>
      </c>
      <c r="D34" s="11">
        <f t="shared" si="1"/>
        <v>1.0449999999999995</v>
      </c>
      <c r="E34" s="11" t="str">
        <f ca="1">_xll.VFORMULA(D34)</f>
        <v>=B19-C34</v>
      </c>
      <c r="F34" s="26"/>
      <c r="G34" s="105"/>
      <c r="H34" s="8"/>
      <c r="I34" s="49"/>
      <c r="J34" s="8"/>
      <c r="K34" s="8"/>
      <c r="L34" s="8"/>
      <c r="M34" s="8"/>
      <c r="Q34" s="26"/>
    </row>
    <row r="35" spans="1:17">
      <c r="A35" s="62" t="s">
        <v>136</v>
      </c>
      <c r="B35" s="125">
        <f>SKEW(Sheet1!B13:B22)</f>
        <v>-0.12983400286403321</v>
      </c>
      <c r="C35" s="11">
        <f t="shared" si="0"/>
        <v>2.7350000000000003</v>
      </c>
      <c r="D35" s="11">
        <f t="shared" si="1"/>
        <v>-2.2550000000000003</v>
      </c>
      <c r="E35" s="11" t="str">
        <f ca="1">_xll.VFORMULA(D35)</f>
        <v>=B20-C35</v>
      </c>
      <c r="F35" s="26"/>
      <c r="G35" s="105"/>
      <c r="H35" s="8"/>
      <c r="I35" s="49"/>
      <c r="J35" s="8"/>
      <c r="K35" s="8"/>
      <c r="L35" s="8"/>
      <c r="M35" s="8"/>
      <c r="Q35" s="26"/>
    </row>
    <row r="36" spans="1:17">
      <c r="A36" s="62" t="s">
        <v>137</v>
      </c>
      <c r="B36" s="125">
        <f>KURT(Sheet1!B13:B22)</f>
        <v>-1.3231843524168214</v>
      </c>
      <c r="C36" s="11">
        <f t="shared" si="0"/>
        <v>2.7350000000000003</v>
      </c>
      <c r="D36" s="11">
        <f t="shared" si="1"/>
        <v>-0.40500000000000025</v>
      </c>
      <c r="E36" s="11" t="str">
        <f ca="1">_xll.VFORMULA(D36)</f>
        <v>=B21-C36</v>
      </c>
      <c r="F36" s="26"/>
      <c r="G36" s="26"/>
      <c r="H36" s="26"/>
      <c r="I36" s="26"/>
      <c r="J36" s="8"/>
      <c r="K36" s="8"/>
      <c r="L36" s="8"/>
      <c r="M36" s="8"/>
      <c r="Q36" s="26"/>
    </row>
    <row r="37" spans="1:17">
      <c r="A37" s="8"/>
      <c r="B37" s="8"/>
      <c r="C37" s="11">
        <f t="shared" si="0"/>
        <v>2.7350000000000003</v>
      </c>
      <c r="D37" s="11">
        <f t="shared" si="1"/>
        <v>6.4999999999999503E-2</v>
      </c>
      <c r="E37" s="11" t="str">
        <f ca="1">_xll.VFORMULA(D37)</f>
        <v>=B22-C37</v>
      </c>
      <c r="F37" s="26"/>
      <c r="G37" s="26"/>
      <c r="H37" s="26"/>
      <c r="I37" s="26"/>
      <c r="J37" s="26"/>
      <c r="K37" s="53" t="s">
        <v>181</v>
      </c>
      <c r="L37" s="26"/>
      <c r="M37" s="26"/>
      <c r="N37" s="26"/>
      <c r="Q37" s="26"/>
    </row>
    <row r="38" spans="1:17">
      <c r="A38" s="8"/>
      <c r="B38" s="8"/>
      <c r="C38" s="11"/>
      <c r="D38" s="11"/>
      <c r="E38" s="11"/>
      <c r="F38" s="26"/>
      <c r="G38" s="26"/>
      <c r="H38" s="26"/>
      <c r="I38" s="26"/>
      <c r="J38" s="26"/>
      <c r="K38" s="62" t="s">
        <v>180</v>
      </c>
      <c r="L38"/>
      <c r="M38" s="26"/>
      <c r="N38" s="26"/>
      <c r="Q38" s="26"/>
    </row>
    <row r="39" spans="1:17" ht="12.75" thickBot="1">
      <c r="A39" s="71" t="s">
        <v>43</v>
      </c>
      <c r="B39" s="16"/>
      <c r="C39" s="16"/>
      <c r="D39" s="80"/>
      <c r="E39" s="80"/>
      <c r="F39" s="80"/>
      <c r="G39" s="80"/>
      <c r="H39" s="19"/>
      <c r="I39" s="19"/>
      <c r="J39" s="26"/>
      <c r="K39" t="s">
        <v>176</v>
      </c>
      <c r="L39"/>
      <c r="M39" s="26"/>
      <c r="N39" s="26"/>
      <c r="Q39" s="26"/>
    </row>
    <row r="40" spans="1:17">
      <c r="A40" s="70" t="s">
        <v>170</v>
      </c>
      <c r="B40" s="8"/>
      <c r="C40" s="8"/>
      <c r="D40" s="18"/>
      <c r="E40" s="18"/>
      <c r="F40" s="18"/>
      <c r="G40" s="76" t="s">
        <v>54</v>
      </c>
      <c r="H40" s="60" t="s">
        <v>55</v>
      </c>
      <c r="I40" s="26" t="s">
        <v>57</v>
      </c>
      <c r="J40" s="26"/>
      <c r="K40" s="118" t="s">
        <v>44</v>
      </c>
      <c r="L40" s="118" t="str">
        <f>Sheet1!$B$12</f>
        <v>X</v>
      </c>
      <c r="M40" s="26"/>
      <c r="N40" s="26"/>
      <c r="Q40" s="26"/>
    </row>
    <row r="41" spans="1:17">
      <c r="A41" s="48" t="str">
        <f>A12</f>
        <v>Year</v>
      </c>
      <c r="B41" s="127" t="str">
        <f>B12</f>
        <v>X</v>
      </c>
      <c r="C41" s="48" t="str">
        <f>C27</f>
        <v>Mean</v>
      </c>
      <c r="D41" s="48" t="s">
        <v>46</v>
      </c>
      <c r="E41" s="128" t="s">
        <v>47</v>
      </c>
      <c r="F41" s="128" t="s">
        <v>171</v>
      </c>
      <c r="G41" s="129" t="s">
        <v>49</v>
      </c>
      <c r="H41" s="129" t="s">
        <v>56</v>
      </c>
      <c r="I41" s="129" t="s">
        <v>58</v>
      </c>
      <c r="J41" s="26"/>
      <c r="K41">
        <v>1</v>
      </c>
      <c r="L41" s="97">
        <f>(Sheet1!B$13-L$51)</f>
        <v>-0.33500000000000041</v>
      </c>
      <c r="M41" s="26"/>
      <c r="N41" s="26"/>
      <c r="Q41" s="26"/>
    </row>
    <row r="42" spans="1:17">
      <c r="A42" s="10" t="s">
        <v>48</v>
      </c>
      <c r="B42" s="8"/>
      <c r="C42" s="65" t="s">
        <v>53</v>
      </c>
      <c r="D42" s="65" t="s">
        <v>50</v>
      </c>
      <c r="E42" s="76" t="s">
        <v>51</v>
      </c>
      <c r="F42" s="76" t="s">
        <v>52</v>
      </c>
      <c r="G42" s="18">
        <f>F43*1.0001</f>
        <v>-1.0001</v>
      </c>
      <c r="H42" s="88">
        <f>F43*G42</f>
        <v>1.0001</v>
      </c>
      <c r="I42" s="77">
        <v>0</v>
      </c>
      <c r="J42" s="26"/>
      <c r="K42">
        <v>2</v>
      </c>
      <c r="L42" s="97">
        <f>(Sheet1!B$14-L$51)</f>
        <v>-1.7050000000000003</v>
      </c>
      <c r="M42" s="26"/>
      <c r="N42" s="26"/>
      <c r="Q42" s="26"/>
    </row>
    <row r="43" spans="1:17">
      <c r="A43" s="8">
        <f t="shared" ref="A43:B52" si="2">A13</f>
        <v>1987</v>
      </c>
      <c r="B43" s="11">
        <f t="shared" si="2"/>
        <v>2.4</v>
      </c>
      <c r="C43" s="11">
        <f t="shared" ref="C43:D52" si="3">C28</f>
        <v>2.7350000000000003</v>
      </c>
      <c r="D43" s="11">
        <f t="shared" si="3"/>
        <v>-0.33500000000000041</v>
      </c>
      <c r="E43" s="86">
        <f t="shared" ref="E43:E52" si="4">D43/C43</f>
        <v>-0.12248628884826339</v>
      </c>
      <c r="F43" s="87">
        <f t="shared" ref="F43:F52" si="5">SMALL($E$43:$E$52,A43-1986)</f>
        <v>-1</v>
      </c>
      <c r="G43" s="18"/>
      <c r="H43" s="88">
        <f t="shared" ref="H43:H52" si="6">F43</f>
        <v>-1</v>
      </c>
      <c r="I43" s="77">
        <v>0.05</v>
      </c>
      <c r="J43" s="26"/>
      <c r="K43">
        <v>3</v>
      </c>
      <c r="L43" s="97">
        <f>(Sheet1!B$15-L$51)</f>
        <v>2.2450000000000001</v>
      </c>
      <c r="M43" s="26"/>
      <c r="N43" s="26"/>
      <c r="Q43" s="26"/>
    </row>
    <row r="44" spans="1:17">
      <c r="A44" s="8">
        <f t="shared" si="2"/>
        <v>1988</v>
      </c>
      <c r="B44" s="11">
        <f t="shared" si="2"/>
        <v>1.03</v>
      </c>
      <c r="C44" s="11">
        <f t="shared" si="3"/>
        <v>2.7350000000000003</v>
      </c>
      <c r="D44" s="11">
        <f t="shared" si="3"/>
        <v>-1.7050000000000003</v>
      </c>
      <c r="E44" s="86">
        <f t="shared" si="4"/>
        <v>-0.62340036563071299</v>
      </c>
      <c r="F44" s="87">
        <f t="shared" si="5"/>
        <v>-0.82449725776965266</v>
      </c>
      <c r="G44" s="18"/>
      <c r="H44" s="88">
        <f t="shared" si="6"/>
        <v>-0.82449725776965266</v>
      </c>
      <c r="I44" s="77">
        <f t="shared" ref="I44:I52" si="7">I43+0.1</f>
        <v>0.15000000000000002</v>
      </c>
      <c r="J44" s="26"/>
      <c r="K44">
        <v>4</v>
      </c>
      <c r="L44" s="97">
        <f>(Sheet1!B$16-L$51)</f>
        <v>-2.7350000000000003</v>
      </c>
      <c r="M44" s="26"/>
      <c r="N44" s="26"/>
      <c r="Q44" s="26"/>
    </row>
    <row r="45" spans="1:17">
      <c r="A45" s="8">
        <f t="shared" si="2"/>
        <v>1989</v>
      </c>
      <c r="B45" s="11">
        <f t="shared" si="2"/>
        <v>4.9800000000000004</v>
      </c>
      <c r="C45" s="11">
        <f t="shared" si="3"/>
        <v>2.7350000000000003</v>
      </c>
      <c r="D45" s="11">
        <f t="shared" si="3"/>
        <v>2.2450000000000001</v>
      </c>
      <c r="E45" s="86">
        <f t="shared" si="4"/>
        <v>0.82084095063985374</v>
      </c>
      <c r="F45" s="87">
        <f t="shared" si="5"/>
        <v>-0.62340036563071299</v>
      </c>
      <c r="G45" s="18"/>
      <c r="H45" s="88">
        <f t="shared" si="6"/>
        <v>-0.62340036563071299</v>
      </c>
      <c r="I45" s="77">
        <f t="shared" si="7"/>
        <v>0.25</v>
      </c>
      <c r="J45" s="26"/>
      <c r="K45">
        <v>5</v>
      </c>
      <c r="L45" s="97">
        <f>(Sheet1!B$17-L$51)</f>
        <v>2.415</v>
      </c>
      <c r="M45" s="26"/>
      <c r="N45" s="26"/>
      <c r="Q45" s="26"/>
    </row>
    <row r="46" spans="1:17">
      <c r="A46" s="8">
        <f t="shared" si="2"/>
        <v>1990</v>
      </c>
      <c r="B46" s="11">
        <f t="shared" si="2"/>
        <v>0</v>
      </c>
      <c r="C46" s="11">
        <f t="shared" si="3"/>
        <v>2.7350000000000003</v>
      </c>
      <c r="D46" s="11">
        <f t="shared" si="3"/>
        <v>-2.7350000000000003</v>
      </c>
      <c r="E46" s="86">
        <f t="shared" si="4"/>
        <v>-1</v>
      </c>
      <c r="F46" s="87">
        <f t="shared" si="5"/>
        <v>-0.14808043875685564</v>
      </c>
      <c r="G46" s="18"/>
      <c r="H46" s="88">
        <f t="shared" si="6"/>
        <v>-0.14808043875685564</v>
      </c>
      <c r="I46" s="77">
        <f t="shared" si="7"/>
        <v>0.35</v>
      </c>
      <c r="J46" s="26"/>
      <c r="K46">
        <v>6</v>
      </c>
      <c r="L46" s="97">
        <f>(Sheet1!B$18-L$51)</f>
        <v>1.665</v>
      </c>
      <c r="M46" s="26"/>
      <c r="N46" s="26"/>
      <c r="Q46" s="26"/>
    </row>
    <row r="47" spans="1:17">
      <c r="A47" s="8">
        <f t="shared" si="2"/>
        <v>1991</v>
      </c>
      <c r="B47" s="11">
        <f t="shared" si="2"/>
        <v>5.15</v>
      </c>
      <c r="C47" s="11">
        <f t="shared" si="3"/>
        <v>2.7350000000000003</v>
      </c>
      <c r="D47" s="11">
        <f t="shared" si="3"/>
        <v>2.415</v>
      </c>
      <c r="E47" s="86">
        <f t="shared" si="4"/>
        <v>0.88299817184643503</v>
      </c>
      <c r="F47" s="87">
        <f t="shared" si="5"/>
        <v>-0.12248628884826339</v>
      </c>
      <c r="G47" s="18"/>
      <c r="H47" s="88">
        <f t="shared" si="6"/>
        <v>-0.12248628884826339</v>
      </c>
      <c r="I47" s="77">
        <f t="shared" si="7"/>
        <v>0.44999999999999996</v>
      </c>
      <c r="J47" s="26"/>
      <c r="K47">
        <v>7</v>
      </c>
      <c r="L47" s="97">
        <f>(Sheet1!B$19-L$51)</f>
        <v>1.0449999999999995</v>
      </c>
      <c r="M47" s="26"/>
      <c r="N47" s="26"/>
      <c r="Q47" s="26"/>
    </row>
    <row r="48" spans="1:17">
      <c r="A48" s="8">
        <f t="shared" si="2"/>
        <v>1992</v>
      </c>
      <c r="B48" s="11">
        <f t="shared" si="2"/>
        <v>4.4000000000000004</v>
      </c>
      <c r="C48" s="11">
        <f t="shared" si="3"/>
        <v>2.7350000000000003</v>
      </c>
      <c r="D48" s="11">
        <f t="shared" si="3"/>
        <v>1.665</v>
      </c>
      <c r="E48" s="86">
        <f t="shared" si="4"/>
        <v>0.60877513711151732</v>
      </c>
      <c r="F48" s="87">
        <f t="shared" si="5"/>
        <v>2.3765996343692686E-2</v>
      </c>
      <c r="G48" s="18"/>
      <c r="H48" s="88">
        <f t="shared" si="6"/>
        <v>2.3765996343692686E-2</v>
      </c>
      <c r="I48" s="77">
        <f t="shared" si="7"/>
        <v>0.54999999999999993</v>
      </c>
      <c r="J48" s="26"/>
      <c r="K48">
        <v>8</v>
      </c>
      <c r="L48" s="97">
        <f>(Sheet1!B$20-L$51)</f>
        <v>-2.2550000000000003</v>
      </c>
      <c r="M48" s="26"/>
      <c r="N48" s="26"/>
      <c r="Q48" s="26"/>
    </row>
    <row r="49" spans="1:17">
      <c r="A49" s="8">
        <f t="shared" si="2"/>
        <v>1993</v>
      </c>
      <c r="B49" s="11">
        <f t="shared" si="2"/>
        <v>3.78</v>
      </c>
      <c r="C49" s="11">
        <f t="shared" si="3"/>
        <v>2.7350000000000003</v>
      </c>
      <c r="D49" s="11">
        <f t="shared" si="3"/>
        <v>1.0449999999999995</v>
      </c>
      <c r="E49" s="86">
        <f t="shared" si="4"/>
        <v>0.38208409506398516</v>
      </c>
      <c r="F49" s="87">
        <f t="shared" si="5"/>
        <v>0.38208409506398516</v>
      </c>
      <c r="G49" s="18"/>
      <c r="H49" s="88">
        <f t="shared" si="6"/>
        <v>0.38208409506398516</v>
      </c>
      <c r="I49" s="77">
        <f t="shared" si="7"/>
        <v>0.64999999999999991</v>
      </c>
      <c r="J49" s="26"/>
      <c r="K49">
        <v>9</v>
      </c>
      <c r="L49" s="97">
        <f>(Sheet1!B$21-L$51)</f>
        <v>-0.40500000000000025</v>
      </c>
      <c r="M49" s="26"/>
      <c r="N49" s="26"/>
      <c r="Q49" s="26"/>
    </row>
    <row r="50" spans="1:17">
      <c r="A50" s="8">
        <f t="shared" si="2"/>
        <v>1994</v>
      </c>
      <c r="B50" s="11">
        <f t="shared" si="2"/>
        <v>0.48</v>
      </c>
      <c r="C50" s="11">
        <f t="shared" si="3"/>
        <v>2.7350000000000003</v>
      </c>
      <c r="D50" s="11">
        <f t="shared" si="3"/>
        <v>-2.2550000000000003</v>
      </c>
      <c r="E50" s="86">
        <f t="shared" si="4"/>
        <v>-0.82449725776965266</v>
      </c>
      <c r="F50" s="87">
        <f t="shared" si="5"/>
        <v>0.60877513711151732</v>
      </c>
      <c r="G50" s="18"/>
      <c r="H50" s="88">
        <f t="shared" si="6"/>
        <v>0.60877513711151732</v>
      </c>
      <c r="I50" s="77">
        <f t="shared" si="7"/>
        <v>0.74999999999999989</v>
      </c>
      <c r="J50" s="26"/>
      <c r="K50" s="118">
        <v>10</v>
      </c>
      <c r="L50" s="134">
        <f>(Sheet1!B$22-L$51)</f>
        <v>6.4999999999999503E-2</v>
      </c>
      <c r="M50" s="26"/>
      <c r="N50" s="26"/>
      <c r="Q50" s="26"/>
    </row>
    <row r="51" spans="1:17">
      <c r="A51" s="8">
        <f t="shared" si="2"/>
        <v>1995</v>
      </c>
      <c r="B51" s="11">
        <f t="shared" si="2"/>
        <v>2.33</v>
      </c>
      <c r="C51" s="11">
        <f t="shared" si="3"/>
        <v>2.7350000000000003</v>
      </c>
      <c r="D51" s="11">
        <f t="shared" si="3"/>
        <v>-0.40500000000000025</v>
      </c>
      <c r="E51" s="86">
        <f t="shared" si="4"/>
        <v>-0.14808043875685564</v>
      </c>
      <c r="F51" s="87">
        <f t="shared" si="5"/>
        <v>0.82084095063985374</v>
      </c>
      <c r="G51" s="18"/>
      <c r="H51" s="88">
        <f t="shared" si="6"/>
        <v>0.82084095063985374</v>
      </c>
      <c r="I51" s="77">
        <f t="shared" si="7"/>
        <v>0.84999999999999987</v>
      </c>
      <c r="J51" s="26"/>
      <c r="K51" t="s">
        <v>4</v>
      </c>
      <c r="L51" s="97">
        <f>AVERAGE(Sheet1!B$13:B$22)</f>
        <v>2.7350000000000003</v>
      </c>
      <c r="M51" s="26"/>
      <c r="N51" s="26"/>
      <c r="Q51" s="26"/>
    </row>
    <row r="52" spans="1:17">
      <c r="A52" s="8">
        <f t="shared" si="2"/>
        <v>1996</v>
      </c>
      <c r="B52" s="11">
        <f t="shared" si="2"/>
        <v>2.8</v>
      </c>
      <c r="C52" s="11">
        <f t="shared" si="3"/>
        <v>2.7350000000000003</v>
      </c>
      <c r="D52" s="11">
        <f t="shared" si="3"/>
        <v>6.4999999999999503E-2</v>
      </c>
      <c r="E52" s="86">
        <f t="shared" si="4"/>
        <v>2.3765996343692686E-2</v>
      </c>
      <c r="F52" s="87">
        <f t="shared" si="5"/>
        <v>0.88299817184643503</v>
      </c>
      <c r="G52" s="18"/>
      <c r="H52" s="88">
        <f t="shared" si="6"/>
        <v>0.88299817184643503</v>
      </c>
      <c r="I52" s="77">
        <f t="shared" si="7"/>
        <v>0.94999999999999984</v>
      </c>
      <c r="J52" s="26"/>
      <c r="K52" t="s">
        <v>177</v>
      </c>
      <c r="L52">
        <f>STDEVP(Sheet1!B$13:B$22)</f>
        <v>1.7461171209286046</v>
      </c>
      <c r="M52" s="26"/>
      <c r="N52" s="26"/>
      <c r="Q52" s="26"/>
    </row>
    <row r="53" spans="1:17">
      <c r="A53" s="10" t="s">
        <v>49</v>
      </c>
      <c r="B53" s="8"/>
      <c r="C53" s="8"/>
      <c r="D53" s="8"/>
      <c r="E53" s="18"/>
      <c r="F53" s="18"/>
      <c r="G53" s="18">
        <v>1.0001</v>
      </c>
      <c r="H53" s="89">
        <f>F52*G53</f>
        <v>0.88308647166361964</v>
      </c>
      <c r="I53" s="78">
        <v>1</v>
      </c>
      <c r="J53" s="26"/>
      <c r="K53" t="s">
        <v>45</v>
      </c>
      <c r="L53">
        <f>100*L$52/L$51</f>
        <v>63.843404787151904</v>
      </c>
      <c r="M53" s="26"/>
      <c r="N53" s="26"/>
    </row>
    <row r="54" spans="1:17">
      <c r="A54" s="133" t="s">
        <v>174</v>
      </c>
      <c r="B54" s="8"/>
      <c r="C54" s="8"/>
      <c r="D54" s="8"/>
      <c r="E54" s="18"/>
      <c r="F54" s="18"/>
      <c r="G54" s="18"/>
      <c r="H54" s="36"/>
      <c r="I54" s="26"/>
      <c r="J54" s="26"/>
      <c r="K54" t="s">
        <v>155</v>
      </c>
      <c r="L54">
        <f>CORREL(L$41:L$49,L$42:L$50)</f>
        <v>-0.38481674123426096</v>
      </c>
      <c r="M54" s="26"/>
      <c r="N54" s="26"/>
    </row>
    <row r="55" spans="1:17">
      <c r="A55" s="8" t="s">
        <v>175</v>
      </c>
      <c r="B55" s="14">
        <f ca="1">C52*(1+_xll.EMP(H42:H53,I42:I53))</f>
        <v>0.80052001953124996</v>
      </c>
      <c r="C55" s="8" t="str">
        <f ca="1">_xll.VFORMULA(B55)</f>
        <v>=C52*(1+EMP(H42:H53,I42:I53))</v>
      </c>
      <c r="D55" s="18"/>
      <c r="E55" s="18"/>
      <c r="F55" s="18"/>
      <c r="G55" s="18"/>
      <c r="H55" s="26"/>
      <c r="I55" s="26"/>
      <c r="J55" s="26"/>
      <c r="K55"/>
      <c r="L55"/>
      <c r="M55" s="26"/>
      <c r="N55" s="26"/>
    </row>
    <row r="56" spans="1:17">
      <c r="A56" s="8"/>
      <c r="B56" s="8"/>
      <c r="C56" s="8"/>
      <c r="D56" s="18"/>
      <c r="E56" s="18"/>
      <c r="F56" s="18"/>
      <c r="G56" s="18"/>
      <c r="H56" s="26"/>
      <c r="I56" s="26"/>
      <c r="J56" s="26"/>
      <c r="K56" t="s">
        <v>178</v>
      </c>
      <c r="L56"/>
      <c r="M56" s="26"/>
      <c r="N56" s="26"/>
    </row>
    <row r="57" spans="1:17">
      <c r="A57" s="50"/>
      <c r="B57" s="8"/>
      <c r="C57" s="8"/>
      <c r="D57" s="18"/>
      <c r="E57" s="18"/>
      <c r="F57" s="18"/>
      <c r="G57" s="18"/>
      <c r="H57" s="26"/>
      <c r="I57" s="26"/>
      <c r="J57" s="26"/>
      <c r="K57" s="118" t="s">
        <v>44</v>
      </c>
      <c r="L57" s="118" t="str">
        <f>Sheet1!$B$12</f>
        <v>X</v>
      </c>
      <c r="M57" s="26"/>
      <c r="N57" s="26"/>
    </row>
    <row r="58" spans="1:17">
      <c r="A58" s="8"/>
      <c r="B58" s="8"/>
      <c r="C58" s="8"/>
      <c r="D58" s="18"/>
      <c r="E58" s="18"/>
      <c r="F58" s="18"/>
      <c r="G58" s="18"/>
      <c r="H58" s="26"/>
      <c r="I58" s="26"/>
      <c r="J58" s="26"/>
      <c r="K58">
        <v>1</v>
      </c>
      <c r="L58">
        <f>Sheet1!L$41/L$51</f>
        <v>-0.12248628884826339</v>
      </c>
      <c r="M58" s="26"/>
      <c r="N58" s="26"/>
    </row>
    <row r="59" spans="1:17">
      <c r="A59" s="8"/>
      <c r="B59" s="11"/>
      <c r="C59" s="8"/>
      <c r="D59" s="68"/>
      <c r="E59" s="13"/>
      <c r="F59" s="18"/>
      <c r="G59" s="18"/>
      <c r="H59" s="26"/>
      <c r="I59" s="26"/>
      <c r="J59" s="26"/>
      <c r="K59">
        <v>2</v>
      </c>
      <c r="L59">
        <f>Sheet1!L$42/L$51</f>
        <v>-0.62340036563071299</v>
      </c>
      <c r="M59" s="26"/>
      <c r="N59" s="26"/>
    </row>
    <row r="60" spans="1:17">
      <c r="A60" s="8"/>
      <c r="B60" s="11"/>
      <c r="C60" s="8"/>
      <c r="D60" s="45"/>
      <c r="E60" s="14"/>
      <c r="F60" s="18"/>
      <c r="G60" s="18"/>
      <c r="H60" s="26"/>
      <c r="I60" s="26"/>
      <c r="J60" s="26"/>
      <c r="K60">
        <v>3</v>
      </c>
      <c r="L60">
        <f>Sheet1!L$43/L$51</f>
        <v>0.82084095063985374</v>
      </c>
      <c r="M60" s="26"/>
      <c r="N60" s="26"/>
    </row>
    <row r="61" spans="1:17">
      <c r="A61" s="8"/>
      <c r="B61" s="11"/>
      <c r="C61" s="8"/>
      <c r="D61" s="45"/>
      <c r="E61" s="14"/>
      <c r="F61" s="18"/>
      <c r="G61" s="18"/>
      <c r="H61" s="26"/>
      <c r="I61" s="26"/>
      <c r="J61" s="26"/>
      <c r="K61">
        <v>4</v>
      </c>
      <c r="L61">
        <f>Sheet1!L$44/L$51</f>
        <v>-1</v>
      </c>
      <c r="M61" s="26"/>
      <c r="N61" s="26"/>
    </row>
    <row r="62" spans="1:17">
      <c r="A62" s="8"/>
      <c r="B62" s="11"/>
      <c r="C62" s="8"/>
      <c r="D62" s="45"/>
      <c r="E62" s="14"/>
      <c r="F62" s="18"/>
      <c r="G62" s="18"/>
      <c r="H62" s="26"/>
      <c r="I62" s="26"/>
      <c r="J62" s="26"/>
      <c r="K62">
        <v>5</v>
      </c>
      <c r="L62">
        <f>Sheet1!L$45/L$51</f>
        <v>0.88299817184643503</v>
      </c>
      <c r="M62" s="26"/>
      <c r="N62" s="26"/>
    </row>
    <row r="63" spans="1:17">
      <c r="A63" s="18"/>
      <c r="B63" s="73"/>
      <c r="C63" s="26"/>
      <c r="D63" s="45"/>
      <c r="E63" s="14"/>
      <c r="F63" s="18"/>
      <c r="G63" s="18"/>
      <c r="H63" s="26"/>
      <c r="I63" s="26"/>
      <c r="J63" s="26"/>
      <c r="K63">
        <v>6</v>
      </c>
      <c r="L63">
        <f>Sheet1!L$46/L$51</f>
        <v>0.60877513711151732</v>
      </c>
      <c r="M63" s="26"/>
      <c r="N63" s="26"/>
    </row>
    <row r="64" spans="1:17">
      <c r="A64" s="10"/>
      <c r="B64" s="11"/>
      <c r="C64" s="8"/>
      <c r="D64" s="45"/>
      <c r="E64" s="14"/>
      <c r="F64" s="26"/>
      <c r="G64" s="26"/>
      <c r="H64" s="26"/>
      <c r="I64" s="26"/>
      <c r="J64" s="11"/>
      <c r="K64">
        <v>7</v>
      </c>
      <c r="L64">
        <f>Sheet1!L$47/L$51</f>
        <v>0.38208409506398516</v>
      </c>
      <c r="M64" s="11"/>
      <c r="N64" s="11"/>
      <c r="O64" s="11"/>
    </row>
    <row r="65" spans="1:18">
      <c r="A65" s="10"/>
      <c r="B65" s="11"/>
      <c r="C65" s="8"/>
      <c r="D65" s="74"/>
      <c r="E65" s="14"/>
      <c r="F65" s="26"/>
      <c r="G65" s="26"/>
      <c r="H65" s="26"/>
      <c r="I65" s="26"/>
      <c r="J65" s="11"/>
      <c r="K65">
        <v>8</v>
      </c>
      <c r="L65">
        <f>Sheet1!L$48/L$51</f>
        <v>-0.82449725776965266</v>
      </c>
      <c r="M65" s="11"/>
      <c r="N65" s="11"/>
      <c r="O65" s="11"/>
    </row>
    <row r="66" spans="1:18">
      <c r="A66" s="10"/>
      <c r="B66" s="45"/>
      <c r="C66" s="8"/>
      <c r="D66" s="45"/>
      <c r="E66" s="14"/>
      <c r="F66" s="26"/>
      <c r="G66" s="8"/>
      <c r="H66" s="8"/>
      <c r="I66" s="26"/>
      <c r="J66" s="8"/>
      <c r="K66">
        <v>9</v>
      </c>
      <c r="L66">
        <f>Sheet1!L$49/L$51</f>
        <v>-0.14808043875685564</v>
      </c>
      <c r="M66" s="8"/>
    </row>
    <row r="67" spans="1:18">
      <c r="A67" s="10"/>
      <c r="B67" s="11"/>
      <c r="C67" s="14"/>
      <c r="D67" s="45"/>
      <c r="E67" s="14"/>
      <c r="F67" s="26"/>
      <c r="G67" s="26"/>
      <c r="H67" s="26"/>
      <c r="I67" s="26"/>
      <c r="J67" s="8"/>
      <c r="K67" s="118">
        <v>10</v>
      </c>
      <c r="L67" s="118">
        <f>Sheet1!L$50/L$51</f>
        <v>2.3765996343692686E-2</v>
      </c>
      <c r="M67" s="8"/>
    </row>
    <row r="68" spans="1:18">
      <c r="A68" s="75"/>
      <c r="B68" s="11"/>
      <c r="C68" s="50"/>
      <c r="D68" s="45"/>
      <c r="E68" s="14"/>
      <c r="F68" s="26"/>
      <c r="G68" s="26"/>
      <c r="H68" s="26"/>
      <c r="I68" s="26"/>
      <c r="J68" s="8"/>
      <c r="K68"/>
      <c r="L68"/>
      <c r="M68" s="8"/>
      <c r="Q68" s="26"/>
    </row>
    <row r="69" spans="1:18">
      <c r="A69" s="68"/>
      <c r="B69" s="11"/>
      <c r="C69" s="51"/>
      <c r="D69" s="45"/>
      <c r="E69" s="14"/>
      <c r="F69" s="26"/>
      <c r="G69" s="26"/>
      <c r="H69" s="26"/>
      <c r="I69" s="8"/>
      <c r="J69" s="8"/>
      <c r="K69" t="s">
        <v>179</v>
      </c>
      <c r="L69"/>
      <c r="M69" s="8"/>
      <c r="Q69" s="26"/>
    </row>
    <row r="70" spans="1:18">
      <c r="A70" s="68"/>
      <c r="B70" s="8"/>
      <c r="C70" s="51"/>
      <c r="D70" s="45"/>
      <c r="E70" s="14"/>
      <c r="F70" s="26"/>
      <c r="G70" s="26"/>
      <c r="H70" s="26"/>
      <c r="I70" s="8"/>
      <c r="J70" s="8"/>
      <c r="K70" s="118" t="s">
        <v>158</v>
      </c>
      <c r="L70" s="118" t="str">
        <f>Sheet1!$B$12</f>
        <v>X</v>
      </c>
      <c r="M70" s="8"/>
      <c r="Q70" s="26"/>
    </row>
    <row r="71" spans="1:18">
      <c r="A71" s="68"/>
      <c r="B71" s="8"/>
      <c r="C71" s="51"/>
      <c r="D71" s="45"/>
      <c r="E71" s="14"/>
      <c r="F71" s="26"/>
      <c r="G71" s="26"/>
      <c r="H71" s="26"/>
      <c r="I71" s="8"/>
      <c r="J71" s="8"/>
      <c r="K71">
        <v>0</v>
      </c>
      <c r="L71">
        <f>IF(L$72&lt;0,L$72* 1.0001,L$72*0.9999)</f>
        <v>-1.0001</v>
      </c>
      <c r="M71" s="8"/>
      <c r="Q71" s="26"/>
    </row>
    <row r="72" spans="1:18">
      <c r="A72" s="68"/>
      <c r="B72" s="8"/>
      <c r="C72" s="51"/>
      <c r="D72" s="8"/>
      <c r="E72" s="49"/>
      <c r="F72" s="26"/>
      <c r="G72" s="26"/>
      <c r="H72" s="26"/>
      <c r="I72" s="8"/>
      <c r="J72" s="8"/>
      <c r="K72">
        <v>5.000000074505806E-2</v>
      </c>
      <c r="L72">
        <f>IF(L$51&gt;0,(SMALL(Sheet1!B$13:B$22,$K$41)-L$51)/L$51,(LARGE(Sheet1!B$13:B$22,$K$41)-L$51)/L$51)</f>
        <v>-1</v>
      </c>
      <c r="M72" s="8"/>
      <c r="Q72" s="26"/>
    </row>
    <row r="73" spans="1:18" s="4" customFormat="1">
      <c r="C73" s="51"/>
      <c r="D73" s="13"/>
      <c r="E73" s="49"/>
      <c r="F73" s="26"/>
      <c r="G73" s="26"/>
      <c r="H73" s="26"/>
      <c r="I73" s="13"/>
      <c r="J73" s="8"/>
      <c r="K73">
        <v>0.15000000596046448</v>
      </c>
      <c r="L73">
        <f>IF(L$51&gt;0,(SMALL(Sheet1!B$13:B$22,$K$42)-L$51)/L$51,(LARGE(Sheet1!B$13:B$22,$K$42)-L$51)/L$51)</f>
        <v>-0.82449725776965266</v>
      </c>
      <c r="M73" s="8"/>
      <c r="N73" s="8"/>
      <c r="O73" s="8"/>
      <c r="P73" s="8"/>
      <c r="Q73" s="26"/>
      <c r="R73" s="13"/>
    </row>
    <row r="74" spans="1:18">
      <c r="F74" s="26"/>
      <c r="G74" s="26"/>
      <c r="H74" s="26"/>
      <c r="I74" s="8"/>
      <c r="J74" s="8"/>
      <c r="K74">
        <v>0.25</v>
      </c>
      <c r="L74">
        <f>IF(L$51&gt;0,(SMALL(Sheet1!B$13:B$22,$K$43)-L$51)/L$51,(LARGE(Sheet1!B$13:B$22,$K$43)-L$51)/L$51)</f>
        <v>-0.62340036563071299</v>
      </c>
      <c r="M74" s="8"/>
      <c r="Q74" s="26"/>
    </row>
    <row r="75" spans="1:18">
      <c r="F75" s="26"/>
      <c r="G75" s="26"/>
      <c r="H75" s="26"/>
      <c r="I75" s="8"/>
      <c r="J75" s="8"/>
      <c r="K75">
        <v>0.34999999403953552</v>
      </c>
      <c r="L75">
        <f>IF(L$51&gt;0,(SMALL(Sheet1!B$13:B$22,$K$44)-L$51)/L$51,(LARGE(Sheet1!B$13:B$22,$K$44)-L$51)/L$51)</f>
        <v>-0.14808043875685564</v>
      </c>
      <c r="M75" s="8"/>
      <c r="Q75" s="26"/>
    </row>
    <row r="76" spans="1:18">
      <c r="F76" s="26"/>
      <c r="G76" s="26"/>
      <c r="H76" s="26"/>
      <c r="I76" s="8"/>
      <c r="J76" s="8"/>
      <c r="K76">
        <v>0.44999998807907104</v>
      </c>
      <c r="L76">
        <f>IF(L$51&gt;0,(SMALL(Sheet1!B$13:B$22,$K$45)-L$51)/L$51,(LARGE(Sheet1!B$13:B$22,$K$45)-L$51)/L$51)</f>
        <v>-0.12248628884826339</v>
      </c>
      <c r="M76" s="8"/>
      <c r="Q76" s="26"/>
    </row>
    <row r="77" spans="1:18">
      <c r="F77" s="26"/>
      <c r="G77" s="26"/>
      <c r="H77" s="26"/>
      <c r="I77" s="8"/>
      <c r="J77" s="8"/>
      <c r="K77">
        <v>0.55000001192092896</v>
      </c>
      <c r="L77">
        <f>IF(L$51&gt;0,(SMALL(Sheet1!B$13:B$22,$K$46)-L$51)/L$51,(LARGE(Sheet1!B$13:B$22,$K$46)-L$51)/L$51)</f>
        <v>2.3765996343692686E-2</v>
      </c>
      <c r="M77" s="8"/>
      <c r="Q77" s="26"/>
    </row>
    <row r="78" spans="1:18">
      <c r="F78" s="26"/>
      <c r="G78" s="26"/>
      <c r="H78" s="26"/>
      <c r="I78" s="8"/>
      <c r="J78" s="8"/>
      <c r="K78">
        <v>0.65000003576278687</v>
      </c>
      <c r="L78">
        <f>IF(L$51&gt;0,(SMALL(Sheet1!B$13:B$22,$K$47)-L$51)/L$51,(LARGE(Sheet1!B$13:B$22,$K$47)-L$51)/L$51)</f>
        <v>0.38208409506398516</v>
      </c>
      <c r="M78" s="8"/>
      <c r="Q78" s="26"/>
    </row>
    <row r="79" spans="1:18">
      <c r="F79" s="26"/>
      <c r="G79" s="26"/>
      <c r="H79" s="26"/>
      <c r="I79" s="26"/>
      <c r="J79" s="8"/>
      <c r="K79" s="97">
        <v>0.75000005960464478</v>
      </c>
      <c r="L79">
        <f>IF(L$51&gt;0,(SMALL(Sheet1!B$13:B$22,$K$48)-L$51)/L$51,(LARGE(Sheet1!B$13:B$22,$K$48)-L$51)/L$51)</f>
        <v>0.60877513711151732</v>
      </c>
      <c r="M79" s="8"/>
      <c r="Q79" s="26"/>
    </row>
    <row r="80" spans="1:18">
      <c r="F80" s="26"/>
      <c r="G80" s="26"/>
      <c r="H80" s="26"/>
      <c r="I80" s="26"/>
      <c r="J80" s="8"/>
      <c r="K80" s="97">
        <v>0.85000008344650269</v>
      </c>
      <c r="L80">
        <f>IF(L$51&gt;0,(SMALL(Sheet1!B$13:B$22,$K$49)-L$51)/L$51,(LARGE(Sheet1!B$13:B$22,$K$49)-L$51)/L$51)</f>
        <v>0.82084095063985374</v>
      </c>
      <c r="M80" s="8"/>
      <c r="Q80" s="26"/>
    </row>
    <row r="81" spans="1:17">
      <c r="F81" s="26"/>
      <c r="G81" s="26"/>
      <c r="H81" s="26"/>
      <c r="I81" s="26"/>
      <c r="J81" s="8"/>
      <c r="K81" s="97">
        <v>0.9500001072883606</v>
      </c>
      <c r="L81">
        <f>IF(L$51&gt;0,(SMALL(Sheet1!B$13:B$22,$K$50)-L$51)/L$51,(LARGE(Sheet1!B$13:B$22,$K$50)-L$51)/L$51)</f>
        <v>0.88299817184643503</v>
      </c>
      <c r="M81" s="8"/>
      <c r="Q81" s="26"/>
    </row>
    <row r="82" spans="1:17">
      <c r="F82" s="26"/>
      <c r="G82" s="26"/>
      <c r="H82" s="26"/>
      <c r="I82" s="26"/>
      <c r="J82" s="8"/>
      <c r="K82" s="118">
        <v>1</v>
      </c>
      <c r="L82" s="118">
        <f>IF(L$81&lt;0,L$81* 0.9999,L$81*1.0001)</f>
        <v>0.88308647166361964</v>
      </c>
      <c r="M82" s="8"/>
      <c r="Q82" s="26"/>
    </row>
    <row r="83" spans="1:17">
      <c r="F83" s="26"/>
      <c r="G83" s="26"/>
      <c r="H83" s="26"/>
      <c r="I83" s="26"/>
      <c r="J83" s="8"/>
      <c r="M83" s="8"/>
      <c r="Q83" s="26"/>
    </row>
    <row r="84" spans="1:17">
      <c r="F84" s="26"/>
      <c r="G84" s="26"/>
      <c r="H84" s="26"/>
      <c r="I84" s="26"/>
      <c r="J84" s="8"/>
      <c r="M84" s="8"/>
      <c r="Q84" s="26"/>
    </row>
    <row r="85" spans="1:17">
      <c r="A85" s="135" t="s">
        <v>59</v>
      </c>
      <c r="B85" s="48"/>
      <c r="C85" s="136"/>
      <c r="D85" s="48"/>
      <c r="E85" s="137"/>
      <c r="F85" s="118"/>
      <c r="G85" s="118"/>
      <c r="H85" s="26"/>
      <c r="I85" s="26"/>
      <c r="J85" s="8"/>
      <c r="M85" s="8"/>
      <c r="Q85" s="26"/>
    </row>
    <row r="86" spans="1:17">
      <c r="C86" s="51"/>
      <c r="D86" s="8"/>
      <c r="E86" s="49"/>
      <c r="F86" s="26"/>
      <c r="G86" s="26"/>
      <c r="H86" s="26"/>
      <c r="I86" s="26"/>
      <c r="J86" s="8"/>
      <c r="M86" s="8"/>
      <c r="Q86" s="26"/>
    </row>
    <row r="87" spans="1:17">
      <c r="A87" s="1" t="s">
        <v>2</v>
      </c>
      <c r="B87" s="3">
        <f>MIN($B$13:$B$22)</f>
        <v>0</v>
      </c>
      <c r="C87" s="51"/>
      <c r="D87" s="8" t="s">
        <v>82</v>
      </c>
      <c r="E87" s="49">
        <f ca="1">_xll.UNIFORM(B87,B88)</f>
        <v>0.47699737548828131</v>
      </c>
      <c r="F87" s="26" t="str">
        <f ca="1">_xll.VFORMULA(E87)</f>
        <v>=UNIFORM(B87,B88)</v>
      </c>
      <c r="G87" s="26"/>
      <c r="H87" s="26"/>
      <c r="I87" s="26"/>
      <c r="J87" s="8"/>
      <c r="M87" s="8"/>
      <c r="Q87" s="26"/>
    </row>
    <row r="88" spans="1:17">
      <c r="A88" s="8" t="s">
        <v>3</v>
      </c>
      <c r="B88" s="11">
        <f>MAX($B$13:$B$22)</f>
        <v>5.15</v>
      </c>
      <c r="C88" s="51"/>
      <c r="D88" s="8"/>
      <c r="E88" s="49"/>
      <c r="F88" s="26"/>
      <c r="G88" s="26"/>
      <c r="H88" s="26"/>
      <c r="I88" s="26"/>
      <c r="J88" s="8"/>
      <c r="K88" s="8"/>
      <c r="L88" s="8"/>
      <c r="M88" s="8"/>
      <c r="Q88" s="26"/>
    </row>
    <row r="89" spans="1:17">
      <c r="C89" s="51"/>
      <c r="D89" s="8"/>
      <c r="E89" s="49"/>
      <c r="F89" s="26"/>
      <c r="G89" s="26"/>
      <c r="H89" s="26"/>
      <c r="I89" s="26"/>
      <c r="J89" s="8"/>
      <c r="K89" s="8"/>
      <c r="L89" s="8"/>
      <c r="M89" s="8"/>
      <c r="Q89" s="26"/>
    </row>
    <row r="90" spans="1:17">
      <c r="C90" s="51"/>
      <c r="D90" s="8"/>
      <c r="E90" s="49"/>
      <c r="F90" s="26"/>
      <c r="G90" s="26"/>
      <c r="H90" s="26"/>
      <c r="I90" s="26"/>
      <c r="J90" s="8"/>
      <c r="K90" s="8"/>
      <c r="L90" s="8"/>
      <c r="M90" s="8"/>
      <c r="Q90" s="26"/>
    </row>
    <row r="91" spans="1:17" ht="12.75" thickBot="1">
      <c r="A91" s="52" t="s">
        <v>60</v>
      </c>
      <c r="B91" s="16"/>
      <c r="C91" s="16"/>
      <c r="D91" s="16"/>
      <c r="E91" s="16"/>
      <c r="F91" s="26"/>
      <c r="G91" s="26"/>
      <c r="H91" s="26"/>
      <c r="I91" s="26"/>
      <c r="J91" s="8"/>
      <c r="K91" s="8"/>
      <c r="L91" s="8"/>
      <c r="M91" s="8"/>
      <c r="Q91" s="26"/>
    </row>
    <row r="92" spans="1:17">
      <c r="C92" s="8"/>
      <c r="D92" s="8"/>
      <c r="E92" s="8"/>
      <c r="F92" s="26"/>
      <c r="G92" s="26"/>
      <c r="H92" s="26"/>
      <c r="I92" s="26"/>
      <c r="J92" s="8"/>
      <c r="K92" s="8"/>
      <c r="L92" s="8"/>
      <c r="M92" s="8"/>
      <c r="Q92" s="26"/>
    </row>
    <row r="93" spans="1:17">
      <c r="A93" s="1" t="s">
        <v>61</v>
      </c>
      <c r="C93" s="8"/>
      <c r="D93" s="8"/>
      <c r="E93" s="8"/>
      <c r="F93" s="26"/>
      <c r="G93" s="26"/>
      <c r="H93" s="26"/>
      <c r="I93" s="26"/>
      <c r="J93" s="8"/>
      <c r="K93" s="8"/>
      <c r="L93" s="8"/>
      <c r="M93" s="8"/>
      <c r="Q93" s="26"/>
    </row>
    <row r="94" spans="1:17">
      <c r="A94" s="1" t="s">
        <v>62</v>
      </c>
      <c r="B94" s="3">
        <v>2</v>
      </c>
      <c r="C94" s="8"/>
      <c r="D94" s="8"/>
      <c r="E94" s="8"/>
      <c r="F94" s="26"/>
      <c r="G94" s="26"/>
      <c r="H94" s="26"/>
      <c r="I94" s="26"/>
      <c r="J94" s="8"/>
      <c r="K94" s="8"/>
      <c r="L94" s="8"/>
      <c r="M94" s="8"/>
      <c r="Q94" s="26"/>
    </row>
    <row r="95" spans="1:17" ht="12.75" thickBot="1">
      <c r="A95" s="16" t="s">
        <v>63</v>
      </c>
      <c r="B95" s="82">
        <f>_xll.EDF(B13:B22,B94)</f>
        <v>0.37461538461538457</v>
      </c>
      <c r="C95" s="16"/>
      <c r="D95" s="16"/>
      <c r="E95" s="16"/>
      <c r="F95" s="26"/>
      <c r="G95" s="26"/>
      <c r="H95" s="26"/>
      <c r="I95" s="26"/>
      <c r="J95" s="8"/>
      <c r="K95" s="8"/>
      <c r="L95" s="8"/>
      <c r="M95" s="8"/>
      <c r="Q95" s="26"/>
    </row>
    <row r="96" spans="1:17">
      <c r="A96" s="8"/>
      <c r="B96" s="40"/>
      <c r="C96" s="8"/>
      <c r="D96" s="8"/>
      <c r="E96" s="8"/>
      <c r="F96" s="26"/>
      <c r="G96" s="26"/>
      <c r="H96" s="26"/>
      <c r="I96" s="26"/>
      <c r="J96" s="8"/>
      <c r="K96" s="8"/>
      <c r="L96" s="8"/>
      <c r="M96" s="8"/>
      <c r="Q96" s="26"/>
    </row>
    <row r="97" spans="1:256" ht="12.75" thickBot="1">
      <c r="F97"/>
      <c r="G97"/>
      <c r="H97"/>
      <c r="I97"/>
      <c r="J97" s="14"/>
      <c r="K97" s="14"/>
      <c r="L97" s="14"/>
      <c r="M97" s="14"/>
      <c r="N97" s="14"/>
      <c r="O97" s="14"/>
      <c r="P97" s="14"/>
      <c r="Q97" s="26"/>
      <c r="U97" s="140" t="s">
        <v>205</v>
      </c>
    </row>
    <row r="98" spans="1:256">
      <c r="A98" s="17" t="s">
        <v>182</v>
      </c>
      <c r="B98" s="6"/>
      <c r="C98" s="6"/>
      <c r="D98" s="6"/>
      <c r="E98" s="6"/>
      <c r="F98" s="32"/>
      <c r="G98" s="32"/>
      <c r="H98" s="32"/>
      <c r="I98" s="32"/>
      <c r="J98" s="33"/>
      <c r="K98" s="33"/>
      <c r="L98" s="11"/>
      <c r="M98" s="11"/>
      <c r="N98" s="11"/>
      <c r="O98" s="11"/>
      <c r="P98" s="11"/>
      <c r="Q98" s="26"/>
    </row>
    <row r="99" spans="1:256">
      <c r="A99" s="7"/>
      <c r="B99" s="8"/>
      <c r="C99" s="8"/>
      <c r="D99" s="8"/>
      <c r="E99" s="8"/>
      <c r="F99" s="8"/>
      <c r="G99" s="26"/>
      <c r="H99" s="26"/>
      <c r="I99" s="26"/>
      <c r="J99" s="8"/>
      <c r="K99" s="11"/>
      <c r="L99" s="11"/>
      <c r="M99" s="11"/>
      <c r="N99" s="11"/>
      <c r="O99" s="11"/>
      <c r="P99" s="11"/>
      <c r="Q99" s="26"/>
    </row>
    <row r="100" spans="1:256" ht="12.75" thickBot="1">
      <c r="A100" s="15" t="s">
        <v>162</v>
      </c>
      <c r="B100" s="21" t="s">
        <v>9</v>
      </c>
      <c r="C100" s="8"/>
      <c r="F100" s="115" t="str">
        <f>"OLS Regression Statistics for "&amp;$B$100&amp;", 2/4/2006 8:37:29 PM"</f>
        <v>OLS Regression Statistics for X, 2/4/2006 8:37:29 PM</v>
      </c>
      <c r="G100"/>
      <c r="H100"/>
      <c r="I100"/>
      <c r="J100"/>
      <c r="K100"/>
      <c r="L100"/>
      <c r="M100"/>
      <c r="N100"/>
      <c r="O100" s="11"/>
      <c r="P100" s="11"/>
      <c r="Q100" s="26"/>
    </row>
    <row r="101" spans="1:256">
      <c r="A101" s="34">
        <v>1</v>
      </c>
      <c r="B101" s="35">
        <v>31</v>
      </c>
      <c r="C101" s="36"/>
      <c r="F101" s="62" t="s">
        <v>35</v>
      </c>
      <c r="G101" s="91">
        <f>INDEX(_xll.LR($B$101:$B$123,$A$101:$A$123,1,$G$116:$H$116,),4,1)</f>
        <v>17.965962943411157</v>
      </c>
      <c r="H101" s="94" t="s">
        <v>29</v>
      </c>
      <c r="I101" s="91">
        <f>FDIST(ABS($G$101),INDEX(_xll.LROBS($B$101:$B$123,$A$101:$A$123,$G$116:$H$116,),2,1),INDEX(_xll.LROBS($B$101:$B$123,$A$101:$A$123,$G$116:$H$116,),2,2))</f>
        <v>3.6722390311448485E-4</v>
      </c>
      <c r="J101" s="115" t="s">
        <v>140</v>
      </c>
      <c r="K101"/>
      <c r="L101"/>
      <c r="M101"/>
      <c r="N101"/>
      <c r="O101" s="26"/>
      <c r="P101" s="11"/>
      <c r="Q101" s="26"/>
      <c r="AZ101" t="s">
        <v>194</v>
      </c>
      <c r="BA101"/>
      <c r="BB101"/>
    </row>
    <row r="102" spans="1:256" ht="13.5">
      <c r="A102" s="34">
        <v>2</v>
      </c>
      <c r="B102" s="35">
        <v>33.9</v>
      </c>
      <c r="C102" s="36"/>
      <c r="F102" s="62" t="s">
        <v>151</v>
      </c>
      <c r="G102" s="91">
        <f>INDEX(_xll.LR($B$101:$B$123,$A$101:$A$123,1,$G$116:$H$116,),3,2)</f>
        <v>2.513367892489363</v>
      </c>
      <c r="H102" s="94" t="s">
        <v>36</v>
      </c>
      <c r="I102" s="91">
        <f>$G$102/AVERAGE($B$101:$B$123)*100</f>
        <v>7.3640078378669234</v>
      </c>
      <c r="J102" s="94" t="s">
        <v>35</v>
      </c>
      <c r="K102" s="91">
        <f>INDEX(_xll.LR($B$101:$B$123,$A$101:$A$123,1,),4,1)</f>
        <v>17.965962943411157</v>
      </c>
      <c r="L102"/>
      <c r="M102"/>
      <c r="N102"/>
      <c r="O102" s="26"/>
      <c r="P102" s="11"/>
      <c r="Q102" s="26"/>
      <c r="AZ102"/>
      <c r="BA102" s="101">
        <f>Sheet1!$C$156</f>
        <v>1.8173249794722447E-2</v>
      </c>
      <c r="BB102"/>
      <c r="BD102" s="101">
        <f>Sheet1!$C$156</f>
        <v>1.8173249794722447E-2</v>
      </c>
      <c r="BE102" t="s">
        <v>203</v>
      </c>
    </row>
    <row r="103" spans="1:256" ht="13.5">
      <c r="A103" s="34">
        <v>3</v>
      </c>
      <c r="B103" s="35">
        <v>32.700000000000003</v>
      </c>
      <c r="C103" s="36"/>
      <c r="F103" s="62" t="s">
        <v>141</v>
      </c>
      <c r="G103" s="91">
        <f>INDEX(_xll.LR($B$101:$B$123,$A$101:$A$123,1,$G$116:$H$116,),3,1)</f>
        <v>0.46106811140537662</v>
      </c>
      <c r="H103" s="94" t="s">
        <v>67</v>
      </c>
      <c r="I103" s="91">
        <f>_xll.LRDW($B$101:$B$123,$A$101:$A$123,1,$G$116:$H$116,,,)</f>
        <v>1.5100644414159092</v>
      </c>
      <c r="J103" s="94" t="s">
        <v>141</v>
      </c>
      <c r="K103" s="91">
        <f>INDEX(_xll.LR($B$101:$B$123,$A$101:$A$123,1,),3,1)</f>
        <v>0.46106811140537662</v>
      </c>
      <c r="L103"/>
      <c r="M103"/>
      <c r="N103"/>
      <c r="O103" s="26"/>
      <c r="P103" s="11"/>
      <c r="Q103" s="26"/>
      <c r="AZ103" t="s">
        <v>195</v>
      </c>
      <c r="BA103" s="101">
        <f>MIN(Sheet1!$C$157:$C$180)</f>
        <v>-0.14113847119937167</v>
      </c>
      <c r="BB103"/>
      <c r="BD103">
        <f>SMALL(Sheet1!$C$157:$C$180,1)</f>
        <v>-0.14113847119937167</v>
      </c>
      <c r="BE103">
        <v>0</v>
      </c>
    </row>
    <row r="104" spans="1:256" ht="13.5">
      <c r="A104" s="34">
        <v>4</v>
      </c>
      <c r="B104" s="35">
        <v>31.6</v>
      </c>
      <c r="C104" s="36"/>
      <c r="F104" s="62" t="s">
        <v>142</v>
      </c>
      <c r="G104" s="91">
        <f>INDEX(_xll.LR($B$101:$B$123,$A$101:$A$123,1,$G$116:$H$116,),3,3)</f>
        <v>0.43540468813896593</v>
      </c>
      <c r="H104" s="94" t="s">
        <v>69</v>
      </c>
      <c r="I104" s="91">
        <f>_xll.LRRHO($B$101:$B$123,$A$101:$A$123,1,$G$116:$H$116,,,)</f>
        <v>0.23886330976109579</v>
      </c>
      <c r="J104" s="94" t="s">
        <v>142</v>
      </c>
      <c r="K104" s="91">
        <f>INDEX(_xll.LR($B$101:$B$123,$A$101:$A$123,1,),3,3)</f>
        <v>0.43540468813896593</v>
      </c>
      <c r="L104"/>
      <c r="M104"/>
      <c r="N104"/>
      <c r="O104" s="26"/>
      <c r="P104" s="11"/>
      <c r="Q104" s="26"/>
      <c r="AZ104" t="s">
        <v>196</v>
      </c>
      <c r="BA104" s="101">
        <f>MAX(Sheet1!$C$157:$C$180)</f>
        <v>0.13217747843419969</v>
      </c>
      <c r="BB104"/>
      <c r="BD104">
        <f>SMALL(Sheet1!$C$157:$C$180,2)</f>
        <v>-0.1116420410617653</v>
      </c>
      <c r="BE104">
        <f>1/(COUNT(Sheet1!$C$157:$C$180)-1)+$BE$103</f>
        <v>4.3478260869565216E-2</v>
      </c>
    </row>
    <row r="105" spans="1:256">
      <c r="A105" s="34">
        <v>5</v>
      </c>
      <c r="B105" s="35">
        <v>27.3</v>
      </c>
      <c r="C105" s="36"/>
      <c r="F105" s="62" t="s">
        <v>143</v>
      </c>
      <c r="G105" s="91">
        <f>_xll.LRAIC($B$101:$B$123,$A$101:$A$123,1,$G$116:$H$116,,,)</f>
        <v>1.8392320307025094</v>
      </c>
      <c r="H105" s="94" t="s">
        <v>68</v>
      </c>
      <c r="I105" s="91">
        <f>_xll.LRGQ($B$101:$B$123,$A$101:$A$123,1,$G$116:$H$116,,,)</f>
        <v>0.60531657220015878</v>
      </c>
      <c r="J105" s="62" t="s">
        <v>143</v>
      </c>
      <c r="K105" s="91">
        <f>_xll.LRAIC($B$101:$B$123,$A$101:$A$123,1,,,,)</f>
        <v>1.8392320307025094</v>
      </c>
      <c r="L105"/>
      <c r="M105"/>
      <c r="N105"/>
      <c r="O105" s="26"/>
      <c r="P105" s="11"/>
      <c r="Q105" s="26"/>
      <c r="AZ105" t="s">
        <v>197</v>
      </c>
      <c r="BA105">
        <f>_xll.BANDWIDTH(Sheet1!$C$157:$C$180)</f>
        <v>3.9616573881457916E-2</v>
      </c>
      <c r="BB105"/>
      <c r="BD105">
        <f>SMALL(Sheet1!$C$157:$C$180,3)</f>
        <v>-8.4826913443540264E-2</v>
      </c>
      <c r="BE105">
        <f>1/(COUNT(Sheet1!$C$157:$C$180)-1)+$BE$104</f>
        <v>8.6956521739130432E-2</v>
      </c>
    </row>
    <row r="106" spans="1:256" ht="12.75" thickBot="1">
      <c r="A106" s="34">
        <v>6</v>
      </c>
      <c r="B106" s="35">
        <v>30.6</v>
      </c>
      <c r="C106" s="36"/>
      <c r="F106" s="62" t="s">
        <v>144</v>
      </c>
      <c r="G106" s="91">
        <f>_xll.LRSIC($B$101:$B$123,$A$101:$A$123,1,$G$116:$H$116,,,)</f>
        <v>1.8886013444385594</v>
      </c>
      <c r="H106" s="94"/>
      <c r="I106" s="91"/>
      <c r="J106" s="94" t="s">
        <v>144</v>
      </c>
      <c r="K106" s="91">
        <f>_xll.LRSIC($B$101:$B$123,$A$101:$A$123,1,,,,)</f>
        <v>1.8886013444385594</v>
      </c>
      <c r="L106"/>
      <c r="M106"/>
      <c r="N106"/>
      <c r="O106" s="26"/>
      <c r="P106" s="14"/>
      <c r="Q106" s="26"/>
      <c r="AZ106" t="s">
        <v>198</v>
      </c>
      <c r="BA106" t="s">
        <v>202</v>
      </c>
      <c r="BB106"/>
      <c r="BD106">
        <f>SMALL(Sheet1!$C$157:$C$180,4)</f>
        <v>-6.6429191213409178E-2</v>
      </c>
      <c r="BE106">
        <f>1/(COUNT(Sheet1!$C$157:$C$180)-1)+$BE$105</f>
        <v>0.13043478260869565</v>
      </c>
    </row>
    <row r="107" spans="1:256">
      <c r="A107" s="34">
        <v>7</v>
      </c>
      <c r="B107" s="35">
        <v>30.3</v>
      </c>
      <c r="C107" s="36"/>
      <c r="F107" s="117">
        <v>0.95</v>
      </c>
      <c r="G107" s="63" t="s">
        <v>13</v>
      </c>
      <c r="H107" s="63" t="str">
        <f>$A$100</f>
        <v>Trend</v>
      </c>
      <c r="I107"/>
      <c r="J107"/>
      <c r="K107"/>
      <c r="L107"/>
      <c r="M107"/>
      <c r="N107"/>
      <c r="O107" s="26"/>
      <c r="Q107" s="26"/>
      <c r="AZ107" t="s">
        <v>199</v>
      </c>
      <c r="BA107" s="142">
        <v>0.95</v>
      </c>
      <c r="BB107"/>
      <c r="BD107">
        <f>SMALL(Sheet1!$C$157:$C$180,5)</f>
        <v>-6.5102960259860107E-2</v>
      </c>
      <c r="BE107">
        <f>1/(COUNT(Sheet1!$C$157:$C$180)-1)+$BE$106</f>
        <v>0.17391304347826086</v>
      </c>
    </row>
    <row r="108" spans="1:256">
      <c r="A108" s="34">
        <v>8</v>
      </c>
      <c r="B108" s="35">
        <v>30.7</v>
      </c>
      <c r="C108" s="36"/>
      <c r="F108" s="62" t="s">
        <v>37</v>
      </c>
      <c r="G108" s="91">
        <f t="array" ref="G108:H109">_xll.LR($B$101:$B$123,$A$101:$A$123,1,$G$116:$H$116,)</f>
        <v>30.111857707509913</v>
      </c>
      <c r="H108" s="91">
        <v>0.33488142292490153</v>
      </c>
      <c r="I108"/>
      <c r="J108"/>
      <c r="K108"/>
      <c r="L108"/>
      <c r="M108"/>
      <c r="N108"/>
      <c r="O108" s="26"/>
      <c r="Q108" s="26"/>
      <c r="AZ108" t="s">
        <v>200</v>
      </c>
      <c r="BA108" s="91">
        <f>_xll.QUANTILE(Sheet1!$C$157:$C$180,(1-$BA$107)/2)</f>
        <v>-0.13818882818561101</v>
      </c>
      <c r="BB108" s="91">
        <f>_xll.PDENSITY($BA$108,Sheet1!$C$157:$C$180,$BA$105,$BA$106,0)</f>
        <v>1.2445290747409525</v>
      </c>
      <c r="BD108">
        <f>SMALL(Sheet1!$C$157:$C$180,6)</f>
        <v>-6.3764901580261588E-2</v>
      </c>
      <c r="BE108">
        <f>1/(COUNT(Sheet1!$C$157:$C$180)-1)+$BE$107</f>
        <v>0.21739130434782608</v>
      </c>
    </row>
    <row r="109" spans="1:256">
      <c r="A109" s="34">
        <v>9</v>
      </c>
      <c r="B109" s="35">
        <v>31.4</v>
      </c>
      <c r="C109" s="36"/>
      <c r="F109" s="62" t="s">
        <v>30</v>
      </c>
      <c r="G109" s="91">
        <v>1.0832899926361272</v>
      </c>
      <c r="H109" s="91">
        <v>7.9007042782811468E-2</v>
      </c>
      <c r="I109"/>
      <c r="J109"/>
      <c r="K109"/>
      <c r="L109"/>
      <c r="M109"/>
      <c r="N109"/>
      <c r="O109" s="26"/>
      <c r="Q109" s="26"/>
      <c r="AZ109" t="s">
        <v>23</v>
      </c>
      <c r="BA109" s="91">
        <f>AVERAGE(Sheet1!$C$157:$C$180)</f>
        <v>1.7453806266506386E-3</v>
      </c>
      <c r="BB109" s="91">
        <f>_xll.PDENSITY($BA$109,Sheet1!$C$157:$C$180,$BA$105,$BA$106,0)</f>
        <v>4.52222974632733</v>
      </c>
      <c r="BD109">
        <f>SMALL(Sheet1!$C$157:$C$180,7)</f>
        <v>-5.2098092968175393E-2</v>
      </c>
      <c r="BE109">
        <f>1/(COUNT(Sheet1!$C$157:$C$180)-1)+$BE$108</f>
        <v>0.2608695652173913</v>
      </c>
    </row>
    <row r="110" spans="1:256">
      <c r="A110" s="34">
        <v>10</v>
      </c>
      <c r="B110" s="35">
        <v>34.200000000000003</v>
      </c>
      <c r="C110" s="36"/>
      <c r="F110" s="62" t="s">
        <v>70</v>
      </c>
      <c r="G110" s="91">
        <f>IF($G$109=0,0,$G$108/$G$109)</f>
        <v>27.796673016644736</v>
      </c>
      <c r="H110" s="91">
        <f>IF($H$109=0,0,$H$108/$H$109)</f>
        <v>4.2386274834445175</v>
      </c>
      <c r="I110"/>
      <c r="J110"/>
      <c r="K110"/>
      <c r="L110"/>
      <c r="M110"/>
      <c r="N110"/>
      <c r="O110" s="26"/>
      <c r="Q110" s="26"/>
      <c r="AZ110" t="s">
        <v>201</v>
      </c>
      <c r="BA110" s="91">
        <f>_xll.QUANTILE(Sheet1!$C$157:$C$180,1-(1-$BA$107)/2)</f>
        <v>0.12939067609472116</v>
      </c>
      <c r="BB110" s="91">
        <f>_xll.PDENSITY($BA$110,Sheet1!$C$157:$C$180,$BA$105,$BA$106,0)</f>
        <v>1.4903746512176546</v>
      </c>
      <c r="BD110">
        <f>SMALL(Sheet1!$C$157:$C$180,8)</f>
        <v>-4.7356536826368506E-2</v>
      </c>
      <c r="BE110">
        <f>1/(COUNT(Sheet1!$C$157:$C$180)-1)+$BE$109</f>
        <v>0.30434782608695654</v>
      </c>
    </row>
    <row r="111" spans="1:256">
      <c r="A111" s="34">
        <v>11</v>
      </c>
      <c r="B111" s="35">
        <v>33.5</v>
      </c>
      <c r="C111" s="36"/>
      <c r="F111" s="62" t="s">
        <v>71</v>
      </c>
      <c r="G111" s="91">
        <f>TDIST(ABS($G$110),INDEX(_xll.LROBS($B$101:$B$123,$A$101:$A$123,$G$116:$H$116,),2,2),2)</f>
        <v>4.7658721934754008E-18</v>
      </c>
      <c r="H111" s="91">
        <f>TDIST(ABS($H$110),INDEX(_xll.LROBS($B$101:$B$123,$A$101:$A$123,$G$116:$H$116,),2,2),2)</f>
        <v>3.6722390311448127E-4</v>
      </c>
      <c r="I111"/>
      <c r="J111"/>
      <c r="K111"/>
      <c r="L111"/>
      <c r="M111"/>
      <c r="N111"/>
      <c r="O111" s="26"/>
      <c r="P111" s="10"/>
      <c r="Q111" s="26"/>
      <c r="AZ111">
        <v>1</v>
      </c>
      <c r="BA111" s="91">
        <f>$BA$103</f>
        <v>-0.14113847119937167</v>
      </c>
      <c r="BB111" s="91">
        <f>_xll.PDENSITY($BA$111,Sheet1!$C$157:$C$180,$BA$105,$BA$106,0)</f>
        <v>1.1670925510895873</v>
      </c>
      <c r="BD111">
        <f>SMALL(Sheet1!$C$157:$C$180,9)</f>
        <v>-3.9236087154508478E-2</v>
      </c>
      <c r="BE111">
        <f>1/(COUNT(Sheet1!$C$157:$C$180)-1)+$BE$110</f>
        <v>0.34782608695652173</v>
      </c>
    </row>
    <row r="112" spans="1:256">
      <c r="A112" s="34">
        <v>12</v>
      </c>
      <c r="B112" s="35">
        <v>34.5</v>
      </c>
      <c r="C112" s="36"/>
      <c r="F112" s="62" t="s">
        <v>72</v>
      </c>
      <c r="G112" s="91"/>
      <c r="H112" s="91">
        <f>$H$108*AVERAGE($A$101:$A$123)/AVERAGE($B$101:$B$123)</f>
        <v>0.11774174869716283</v>
      </c>
      <c r="I112"/>
      <c r="J112"/>
      <c r="K112"/>
      <c r="L112"/>
      <c r="M112"/>
      <c r="N112"/>
      <c r="O112" s="26"/>
      <c r="Q112" s="26"/>
      <c r="R112" s="14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>
        <v>2</v>
      </c>
      <c r="BA112" s="91">
        <f t="shared" ref="BA112:BA143" si="8">1/99*($BA$104-$BA$103)+BA111</f>
        <v>-0.1383777040313558</v>
      </c>
      <c r="BB112" s="91">
        <f>_xll.PDENSITY($BA$112,Sheet1!$C$157:$C$180,$BA$105,$BA$106,0)</f>
        <v>1.2394875292704282</v>
      </c>
      <c r="BC112" s="5"/>
      <c r="BD112">
        <f>SMALL(Sheet1!$C$157:$C$180,10)</f>
        <v>-8.7453327524563539E-3</v>
      </c>
      <c r="BE112">
        <f>1/(COUNT(Sheet1!$C$157:$C$180)-1)+$BE$111</f>
        <v>0.39130434782608692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>
      <c r="A113" s="34">
        <v>13</v>
      </c>
      <c r="B113" s="35">
        <v>35.5</v>
      </c>
      <c r="C113" s="36"/>
      <c r="F113" s="62" t="s">
        <v>145</v>
      </c>
      <c r="G113" s="91"/>
      <c r="H113" s="91" t="s">
        <v>184</v>
      </c>
      <c r="I113"/>
      <c r="J113"/>
      <c r="K113"/>
      <c r="L113"/>
      <c r="M113"/>
      <c r="N113"/>
      <c r="O113" s="26"/>
      <c r="Q113" s="26"/>
      <c r="AZ113">
        <v>3</v>
      </c>
      <c r="BA113" s="91">
        <f t="shared" si="8"/>
        <v>-0.13561693686333992</v>
      </c>
      <c r="BB113" s="91">
        <f>_xll.PDENSITY($BA$113,Sheet1!$C$157:$C$180,$BA$105,$BA$106,0)</f>
        <v>1.3143079041419097</v>
      </c>
      <c r="BD113">
        <f>SMALL(Sheet1!$C$157:$C$180,11)</f>
        <v>4.7252802493329442E-3</v>
      </c>
      <c r="BE113">
        <f>1/(COUNT(Sheet1!$C$157:$C$180)-1)+$BE$112</f>
        <v>0.43478260869565211</v>
      </c>
    </row>
    <row r="114" spans="1:256">
      <c r="A114" s="34">
        <v>14</v>
      </c>
      <c r="B114" s="35">
        <v>39.4</v>
      </c>
      <c r="C114" s="36"/>
      <c r="F114" s="62" t="s">
        <v>146</v>
      </c>
      <c r="G114" s="91"/>
      <c r="H114" s="91" t="s">
        <v>184</v>
      </c>
      <c r="I114"/>
      <c r="J114"/>
      <c r="K114"/>
      <c r="L114"/>
      <c r="M114"/>
      <c r="N114"/>
      <c r="O114" s="26"/>
      <c r="Q114" s="26"/>
      <c r="AZ114">
        <v>4</v>
      </c>
      <c r="BA114" s="91">
        <f t="shared" si="8"/>
        <v>-0.13285616969532404</v>
      </c>
      <c r="BB114" s="91">
        <f>_xll.PDENSITY($BA$114,Sheet1!$C$157:$C$180,$BA$105,$BA$106,0)</f>
        <v>1.3915425708741596</v>
      </c>
      <c r="BD114">
        <f>SMALL(Sheet1!$C$157:$C$180,12)</f>
        <v>1.0828025477705963E-2</v>
      </c>
      <c r="BE114">
        <f>1/(COUNT(Sheet1!$C$157:$C$180)-1)+$BE$113</f>
        <v>0.47826086956521729</v>
      </c>
    </row>
    <row r="115" spans="1:256" ht="12.75" thickBot="1">
      <c r="A115" s="34">
        <v>15</v>
      </c>
      <c r="B115" s="35">
        <v>38.799999999999997</v>
      </c>
      <c r="C115" s="36"/>
      <c r="F115" s="55" t="s">
        <v>147</v>
      </c>
      <c r="G115" s="19"/>
      <c r="H115" s="19" t="s">
        <v>184</v>
      </c>
      <c r="I115"/>
      <c r="J115"/>
      <c r="K115"/>
      <c r="L115"/>
      <c r="M115"/>
      <c r="N115"/>
      <c r="O115" s="26"/>
      <c r="Q115" s="26"/>
      <c r="AZ115">
        <v>5</v>
      </c>
      <c r="BA115" s="91">
        <f t="shared" si="8"/>
        <v>-0.13009540252730817</v>
      </c>
      <c r="BB115" s="91">
        <f>_xll.PDENSITY($BA$115,Sheet1!$C$157:$C$180,$BA$105,$BA$106,0)</f>
        <v>1.47116479766909</v>
      </c>
      <c r="BD115">
        <f>SMALL(Sheet1!$C$157:$C$180,13)</f>
        <v>1.8171432651457303E-2</v>
      </c>
      <c r="BE115">
        <f>1/(COUNT(Sheet1!$C$157:$C$180)-1)+$BE$114</f>
        <v>0.52173913043478248</v>
      </c>
    </row>
    <row r="116" spans="1:256" ht="12.75" thickBot="1">
      <c r="A116" s="34">
        <v>16</v>
      </c>
      <c r="B116" s="35">
        <v>37.5</v>
      </c>
      <c r="C116" s="36"/>
      <c r="F116" s="119" t="s">
        <v>148</v>
      </c>
      <c r="G116" s="120"/>
      <c r="H116" s="120"/>
      <c r="I116"/>
      <c r="J116"/>
      <c r="K116"/>
      <c r="L116"/>
      <c r="M116"/>
      <c r="N116"/>
      <c r="Q116" s="26"/>
      <c r="AZ116">
        <v>6</v>
      </c>
      <c r="BA116" s="91">
        <f t="shared" si="8"/>
        <v>-0.12733463535929229</v>
      </c>
      <c r="BB116" s="91">
        <f>_xll.PDENSITY($BA$116,Sheet1!$C$157:$C$180,$BA$105,$BA$106,0)</f>
        <v>1.5531276321624927</v>
      </c>
      <c r="BD116">
        <f>SMALL(Sheet1!$C$157:$C$180,14)</f>
        <v>2.2095433846589033E-2</v>
      </c>
      <c r="BE116">
        <f>1/(COUNT(Sheet1!$C$157:$C$180)-1)+$BE$115</f>
        <v>0.56521739130434767</v>
      </c>
    </row>
    <row r="117" spans="1:256">
      <c r="A117" s="34">
        <v>17</v>
      </c>
      <c r="B117" s="35">
        <v>34.4</v>
      </c>
      <c r="C117" s="36"/>
      <c r="F117" s="62" t="s">
        <v>138</v>
      </c>
      <c r="G117">
        <f t="array" ref="G117">STDEVP(IF(ISNUMBER($H$119:$H$141),$H$119:$H$141,""))</f>
        <v>2.4016061783271923</v>
      </c>
      <c r="H117" s="62" t="s">
        <v>139</v>
      </c>
      <c r="I117">
        <f>_xll.MAPE($H$119:$H$141,$B$101:$B$123)</f>
        <v>5.9868550558569629</v>
      </c>
      <c r="J117" s="62"/>
      <c r="K117" s="62" t="s">
        <v>149</v>
      </c>
      <c r="L117" s="62" t="s">
        <v>150</v>
      </c>
      <c r="M117" s="62" t="s">
        <v>149</v>
      </c>
      <c r="N117" s="62" t="s">
        <v>150</v>
      </c>
      <c r="Q117" s="26"/>
      <c r="AZ117">
        <v>7</v>
      </c>
      <c r="BA117" s="91">
        <f t="shared" si="8"/>
        <v>-0.12457386819127642</v>
      </c>
      <c r="BB117" s="91">
        <f>_xll.PDENSITY($BA$117,Sheet1!$C$157:$C$180,$BA$105,$BA$106,0)</f>
        <v>1.6373591940530912</v>
      </c>
      <c r="BD117">
        <f>SMALL(Sheet1!$C$157:$C$180,15)</f>
        <v>3.002101557101752E-2</v>
      </c>
      <c r="BE117">
        <f>1/(COUNT(Sheet1!$C$157:$C$180)-1)+$BE$116</f>
        <v>0.60869565217391286</v>
      </c>
    </row>
    <row r="118" spans="1:256">
      <c r="A118" s="34">
        <v>18</v>
      </c>
      <c r="B118" s="35">
        <v>37.700000000000003</v>
      </c>
      <c r="C118" s="36"/>
      <c r="F118" s="62" t="str">
        <f>"Actual "&amp;Sheet1!$B$100</f>
        <v>Actual X</v>
      </c>
      <c r="G118" s="62" t="str">
        <f>"Predicted "&amp;Sheet1!$B$100</f>
        <v>Predicted X</v>
      </c>
      <c r="H118" s="62" t="s">
        <v>46</v>
      </c>
      <c r="I118" s="62" t="str">
        <f>"SE Mean Predicted "&amp;$B$100</f>
        <v>SE Mean Predicted X</v>
      </c>
      <c r="J118" s="62" t="str">
        <f>"SE Predicted "&amp;$B$100</f>
        <v>SE Predicted X</v>
      </c>
      <c r="K118" s="62" t="str">
        <f>TEXT($F$107,"0%")&amp;" Conf. Interval"</f>
        <v>95% Conf. Interval</v>
      </c>
      <c r="L118" s="62" t="str">
        <f>TEXT($F$107,"0%")&amp;" Conf. Interval"</f>
        <v>95% Conf. Interval</v>
      </c>
      <c r="M118" s="62" t="str">
        <f>TEXT($F$107,"0%")&amp;" Predict. Interval"</f>
        <v>95% Predict. Interval</v>
      </c>
      <c r="N118" s="62" t="str">
        <f>TEXT($F$107,"0%")&amp;" Predict. Interval"</f>
        <v>95% Predict. Interval</v>
      </c>
      <c r="Q118" s="26"/>
      <c r="AZ118">
        <v>8</v>
      </c>
      <c r="BA118" s="91">
        <f t="shared" si="8"/>
        <v>-0.12181310102326054</v>
      </c>
      <c r="BB118" s="91">
        <f>_xll.PDENSITY($BA$118,Sheet1!$C$157:$C$180,$BA$105,$BA$106,0)</f>
        <v>1.72375806462104</v>
      </c>
      <c r="BD118">
        <f>SMALL(Sheet1!$C$157:$C$180,16)</f>
        <v>4.1938543792576999E-2</v>
      </c>
      <c r="BE118">
        <f>1/(COUNT(Sheet1!$C$157:$C$180)-1)+$BE$117</f>
        <v>0.65217391304347805</v>
      </c>
    </row>
    <row r="119" spans="1:256">
      <c r="A119" s="34">
        <v>19</v>
      </c>
      <c r="B119" s="35">
        <v>34.1</v>
      </c>
      <c r="C119" s="36"/>
      <c r="F119" s="43">
        <f t="array" ref="F119:F141">IF($B$101:$B$123="",NA(),$B$101:$B$123)</f>
        <v>31</v>
      </c>
      <c r="G119" s="92">
        <f t="array" ref="G119:H146">IF(_xll.LRCHK($B$101:$B$123,$A$101:$A$128,1,$G$116:$H$116)="",NA(),_xll.LRRESID($B$101:$B$123,$A$101:$A$128,1,$G$116:$H$116))</f>
        <v>30.446739130434814</v>
      </c>
      <c r="H119" s="110">
        <v>0.55326086956518594</v>
      </c>
      <c r="I119" s="109">
        <f t="array" ref="I119:I146">$G$102*(_xll.LRDHATMAT($B$101:$B$123,$A$101:$A$128,$G$116:$H$116,))^0.5</f>
        <v>1.0148638398977596</v>
      </c>
      <c r="J119" s="92">
        <f t="array" ref="J119:J146">($I$119:$I$146^2+$G$102^2)^0.5</f>
        <v>2.7105288739521751</v>
      </c>
      <c r="K119" s="92">
        <f t="array" ref="K119:K146">IF($G$119:$G$146="",NA(),$G$119:$G$146-TINV((1-$F$107),COUNT($H$119:$H$141)-COUNTIF($G$116:$H$116,"="))*($I$119:$I$146))</f>
        <v>28.336214246228529</v>
      </c>
      <c r="L119" s="92">
        <f t="array" ref="L119:L146">IF($G$119:$G$146="",NA(),$G$119:$G$146+TINV((1-$F$107),COUNT($H$119:$H$141)-COUNTIF($G$116:$H$116,"="))*($I$119:$I$146))</f>
        <v>32.557264014641099</v>
      </c>
      <c r="M119" s="92">
        <f t="array" ref="M119:M146">IF($G$119:$G$146="",NA(),$G$119:$G$146-TINV((1-$F$107),COUNT($H$119:$H$141)-COUNTIF($G$116:$H$116,"="))*$G$102*(1+($I$119:$I$146/$G$102)^2)^0.5)</f>
        <v>24.809885778351621</v>
      </c>
      <c r="N119" s="110">
        <f t="array" ref="N119:N146">IF($G$119:$G$146="",NA(),$G$119:$G$146+TINV((1-$F$107),COUNT($H$119:$H$141)-COUNTIF($G$116:$H$116,"="))*$G$102*(1+($I$119:$I$146/$G$102)^2)^0.5)</f>
        <v>36.083592482518007</v>
      </c>
      <c r="Q119" s="26"/>
      <c r="AZ119">
        <v>9</v>
      </c>
      <c r="BA119" s="91">
        <f t="shared" si="8"/>
        <v>-0.11905233385524466</v>
      </c>
      <c r="BB119" s="91">
        <f>_xll.PDENSITY($BA$119,Sheet1!$C$157:$C$180,$BA$105,$BA$106,0)</f>
        <v>1.8121890051279241</v>
      </c>
      <c r="BD119">
        <f>SMALL(Sheet1!$C$157:$C$180,17)</f>
        <v>4.1942737646956253E-2</v>
      </c>
      <c r="BE119">
        <f>1/(COUNT(Sheet1!$C$157:$C$180)-1)+$BE$118</f>
        <v>0.69565217391304324</v>
      </c>
    </row>
    <row r="120" spans="1:256">
      <c r="A120" s="34">
        <v>20</v>
      </c>
      <c r="B120" s="35">
        <v>32.700000000000003</v>
      </c>
      <c r="C120" s="36"/>
      <c r="F120" s="43">
        <v>33.9</v>
      </c>
      <c r="G120" s="43">
        <v>30.781620553359716</v>
      </c>
      <c r="H120" s="112">
        <v>3.118379446640283</v>
      </c>
      <c r="I120" s="111">
        <v>0.94808451339373778</v>
      </c>
      <c r="J120" s="43">
        <v>2.6862394546155897</v>
      </c>
      <c r="K120" s="43">
        <v>28.809970880582259</v>
      </c>
      <c r="L120" s="43">
        <v>32.753270226137168</v>
      </c>
      <c r="M120" s="43">
        <v>25.195279813823589</v>
      </c>
      <c r="N120" s="112">
        <v>36.367961292895842</v>
      </c>
      <c r="O120" s="26"/>
      <c r="Q120" s="26"/>
      <c r="AZ120">
        <v>10</v>
      </c>
      <c r="BA120" s="91">
        <f t="shared" si="8"/>
        <v>-0.11629156668722879</v>
      </c>
      <c r="BB120" s="91">
        <f>_xll.PDENSITY($BA$120,Sheet1!$C$157:$C$180,$BA$105,$BA$106,0)</f>
        <v>1.9024792486424043</v>
      </c>
      <c r="BD120">
        <f>SMALL(Sheet1!$C$157:$C$180,18)</f>
        <v>4.3173453930998036E-2</v>
      </c>
      <c r="BE120">
        <f>1/(COUNT(Sheet1!$C$157:$C$180)-1)+$BE$119</f>
        <v>0.73913043478260843</v>
      </c>
    </row>
    <row r="121" spans="1:256">
      <c r="A121" s="34">
        <v>21</v>
      </c>
      <c r="B121" s="35">
        <v>39.5</v>
      </c>
      <c r="C121" s="36"/>
      <c r="F121" s="43">
        <v>32.700000000000003</v>
      </c>
      <c r="G121" s="43">
        <v>31.116501976284617</v>
      </c>
      <c r="H121" s="112">
        <v>1.5834980237153857</v>
      </c>
      <c r="I121" s="111">
        <v>0.88332559181800308</v>
      </c>
      <c r="J121" s="43">
        <v>2.6640724960400473</v>
      </c>
      <c r="K121" s="43">
        <v>29.279525852890615</v>
      </c>
      <c r="L121" s="43">
        <v>32.95347809967862</v>
      </c>
      <c r="M121" s="43">
        <v>25.576259950528232</v>
      </c>
      <c r="N121" s="112">
        <v>36.656744002041002</v>
      </c>
      <c r="O121" s="26"/>
      <c r="Q121" s="26"/>
      <c r="AZ121">
        <v>11</v>
      </c>
      <c r="BA121" s="91">
        <f t="shared" si="8"/>
        <v>-0.11353079951921291</v>
      </c>
      <c r="BB121" s="91">
        <f>_xll.PDENSITY($BA$121,Sheet1!$C$157:$C$180,$BA$105,$BA$106,0)</f>
        <v>1.9944156121526793</v>
      </c>
      <c r="BD121">
        <f>SMALL(Sheet1!$C$157:$C$180,19)</f>
        <v>5.0889332770188811E-2</v>
      </c>
      <c r="BE121">
        <f>1/(COUNT(Sheet1!$C$157:$C$180)-1)+$BE$120</f>
        <v>0.78260869565217361</v>
      </c>
    </row>
    <row r="122" spans="1:256">
      <c r="A122" s="34">
        <v>22</v>
      </c>
      <c r="B122" s="35">
        <v>34.299999999999997</v>
      </c>
      <c r="C122" s="36"/>
      <c r="F122" s="43">
        <v>31.6</v>
      </c>
      <c r="G122" s="43">
        <v>31.451383399209519</v>
      </c>
      <c r="H122" s="112">
        <v>0.14861660079048278</v>
      </c>
      <c r="I122" s="111">
        <v>0.82106527353358472</v>
      </c>
      <c r="J122" s="43">
        <v>2.6440813804418357</v>
      </c>
      <c r="K122" s="43">
        <v>29.743884695220967</v>
      </c>
      <c r="L122" s="43">
        <v>33.158882103198074</v>
      </c>
      <c r="M122" s="43">
        <v>25.952715174069894</v>
      </c>
      <c r="N122" s="112">
        <v>36.950051624349143</v>
      </c>
      <c r="O122" s="26"/>
      <c r="Q122" s="26"/>
      <c r="AZ122">
        <v>12</v>
      </c>
      <c r="BA122" s="91">
        <f t="shared" si="8"/>
        <v>-0.11077003235119703</v>
      </c>
      <c r="BB122" s="91">
        <f>_xll.PDENSITY($BA$122,Sheet1!$C$157:$C$180,$BA$105,$BA$106,0)</f>
        <v>2.0877426668290107</v>
      </c>
      <c r="BD122">
        <f>SMALL(Sheet1!$C$157:$C$180,20)</f>
        <v>5.7232641326512464E-2</v>
      </c>
      <c r="BE122">
        <f>1/(COUNT(Sheet1!$C$157:$C$180)-1)+$BE$121</f>
        <v>0.8260869565217388</v>
      </c>
    </row>
    <row r="123" spans="1:256">
      <c r="A123" s="34">
        <v>23</v>
      </c>
      <c r="B123" s="35">
        <v>39.4</v>
      </c>
      <c r="C123" s="36"/>
      <c r="F123" s="43">
        <v>27.3</v>
      </c>
      <c r="G123" s="43">
        <v>31.78626482213442</v>
      </c>
      <c r="H123" s="112">
        <v>-4.4862648221344195</v>
      </c>
      <c r="I123" s="111">
        <v>0.76191632825626288</v>
      </c>
      <c r="J123" s="43">
        <v>2.6263157948464477</v>
      </c>
      <c r="K123" s="43">
        <v>30.201773083193434</v>
      </c>
      <c r="L123" s="43">
        <v>33.370756561075403</v>
      </c>
      <c r="M123" s="43">
        <v>26.32454215462284</v>
      </c>
      <c r="N123" s="112">
        <v>37.247987489646</v>
      </c>
      <c r="O123" s="26"/>
      <c r="Q123" s="26"/>
      <c r="R123" s="14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>
        <v>13</v>
      </c>
      <c r="BA123" s="91">
        <f t="shared" si="8"/>
        <v>-0.10800926518318116</v>
      </c>
      <c r="BB123" s="91">
        <f>_xll.PDENSITY($BA$123,Sheet1!$C$157:$C$180,$BA$105,$BA$106,0)</f>
        <v>2.1821621833727702</v>
      </c>
      <c r="BC123" s="5"/>
      <c r="BD123">
        <f>SMALL(Sheet1!$C$157:$C$180,21)</f>
        <v>6.3418293646464327E-2</v>
      </c>
      <c r="BE123">
        <f>1/(COUNT(Sheet1!$C$157:$C$180)-1)+$BE$122</f>
        <v>0.86956521739130399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>
      <c r="A124" s="34">
        <v>24</v>
      </c>
      <c r="C124" s="38"/>
      <c r="F124" s="43">
        <v>30.6</v>
      </c>
      <c r="G124" s="43">
        <v>32.121146245059322</v>
      </c>
      <c r="H124" s="112">
        <v>-1.5211462450593203</v>
      </c>
      <c r="I124" s="111">
        <v>0.70666047345440253</v>
      </c>
      <c r="J124" s="43">
        <v>2.6108211711527125</v>
      </c>
      <c r="K124" s="43">
        <v>30.651565346344118</v>
      </c>
      <c r="L124" s="43">
        <v>33.590727143774522</v>
      </c>
      <c r="M124" s="43">
        <v>26.691646411381623</v>
      </c>
      <c r="N124" s="112">
        <v>37.550646078737017</v>
      </c>
      <c r="O124" s="26"/>
      <c r="Q124" s="26"/>
      <c r="R124" s="14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>
        <v>14</v>
      </c>
      <c r="BA124" s="91">
        <f t="shared" si="8"/>
        <v>-0.10524849801516528</v>
      </c>
      <c r="BB124" s="91">
        <f>_xll.PDENSITY($BA$124,Sheet1!$C$157:$C$180,$BA$105,$BA$106,0)</f>
        <v>2.2773340364554162</v>
      </c>
      <c r="BC124" s="5"/>
      <c r="BD124">
        <f>SMALL(Sheet1!$C$157:$C$180,22)</f>
        <v>0.10130653911591805</v>
      </c>
      <c r="BE124">
        <f>1/(COUNT(Sheet1!$C$157:$C$180)-1)+$BE$123</f>
        <v>0.91304347826086918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>
      <c r="A125" s="34">
        <v>25</v>
      </c>
      <c r="C125"/>
      <c r="F125" s="43">
        <v>30.3</v>
      </c>
      <c r="G125" s="43">
        <v>32.456027667984223</v>
      </c>
      <c r="H125" s="112">
        <v>-2.1560276679842225</v>
      </c>
      <c r="I125" s="111">
        <v>0.6562817869182912</v>
      </c>
      <c r="J125" s="43">
        <v>2.5976381477867712</v>
      </c>
      <c r="K125" s="43">
        <v>31.091214982883571</v>
      </c>
      <c r="L125" s="43">
        <v>33.820840353084876</v>
      </c>
      <c r="M125" s="43">
        <v>27.053943432112924</v>
      </c>
      <c r="N125" s="112">
        <v>37.858111903855523</v>
      </c>
      <c r="O125" s="26"/>
      <c r="Q125" s="26"/>
      <c r="R125" s="14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>
        <v>15</v>
      </c>
      <c r="BA125" s="91">
        <f t="shared" si="8"/>
        <v>-0.10248773084714941</v>
      </c>
      <c r="BB125" s="91">
        <f>_xll.PDENSITY($BA$125,Sheet1!$C$157:$C$180,$BA$105,$BA$106,0)</f>
        <v>2.3728787078184639</v>
      </c>
      <c r="BC125" s="5"/>
      <c r="BD125">
        <f>SMALL(Sheet1!$C$157:$C$180,23)</f>
        <v>0.1043094550394147</v>
      </c>
      <c r="BE125">
        <f>1/(COUNT(Sheet1!$C$157:$C$180)-1)+$BE$124</f>
        <v>0.95652173913043437</v>
      </c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>
      <c r="A126" s="34">
        <v>26</v>
      </c>
      <c r="B126"/>
      <c r="C126"/>
      <c r="F126" s="43">
        <v>30.7</v>
      </c>
      <c r="G126" s="43">
        <v>32.790909090909125</v>
      </c>
      <c r="H126" s="112">
        <v>-2.0909090909091255</v>
      </c>
      <c r="I126" s="111">
        <v>0.61198592186185152</v>
      </c>
      <c r="J126" s="43">
        <v>2.5868020665589242</v>
      </c>
      <c r="K126" s="43">
        <v>31.518214699705393</v>
      </c>
      <c r="L126" s="43">
        <v>34.063603482112853</v>
      </c>
      <c r="M126" s="43">
        <v>27.411359719499007</v>
      </c>
      <c r="N126" s="112">
        <v>38.170458462319246</v>
      </c>
      <c r="O126" s="26"/>
      <c r="Q126" s="26"/>
      <c r="R126" s="14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>
        <v>16</v>
      </c>
      <c r="BA126" s="91">
        <f t="shared" si="8"/>
        <v>-9.9726963679133529E-2</v>
      </c>
      <c r="BB126" s="91">
        <f>_xll.PDENSITY($BA$126,Sheet1!$C$157:$C$180,$BA$105,$BA$106,0)</f>
        <v>2.4683814727859561</v>
      </c>
      <c r="BC126" s="5"/>
      <c r="BD126">
        <f>SMALL(Sheet1!$C$157:$C$180,24)</f>
        <v>0.13217747843419969</v>
      </c>
      <c r="BE126">
        <f>1/(COUNT(Sheet1!$C$157:$C$180)-1)+$BE$125</f>
        <v>0.99999999999999956</v>
      </c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>
      <c r="A127" s="34">
        <v>27</v>
      </c>
      <c r="B127"/>
      <c r="C127"/>
      <c r="F127" s="43">
        <v>31.4</v>
      </c>
      <c r="G127" s="43">
        <v>33.125790513834026</v>
      </c>
      <c r="H127" s="112">
        <v>-1.7257905138340277</v>
      </c>
      <c r="I127" s="111">
        <v>0.57517995348595485</v>
      </c>
      <c r="J127" s="43">
        <v>2.5783425183416822</v>
      </c>
      <c r="K127" s="43">
        <v>31.929638323752037</v>
      </c>
      <c r="L127" s="43">
        <v>34.321942703916015</v>
      </c>
      <c r="M127" s="43">
        <v>27.763833735951952</v>
      </c>
      <c r="N127" s="112">
        <v>38.487747291716097</v>
      </c>
      <c r="O127" s="26"/>
      <c r="Q127" s="26"/>
      <c r="R127" s="14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>
        <v>17</v>
      </c>
      <c r="BA127" s="91">
        <f t="shared" si="8"/>
        <v>-9.6966196511117653E-2</v>
      </c>
      <c r="BB127" s="91">
        <f>_xll.PDENSITY($BA$127,Sheet1!$C$157:$C$180,$BA$105,$BA$106,0)</f>
        <v>2.5633982914413713</v>
      </c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>
      <c r="A128" s="34">
        <v>28</v>
      </c>
      <c r="B128"/>
      <c r="C128"/>
      <c r="F128" s="43">
        <v>34.200000000000003</v>
      </c>
      <c r="G128" s="43">
        <v>33.460671936758928</v>
      </c>
      <c r="H128" s="112">
        <v>0.73932806324107503</v>
      </c>
      <c r="I128" s="111">
        <v>0.54737684902238981</v>
      </c>
      <c r="J128" s="43">
        <v>2.5722829505795239</v>
      </c>
      <c r="K128" s="43">
        <v>32.322339467433224</v>
      </c>
      <c r="L128" s="43">
        <v>34.599004406084632</v>
      </c>
      <c r="M128" s="43">
        <v>28.111316719841781</v>
      </c>
      <c r="N128" s="112">
        <v>38.810027153676074</v>
      </c>
      <c r="O128" s="26"/>
      <c r="Q128" s="26"/>
      <c r="R128" s="14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>
        <v>18</v>
      </c>
      <c r="BA128" s="91">
        <f t="shared" si="8"/>
        <v>-9.4205429343101776E-2</v>
      </c>
      <c r="BB128" s="91">
        <f>_xll.PDENSITY($BA$128,Sheet1!$C$157:$C$180,$BA$105,$BA$106,0)</f>
        <v>2.6574633558012195</v>
      </c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>
      <c r="A129"/>
      <c r="B129"/>
      <c r="C129"/>
      <c r="F129" s="43">
        <v>33.5</v>
      </c>
      <c r="G129" s="43">
        <v>33.795553359683829</v>
      </c>
      <c r="H129" s="112">
        <v>-0.29555335968382934</v>
      </c>
      <c r="I129" s="111">
        <v>0.52999535509080198</v>
      </c>
      <c r="J129" s="43">
        <v>2.5686403483972309</v>
      </c>
      <c r="K129" s="43">
        <v>32.693367685647431</v>
      </c>
      <c r="L129" s="43">
        <v>34.897739033720228</v>
      </c>
      <c r="M129" s="43">
        <v>28.453773348667966</v>
      </c>
      <c r="N129" s="112">
        <v>39.137333370699693</v>
      </c>
      <c r="O129" s="26"/>
      <c r="Q129" s="26"/>
      <c r="R129" s="14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>
        <v>19</v>
      </c>
      <c r="BA129" s="91">
        <f t="shared" si="8"/>
        <v>-9.14446621750859E-2</v>
      </c>
      <c r="BB129" s="91">
        <f>_xll.PDENSITY($BA$129,Sheet1!$C$157:$C$180,$BA$105,$BA$106,0)</f>
        <v>2.7500981707157481</v>
      </c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>
      <c r="A130"/>
      <c r="B130"/>
      <c r="C130"/>
      <c r="F130" s="43">
        <v>34.5</v>
      </c>
      <c r="G130" s="43">
        <v>34.130434782608731</v>
      </c>
      <c r="H130" s="112">
        <v>0.36956521739126913</v>
      </c>
      <c r="I130" s="111">
        <v>0.52407343341228452</v>
      </c>
      <c r="J130" s="43">
        <v>2.5674249992171072</v>
      </c>
      <c r="K130" s="43">
        <v>33.040564418837093</v>
      </c>
      <c r="L130" s="43">
        <v>35.220305146380369</v>
      </c>
      <c r="M130" s="43">
        <v>28.79118222856474</v>
      </c>
      <c r="N130" s="112">
        <v>39.469687336652726</v>
      </c>
      <c r="O130" s="26"/>
      <c r="Q130" s="26"/>
      <c r="R130" s="14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>
        <v>20</v>
      </c>
      <c r="BA130" s="91">
        <f t="shared" si="8"/>
        <v>-8.8683895007070024E-2</v>
      </c>
      <c r="BB130" s="91">
        <f>_xll.PDENSITY($BA$130,Sheet1!$C$157:$C$180,$BA$105,$BA$106,0)</f>
        <v>2.8408219720536221</v>
      </c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>
      <c r="A131"/>
      <c r="B131"/>
      <c r="C131"/>
      <c r="F131" s="43">
        <v>35.5</v>
      </c>
      <c r="G131" s="43">
        <v>34.465316205533632</v>
      </c>
      <c r="H131" s="112">
        <v>1.0346837944663676</v>
      </c>
      <c r="I131" s="111">
        <v>0.52999535509080187</v>
      </c>
      <c r="J131" s="43">
        <v>2.5686403483972309</v>
      </c>
      <c r="K131" s="43">
        <v>33.363130531497234</v>
      </c>
      <c r="L131" s="43">
        <v>35.567501879570031</v>
      </c>
      <c r="M131" s="43">
        <v>29.123536194517769</v>
      </c>
      <c r="N131" s="112">
        <v>39.807096216549496</v>
      </c>
      <c r="O131" s="26"/>
      <c r="Q131" s="26"/>
      <c r="R131" s="14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>
        <v>21</v>
      </c>
      <c r="BA131" s="91">
        <f t="shared" si="8"/>
        <v>-8.5923127839054148E-2</v>
      </c>
      <c r="BB131" s="91">
        <f>_xll.PDENSITY($BA$131,Sheet1!$C$157:$C$180,$BA$105,$BA$106,0)</f>
        <v>2.9291632143328079</v>
      </c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>
      <c r="C132"/>
      <c r="F132" s="43">
        <v>39.4</v>
      </c>
      <c r="G132" s="43">
        <v>34.800197628458534</v>
      </c>
      <c r="H132" s="112">
        <v>4.5998023715414647</v>
      </c>
      <c r="I132" s="111">
        <v>0.54737684902239003</v>
      </c>
      <c r="J132" s="43">
        <v>2.5722829505795239</v>
      </c>
      <c r="K132" s="43">
        <v>33.66186515913283</v>
      </c>
      <c r="L132" s="43">
        <v>35.938530097784238</v>
      </c>
      <c r="M132" s="43">
        <v>29.450842411541387</v>
      </c>
      <c r="N132" s="112">
        <v>40.14955284537568</v>
      </c>
      <c r="O132" s="26"/>
      <c r="Q132" s="26"/>
      <c r="R132" s="14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>
        <v>22</v>
      </c>
      <c r="BA132" s="91">
        <f t="shared" si="8"/>
        <v>-8.3162360671038271E-2</v>
      </c>
      <c r="BB132" s="91">
        <f>_xll.PDENSITY($BA$132,Sheet1!$C$157:$C$180,$BA$105,$BA$106,0)</f>
        <v>3.0146717947813482</v>
      </c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>
      <c r="A133"/>
      <c r="B133"/>
      <c r="C133"/>
      <c r="F133" s="43">
        <v>38.799999999999997</v>
      </c>
      <c r="G133" s="43">
        <v>35.135079051383435</v>
      </c>
      <c r="H133" s="112">
        <v>3.6649209486165617</v>
      </c>
      <c r="I133" s="111">
        <v>0.57517995348595485</v>
      </c>
      <c r="J133" s="43">
        <v>2.5783425183416822</v>
      </c>
      <c r="K133" s="43">
        <v>33.938926861301447</v>
      </c>
      <c r="L133" s="43">
        <v>36.331231241465424</v>
      </c>
      <c r="M133" s="43">
        <v>29.773122273501361</v>
      </c>
      <c r="N133" s="112">
        <v>40.497035829265506</v>
      </c>
      <c r="O133" s="26"/>
      <c r="Q133" s="26"/>
      <c r="R133" s="14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>
        <v>23</v>
      </c>
      <c r="BA133" s="91">
        <f t="shared" si="8"/>
        <v>-8.0401593503022395E-2</v>
      </c>
      <c r="BB133" s="91">
        <f>_xll.PDENSITY($BA$133,Sheet1!$C$157:$C$180,$BA$105,$BA$106,0)</f>
        <v>3.0969316252055394</v>
      </c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>
      <c r="A134" s="62" t="s">
        <v>192</v>
      </c>
      <c r="B134"/>
      <c r="C134"/>
      <c r="F134" s="43">
        <v>37.5</v>
      </c>
      <c r="G134" s="43">
        <v>35.469960474308337</v>
      </c>
      <c r="H134" s="112">
        <v>2.030039525691663</v>
      </c>
      <c r="I134" s="111">
        <v>0.61198592186185152</v>
      </c>
      <c r="J134" s="43">
        <v>2.5868020665589242</v>
      </c>
      <c r="K134" s="43">
        <v>34.197266083104608</v>
      </c>
      <c r="L134" s="43">
        <v>36.742654865512065</v>
      </c>
      <c r="M134" s="43">
        <v>30.090411102898219</v>
      </c>
      <c r="N134" s="112">
        <v>40.849509845718458</v>
      </c>
      <c r="O134" s="26"/>
      <c r="Q134" s="26"/>
      <c r="R134" s="14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>
        <v>24</v>
      </c>
      <c r="BA134" s="91">
        <f t="shared" si="8"/>
        <v>-7.7640826335006519E-2</v>
      </c>
      <c r="BB134" s="91">
        <f>_xll.PDENSITY($BA$134,Sheet1!$C$157:$C$180,$BA$105,$BA$106,0)</f>
        <v>3.1755731201114528</v>
      </c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>
      <c r="A135" s="34" t="s">
        <v>23</v>
      </c>
      <c r="B135" s="38">
        <f>AVERAGE(B101:B123)</f>
        <v>34.130434782608695</v>
      </c>
      <c r="C135"/>
      <c r="F135" s="43">
        <v>34.4</v>
      </c>
      <c r="G135" s="43">
        <v>35.804841897233239</v>
      </c>
      <c r="H135" s="112">
        <v>-1.4048418972332399</v>
      </c>
      <c r="I135" s="111">
        <v>0.65628178691829131</v>
      </c>
      <c r="J135" s="43">
        <v>2.5976381477867712</v>
      </c>
      <c r="K135" s="43">
        <v>34.440029212132586</v>
      </c>
      <c r="L135" s="43">
        <v>37.169654582333891</v>
      </c>
      <c r="M135" s="43">
        <v>30.402757661361939</v>
      </c>
      <c r="N135" s="112">
        <v>41.206926133104538</v>
      </c>
      <c r="O135" s="26"/>
      <c r="Q135" s="26"/>
      <c r="R135" s="14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>
        <v>25</v>
      </c>
      <c r="BA135" s="91">
        <f t="shared" si="8"/>
        <v>-7.4880059166990642E-2</v>
      </c>
      <c r="BB135" s="91">
        <f>_xll.PDENSITY($BA$135,Sheet1!$C$157:$C$180,$BA$105,$BA$106,0)</f>
        <v>3.250285141947824</v>
      </c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>
      <c r="A136" t="s">
        <v>185</v>
      </c>
      <c r="B136">
        <f>G117</f>
        <v>2.4016061783271923</v>
      </c>
      <c r="C136"/>
      <c r="F136" s="43">
        <v>37.700000000000003</v>
      </c>
      <c r="G136" s="43">
        <v>36.13972332015814</v>
      </c>
      <c r="H136" s="112">
        <v>1.5602766798418628</v>
      </c>
      <c r="I136" s="111">
        <v>0.7066604734544023</v>
      </c>
      <c r="J136" s="43">
        <v>2.6108211711527125</v>
      </c>
      <c r="K136" s="43">
        <v>34.670142421442939</v>
      </c>
      <c r="L136" s="43">
        <v>37.609304218873341</v>
      </c>
      <c r="M136" s="43">
        <v>30.710223486480441</v>
      </c>
      <c r="N136" s="112">
        <v>41.569223153835836</v>
      </c>
      <c r="O136" s="26"/>
      <c r="Q136" s="26"/>
      <c r="R136" s="14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>
        <v>26</v>
      </c>
      <c r="BA136" s="91">
        <f t="shared" si="8"/>
        <v>-7.2119291998974766E-2</v>
      </c>
      <c r="BB136" s="91">
        <f>_xll.PDENSITY($BA$136,Sheet1!$C$157:$C$180,$BA$105,$BA$106,0)</f>
        <v>3.3208259342149908</v>
      </c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>
      <c r="A137" t="s">
        <v>186</v>
      </c>
      <c r="B137">
        <f ca="1">_xll.NORM(B135,B136)</f>
        <v>30.318174750671862</v>
      </c>
      <c r="C137"/>
      <c r="F137" s="43">
        <v>34.1</v>
      </c>
      <c r="G137" s="43">
        <v>36.474604743083042</v>
      </c>
      <c r="H137" s="112">
        <v>-2.3746047430830401</v>
      </c>
      <c r="I137" s="111">
        <v>0.76191632825626288</v>
      </c>
      <c r="J137" s="43">
        <v>2.6263157948464477</v>
      </c>
      <c r="K137" s="43">
        <v>34.890113004142059</v>
      </c>
      <c r="L137" s="43">
        <v>38.059096482024025</v>
      </c>
      <c r="M137" s="43">
        <v>31.012882075571461</v>
      </c>
      <c r="N137" s="112">
        <v>41.936327410594622</v>
      </c>
      <c r="O137" s="26"/>
      <c r="Q137" s="26"/>
      <c r="R137" s="1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>
        <v>27</v>
      </c>
      <c r="BA137" s="91">
        <f t="shared" si="8"/>
        <v>-6.935852483095889E-2</v>
      </c>
      <c r="BB137" s="91">
        <f>_xll.PDENSITY($BA$137,Sheet1!$C$157:$C$180,$BA$105,$BA$106,0)</f>
        <v>3.3870325819056277</v>
      </c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>
      <c r="A138"/>
      <c r="B138"/>
      <c r="C138"/>
      <c r="F138" s="43">
        <v>32.700000000000003</v>
      </c>
      <c r="G138" s="43">
        <v>36.809486166007943</v>
      </c>
      <c r="H138" s="112">
        <v>-4.1094861660079403</v>
      </c>
      <c r="I138" s="111">
        <v>0.82106527353358461</v>
      </c>
      <c r="J138" s="43">
        <v>2.6440813804418353</v>
      </c>
      <c r="K138" s="43">
        <v>35.101987462019387</v>
      </c>
      <c r="L138" s="43">
        <v>38.516984869996499</v>
      </c>
      <c r="M138" s="43">
        <v>31.310817940868318</v>
      </c>
      <c r="N138" s="112">
        <v>42.308154391147568</v>
      </c>
      <c r="O138" s="26"/>
      <c r="Q138" s="26"/>
      <c r="R138" s="14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>
        <v>28</v>
      </c>
      <c r="BA138" s="91">
        <f t="shared" si="8"/>
        <v>-6.6597757662943013E-2</v>
      </c>
      <c r="BB138" s="91">
        <f>_xll.PDENSITY($BA$138,Sheet1!$C$157:$C$180,$BA$105,$BA$106,0)</f>
        <v>3.4488285668873866</v>
      </c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>
      <c r="A139" s="140" t="s">
        <v>191</v>
      </c>
      <c r="F139" s="43">
        <v>39.5</v>
      </c>
      <c r="G139" s="43">
        <v>37.144367588932845</v>
      </c>
      <c r="H139" s="112">
        <v>2.3556324110671554</v>
      </c>
      <c r="I139" s="111">
        <v>0.88332559181800308</v>
      </c>
      <c r="J139" s="43">
        <v>2.6640724960400473</v>
      </c>
      <c r="K139" s="43">
        <v>35.307391465538842</v>
      </c>
      <c r="L139" s="43">
        <v>38.981343712326847</v>
      </c>
      <c r="M139" s="43">
        <v>31.60412556317646</v>
      </c>
      <c r="N139" s="112">
        <v>42.684609614689229</v>
      </c>
      <c r="O139" s="26"/>
      <c r="P139" s="26"/>
      <c r="Q139" s="26"/>
      <c r="AZ139">
        <v>29</v>
      </c>
      <c r="BA139" s="91">
        <f t="shared" si="8"/>
        <v>-6.3836990494927137E-2</v>
      </c>
      <c r="BB139" s="91">
        <f>_xll.PDENSITY($BA$139,Sheet1!$C$157:$C$180,$BA$105,$BA$106,0)</f>
        <v>3.50622903311017</v>
      </c>
    </row>
    <row r="140" spans="1:256">
      <c r="A140" s="141" t="s">
        <v>1</v>
      </c>
      <c r="B140" s="127" t="s">
        <v>189</v>
      </c>
      <c r="C140" s="127" t="s">
        <v>190</v>
      </c>
      <c r="D140" s="141" t="s">
        <v>187</v>
      </c>
      <c r="E140" s="141" t="s">
        <v>188</v>
      </c>
      <c r="F140" s="43">
        <v>34.299999999999997</v>
      </c>
      <c r="G140" s="43">
        <v>37.479249011857746</v>
      </c>
      <c r="H140" s="112">
        <v>-3.179249011857749</v>
      </c>
      <c r="I140" s="111">
        <v>0.94808451339373778</v>
      </c>
      <c r="J140" s="43">
        <v>2.6862394546155897</v>
      </c>
      <c r="K140" s="43">
        <v>35.507599339080294</v>
      </c>
      <c r="L140" s="43">
        <v>39.450898684635199</v>
      </c>
      <c r="M140" s="43">
        <v>31.89290827232162</v>
      </c>
      <c r="N140" s="112">
        <v>43.065589751393873</v>
      </c>
      <c r="O140" s="26"/>
      <c r="P140" s="26"/>
      <c r="Q140" s="26"/>
      <c r="AZ140">
        <v>30</v>
      </c>
      <c r="BA140" s="91">
        <f t="shared" si="8"/>
        <v>-6.1076223326911268E-2</v>
      </c>
      <c r="BB140" s="91">
        <f>_xll.PDENSITY($BA$140,Sheet1!$C$157:$C$180,$BA$105,$BA$106,0)</f>
        <v>3.5593434417348342</v>
      </c>
    </row>
    <row r="141" spans="1:256">
      <c r="A141">
        <v>24</v>
      </c>
      <c r="B141" s="139">
        <f ca="1">_xll.NORM(D141,E141)</f>
        <v>37.932306075910915</v>
      </c>
      <c r="C141" s="1" t="str">
        <f ca="1">_xll.VFORMULA(B141)</f>
        <v>=NORM(D141,E141)</v>
      </c>
      <c r="D141" s="91">
        <f>G142</f>
        <v>38.149011857707549</v>
      </c>
      <c r="E141" s="91">
        <f>J142</f>
        <v>2.7368842451119488</v>
      </c>
      <c r="F141" s="43">
        <v>39.4</v>
      </c>
      <c r="G141" s="43">
        <v>37.814130434782648</v>
      </c>
      <c r="H141" s="112">
        <v>1.5858695652173509</v>
      </c>
      <c r="I141" s="111">
        <v>1.0148638398977596</v>
      </c>
      <c r="J141" s="43">
        <v>2.7105288739521751</v>
      </c>
      <c r="K141" s="43">
        <v>35.703605550576363</v>
      </c>
      <c r="L141" s="43">
        <v>39.924655318988933</v>
      </c>
      <c r="M141" s="43">
        <v>32.177277082699455</v>
      </c>
      <c r="N141" s="112">
        <v>43.450983786865841</v>
      </c>
      <c r="O141" s="26"/>
      <c r="P141" s="26"/>
      <c r="Q141" s="26"/>
      <c r="AZ141">
        <v>31</v>
      </c>
      <c r="BA141" s="91">
        <f t="shared" si="8"/>
        <v>-5.8315456158895398E-2</v>
      </c>
      <c r="BB141" s="91">
        <f>_xll.PDENSITY($BA$141,Sheet1!$C$157:$C$180,$BA$105,$BA$106,0)</f>
        <v>3.6083753773837675</v>
      </c>
    </row>
    <row r="142" spans="1:256">
      <c r="A142" s="7">
        <v>25</v>
      </c>
      <c r="B142" s="139">
        <f ca="1">_xll.NORM(D142,E142)</f>
        <v>40.294676699667058</v>
      </c>
      <c r="C142" s="1" t="str">
        <f ca="1">_xll.VFORMULA(B142)</f>
        <v>=NORM(D142,E142)</v>
      </c>
      <c r="D142" s="91">
        <f>G143</f>
        <v>38.483893280632451</v>
      </c>
      <c r="E142" s="91">
        <f>J143</f>
        <v>2.7652464973984014</v>
      </c>
      <c r="F142" s="138">
        <f ca="1">_xll.NORM($G$142,$J$142)</f>
        <v>41.971874819238828</v>
      </c>
      <c r="G142" s="43">
        <v>38.149011857707549</v>
      </c>
      <c r="H142" s="112" t="str">
        <v/>
      </c>
      <c r="I142" s="111">
        <v>1.0832899926361272</v>
      </c>
      <c r="J142" s="43">
        <v>2.7368842451119488</v>
      </c>
      <c r="K142" s="43">
        <v>35.896186999448219</v>
      </c>
      <c r="L142" s="43">
        <v>40.40183671596688</v>
      </c>
      <c r="M142" s="43">
        <v>32.457349511079045</v>
      </c>
      <c r="N142" s="112">
        <v>43.840674204336054</v>
      </c>
      <c r="O142" s="26"/>
      <c r="P142" s="26"/>
      <c r="Q142" s="26"/>
      <c r="AZ142">
        <v>32</v>
      </c>
      <c r="BA142" s="91">
        <f t="shared" si="8"/>
        <v>-5.5554688990879529E-2</v>
      </c>
      <c r="BB142" s="91">
        <f>_xll.PDENSITY($BA$142,Sheet1!$C$157:$C$180,$BA$105,$BA$106,0)</f>
        <v>3.6536193608640133</v>
      </c>
    </row>
    <row r="143" spans="1:256">
      <c r="A143" s="12">
        <v>26</v>
      </c>
      <c r="B143" s="139">
        <f ca="1">_xll.NORM(D143,E143)</f>
        <v>38.523542445804743</v>
      </c>
      <c r="C143" s="1" t="str">
        <f ca="1">_xll.VFORMULA(B143)</f>
        <v>=NORM(D143,E143)</v>
      </c>
      <c r="D143" s="91">
        <f>G144</f>
        <v>38.818774703557352</v>
      </c>
      <c r="E143" s="91">
        <f>J144</f>
        <v>2.7955545491413365</v>
      </c>
      <c r="F143" s="138">
        <f ca="1">_xll.NORM($G$143,$J$143)</f>
        <v>39.098115934624886</v>
      </c>
      <c r="G143" s="43">
        <v>38.483893280632451</v>
      </c>
      <c r="H143" s="112" t="str">
        <v/>
      </c>
      <c r="I143" s="111">
        <v>1.1530698280580001</v>
      </c>
      <c r="J143" s="43">
        <v>2.7652464973984014</v>
      </c>
      <c r="K143" s="43">
        <v>36.085953311080438</v>
      </c>
      <c r="L143" s="43">
        <v>40.881833250184464</v>
      </c>
      <c r="M143" s="43">
        <v>32.733248401698205</v>
      </c>
      <c r="N143" s="112">
        <v>44.234538159566696</v>
      </c>
      <c r="O143" s="26"/>
      <c r="P143" s="26"/>
      <c r="Q143" s="26"/>
      <c r="AZ143">
        <v>33</v>
      </c>
      <c r="BA143" s="91">
        <f t="shared" si="8"/>
        <v>-5.279392182286366E-2</v>
      </c>
      <c r="BB143" s="91">
        <f>_xll.PDENSITY($BA$143,Sheet1!$C$157:$C$180,$BA$105,$BA$106,0)</f>
        <v>3.6954546273917006</v>
      </c>
    </row>
    <row r="144" spans="1:256">
      <c r="A144" s="130">
        <v>27</v>
      </c>
      <c r="B144" s="139">
        <f ca="1">_xll.NORM(D144,E144)</f>
        <v>36.827403639411905</v>
      </c>
      <c r="C144" s="1" t="str">
        <f ca="1">_xll.VFORMULA(B144)</f>
        <v>=NORM(D144,E144)</v>
      </c>
      <c r="D144" s="91">
        <f>G145</f>
        <v>39.153656126482254</v>
      </c>
      <c r="E144" s="91">
        <f>J145</f>
        <v>2.8277458352359193</v>
      </c>
      <c r="F144" s="138">
        <f ca="1">_xll.NORM($G$144,$J$144)</f>
        <v>40.214167594623092</v>
      </c>
      <c r="G144" s="43">
        <v>38.818774703557352</v>
      </c>
      <c r="H144" s="112" t="str">
        <v/>
      </c>
      <c r="I144" s="111">
        <v>1.2239718437237028</v>
      </c>
      <c r="J144" s="43">
        <v>2.7955545491413365</v>
      </c>
      <c r="K144" s="43">
        <v>36.273385921149888</v>
      </c>
      <c r="L144" s="43">
        <v>41.364163485964816</v>
      </c>
      <c r="M144" s="43">
        <v>33.005100780843478</v>
      </c>
      <c r="N144" s="112">
        <v>44.632448626271227</v>
      </c>
      <c r="O144" s="26"/>
      <c r="P144" s="26"/>
      <c r="Q144" s="26"/>
      <c r="AZ144">
        <v>34</v>
      </c>
      <c r="BA144" s="91">
        <f t="shared" ref="BA144:BA175" si="9">1/99*($BA$104-$BA$103)+BA143</f>
        <v>-5.003315465484779E-2</v>
      </c>
      <c r="BB144" s="91">
        <f>_xll.PDENSITY($BA$144,Sheet1!$C$157:$C$180,$BA$105,$BA$106,0)</f>
        <v>3.7343359385123769</v>
      </c>
    </row>
    <row r="145" spans="1:54">
      <c r="A145" s="130">
        <v>28</v>
      </c>
      <c r="B145" s="139">
        <f ca="1">_xll.NORM(D145,E145)</f>
        <v>44.171657269371735</v>
      </c>
      <c r="C145" s="1" t="str">
        <f ca="1">_xll.VFORMULA(B145)</f>
        <v>=NORM(D145,E145)</v>
      </c>
      <c r="D145" s="91">
        <f>G146</f>
        <v>39.488537549407155</v>
      </c>
      <c r="E145" s="91">
        <f>J146</f>
        <v>2.8617568040946324</v>
      </c>
      <c r="F145" s="94">
        <f ca="1">_xll.NORM($G$145,$J$145)</f>
        <v>32.439493720379836</v>
      </c>
      <c r="G145" s="111">
        <v>39.153656126482254</v>
      </c>
      <c r="H145" s="112" t="str">
        <v/>
      </c>
      <c r="I145" s="111">
        <v>1.2958118481082297</v>
      </c>
      <c r="J145" s="43">
        <v>2.8277458352359193</v>
      </c>
      <c r="K145" s="43">
        <v>36.458867876900648</v>
      </c>
      <c r="L145" s="43">
        <v>41.84844437606386</v>
      </c>
      <c r="M145" s="43">
        <v>33.273036759772602</v>
      </c>
      <c r="N145" s="112">
        <v>45.034275493191906</v>
      </c>
      <c r="O145" s="26"/>
      <c r="P145" s="26"/>
      <c r="Q145" s="26"/>
      <c r="AZ145">
        <v>35</v>
      </c>
      <c r="BA145" s="91">
        <f t="shared" si="9"/>
        <v>-4.7272387486831921E-2</v>
      </c>
      <c r="BB145" s="91">
        <f>_xll.PDENSITY($BA$145,Sheet1!$C$157:$C$180,$BA$105,$BA$106,0)</f>
        <v>3.7707816061861106</v>
      </c>
    </row>
    <row r="146" spans="1:54">
      <c r="A146" s="37"/>
      <c r="B146" s="26"/>
      <c r="C146" s="49"/>
      <c r="F146" s="94">
        <f ca="1">_xll.NORM($G$146,$J$146)</f>
        <v>37.785425496773385</v>
      </c>
      <c r="G146" s="113">
        <v>39.488537549407155</v>
      </c>
      <c r="H146" s="114" t="str">
        <v/>
      </c>
      <c r="I146" s="113">
        <v>1.3684421225559746</v>
      </c>
      <c r="J146" s="116">
        <v>2.8617568040946324</v>
      </c>
      <c r="K146" s="116">
        <v>36.642706376092903</v>
      </c>
      <c r="L146" s="116">
        <v>42.334368722721408</v>
      </c>
      <c r="M146" s="116">
        <v>33.537188501246334</v>
      </c>
      <c r="N146" s="114">
        <v>45.439886597567977</v>
      </c>
      <c r="O146" s="26"/>
      <c r="P146" s="26"/>
      <c r="Q146" s="26"/>
      <c r="AZ146">
        <v>36</v>
      </c>
      <c r="BA146" s="91">
        <f t="shared" si="9"/>
        <v>-4.4511620318816052E-2</v>
      </c>
      <c r="BB146" s="91">
        <f>_xll.PDENSITY($BA$146,Sheet1!$C$157:$C$180,$BA$105,$BA$106,0)</f>
        <v>3.8053590143736602</v>
      </c>
    </row>
    <row r="147" spans="1:54">
      <c r="A147" s="37"/>
      <c r="B147" s="26"/>
      <c r="C147" s="53"/>
      <c r="D147"/>
      <c r="E147"/>
      <c r="F147"/>
      <c r="G147"/>
      <c r="H147"/>
      <c r="I147"/>
      <c r="J147"/>
      <c r="K147"/>
      <c r="L147"/>
      <c r="M147" s="26"/>
      <c r="N147" s="26"/>
      <c r="O147" s="26"/>
      <c r="P147" s="26"/>
      <c r="Q147" s="26"/>
      <c r="AZ147">
        <v>37</v>
      </c>
      <c r="BA147" s="91">
        <f t="shared" si="9"/>
        <v>-4.1750853150800182E-2</v>
      </c>
      <c r="BB147" s="91">
        <f>_xll.PDENSITY($BA$147,Sheet1!$C$157:$C$180,$BA$105,$BA$106,0)</f>
        <v>3.838668022479617</v>
      </c>
    </row>
    <row r="148" spans="1:54">
      <c r="A148" s="27"/>
      <c r="B148" s="26"/>
      <c r="C148" s="26"/>
      <c r="D148"/>
      <c r="E148"/>
      <c r="F148"/>
      <c r="G148"/>
      <c r="H148"/>
      <c r="I148"/>
      <c r="J148"/>
      <c r="K148"/>
      <c r="L148"/>
      <c r="M148" s="26"/>
      <c r="N148" s="26"/>
      <c r="O148" s="26"/>
      <c r="P148" s="26"/>
      <c r="Q148" s="26"/>
      <c r="AZ148">
        <v>38</v>
      </c>
      <c r="BA148" s="91">
        <f t="shared" si="9"/>
        <v>-3.8990085982784313E-2</v>
      </c>
      <c r="BB148" s="91">
        <f>_xll.PDENSITY($BA$148,Sheet1!$C$157:$C$180,$BA$105,$BA$106,0)</f>
        <v>3.8713227220228723</v>
      </c>
    </row>
    <row r="149" spans="1:54">
      <c r="A149" s="27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AZ149">
        <v>39</v>
      </c>
      <c r="BA149" s="91">
        <f t="shared" si="9"/>
        <v>-3.6229318814768444E-2</v>
      </c>
      <c r="BB149" s="91">
        <f>_xll.PDENSITY($BA$149,Sheet1!$C$157:$C$180,$BA$105,$BA$106,0)</f>
        <v>3.903932089232542</v>
      </c>
    </row>
    <row r="150" spans="1:54">
      <c r="A150" s="24" t="s">
        <v>6</v>
      </c>
      <c r="B150" s="8"/>
      <c r="C150" s="8"/>
      <c r="D150" s="8"/>
      <c r="E150" s="8"/>
      <c r="F150" s="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AZ150">
        <v>40</v>
      </c>
      <c r="BA150" s="91">
        <f t="shared" si="9"/>
        <v>-3.3468551646752574E-2</v>
      </c>
      <c r="BB150" s="91">
        <f>_xll.PDENSITY($BA$150,Sheet1!$C$157:$C$180,$BA$105,$BA$106,0)</f>
        <v>3.9370801288729491</v>
      </c>
    </row>
    <row r="151" spans="1:54">
      <c r="A151" s="24"/>
      <c r="B151" s="26" t="s">
        <v>15</v>
      </c>
      <c r="C151" s="26"/>
      <c r="D151" s="26"/>
      <c r="E151" s="26" t="s">
        <v>24</v>
      </c>
      <c r="G151" s="26" t="s">
        <v>16</v>
      </c>
      <c r="H151" s="26"/>
      <c r="I151" s="26" t="s">
        <v>64</v>
      </c>
      <c r="J151" s="26"/>
      <c r="K151" s="26"/>
      <c r="L151" s="26"/>
      <c r="M151" s="26"/>
      <c r="N151" s="26"/>
      <c r="O151" s="26"/>
      <c r="P151" s="26"/>
      <c r="Q151" s="26"/>
      <c r="AZ151">
        <v>41</v>
      </c>
      <c r="BA151" s="91">
        <f t="shared" si="9"/>
        <v>-3.0707784478736701E-2</v>
      </c>
      <c r="BB151" s="91">
        <f>_xll.PDENSITY($BA$151,Sheet1!$C$157:$C$180,$BA$105,$BA$106,0)</f>
        <v>3.9713061362290465</v>
      </c>
    </row>
    <row r="152" spans="1:54">
      <c r="A152" s="22" t="s">
        <v>17</v>
      </c>
      <c r="B152" s="8"/>
      <c r="C152" s="49">
        <f>C146</f>
        <v>0</v>
      </c>
      <c r="D152" s="50"/>
      <c r="E152" s="53">
        <f>$L$101+$L$102*24</f>
        <v>0</v>
      </c>
      <c r="G152" s="53">
        <f>$L$101+$L$102*25</f>
        <v>0</v>
      </c>
      <c r="H152" s="53"/>
      <c r="I152" s="53">
        <f>$L$101+$L$102*26</f>
        <v>0</v>
      </c>
      <c r="J152" s="26"/>
      <c r="K152" s="26"/>
      <c r="L152" s="26"/>
      <c r="M152" s="26"/>
      <c r="N152" s="26"/>
      <c r="O152" s="26"/>
      <c r="P152" s="26"/>
      <c r="Q152" s="26"/>
      <c r="AZ152">
        <v>42</v>
      </c>
      <c r="BA152" s="91">
        <f t="shared" si="9"/>
        <v>-2.7947017310720829E-2</v>
      </c>
      <c r="BB152" s="91">
        <f>_xll.PDENSITY($BA$152,Sheet1!$C$157:$C$180,$BA$105,$BA$106,0)</f>
        <v>4.0070857134535993</v>
      </c>
    </row>
    <row r="153" spans="1:54">
      <c r="A153" s="24"/>
      <c r="B153" s="8"/>
      <c r="C153" s="8"/>
      <c r="D153" s="8"/>
      <c r="E153" s="8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AZ153">
        <v>43</v>
      </c>
      <c r="BA153" s="91">
        <f t="shared" si="9"/>
        <v>-2.5186250142704956E-2</v>
      </c>
      <c r="BB153" s="91">
        <f>_xll.PDENSITY($BA$153,Sheet1!$C$157:$C$180,$BA$105,$BA$106,0)</f>
        <v>4.0448131629348927</v>
      </c>
    </row>
    <row r="154" spans="1:54">
      <c r="A154" s="24" t="s">
        <v>183</v>
      </c>
      <c r="B154" s="8"/>
      <c r="C154" s="8"/>
      <c r="D154" s="8"/>
      <c r="E154" s="8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AZ154">
        <v>44</v>
      </c>
      <c r="BA154" s="91">
        <f t="shared" si="9"/>
        <v>-2.2425482974689083E-2</v>
      </c>
      <c r="BB154" s="91">
        <f>_xll.PDENSITY($BA$154,Sheet1!$C$157:$C$180,$BA$105,$BA$106,0)</f>
        <v>4.0847858444642613</v>
      </c>
    </row>
    <row r="155" spans="1:54">
      <c r="A155" s="23"/>
      <c r="B155" s="11"/>
      <c r="C155" s="143" t="s">
        <v>204</v>
      </c>
      <c r="D155" s="8"/>
      <c r="E155" s="143" t="s">
        <v>65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AZ155">
        <v>45</v>
      </c>
      <c r="BA155" s="91">
        <f t="shared" si="9"/>
        <v>-1.966471580667321E-2</v>
      </c>
      <c r="BB155" s="91">
        <f>_xll.PDENSITY($BA$155,Sheet1!$C$157:$C$180,$BA$105,$BA$106,0)</f>
        <v>4.1271910261321398</v>
      </c>
    </row>
    <row r="156" spans="1:54">
      <c r="A156" s="25" t="s">
        <v>25</v>
      </c>
      <c r="B156" s="8"/>
      <c r="C156" s="56">
        <f>1.0001*C157</f>
        <v>1.8173249794722447E-2</v>
      </c>
      <c r="D156" s="50"/>
      <c r="E156" s="49">
        <v>0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AZ156">
        <v>46</v>
      </c>
      <c r="BA156" s="91">
        <f t="shared" si="9"/>
        <v>-1.6903948638657337E-2</v>
      </c>
      <c r="BB156" s="91">
        <f>_xll.PDENSITY($BA$156,Sheet1!$C$157:$C$180,$BA$105,$BA$106,0)</f>
        <v>4.172095683235975</v>
      </c>
    </row>
    <row r="157" spans="1:54">
      <c r="A157" s="23" t="s">
        <v>2</v>
      </c>
      <c r="B157" s="8"/>
      <c r="C157" s="56">
        <f>H119/G119</f>
        <v>1.8171432651457303E-2</v>
      </c>
      <c r="D157" s="50"/>
      <c r="E157" s="49">
        <f>H137/2</f>
        <v>-1.1873023715415201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AZ157">
        <v>47</v>
      </c>
      <c r="BA157" s="91">
        <f t="shared" si="9"/>
        <v>-1.4143181470641464E-2</v>
      </c>
      <c r="BB157" s="91">
        <f>_xll.PDENSITY($BA$157,Sheet1!$C$157:$C$180,$BA$105,$BA$106,0)</f>
        <v>4.2194396079156817</v>
      </c>
    </row>
    <row r="158" spans="1:54">
      <c r="A158" s="23"/>
      <c r="B158" s="8"/>
      <c r="C158" s="56">
        <f t="shared" ref="C158:C179" si="10">H120/G120</f>
        <v>0.10130653911591805</v>
      </c>
      <c r="D158" s="50"/>
      <c r="E158" s="49">
        <f t="shared" ref="E158:E179" si="11">E157+$H$137</f>
        <v>-3.5619071146245602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AZ158">
        <v>48</v>
      </c>
      <c r="BA158" s="91">
        <f t="shared" si="9"/>
        <v>-1.1382414302625592E-2</v>
      </c>
      <c r="BB158" s="91">
        <f>_xll.PDENSITY($BA$158,Sheet1!$C$157:$C$180,$BA$105,$BA$106,0)</f>
        <v>4.2690320881704515</v>
      </c>
    </row>
    <row r="159" spans="1:54">
      <c r="A159" s="23"/>
      <c r="B159" s="8"/>
      <c r="C159" s="56">
        <f t="shared" si="10"/>
        <v>5.0889332770188811E-2</v>
      </c>
      <c r="D159" s="50"/>
      <c r="E159" s="49">
        <f t="shared" si="11"/>
        <v>-5.9365118577076004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AZ159">
        <v>49</v>
      </c>
      <c r="BA159" s="91">
        <f t="shared" si="9"/>
        <v>-8.6216471346097188E-3</v>
      </c>
      <c r="BB159" s="91">
        <f>_xll.PDENSITY($BA$159,Sheet1!$C$157:$C$180,$BA$105,$BA$106,0)</f>
        <v>4.3205523021805909</v>
      </c>
    </row>
    <row r="160" spans="1:54">
      <c r="A160" s="23"/>
      <c r="B160" s="8"/>
      <c r="C160" s="56">
        <f t="shared" si="10"/>
        <v>4.7252802493329442E-3</v>
      </c>
      <c r="D160" s="50"/>
      <c r="E160" s="49">
        <f t="shared" si="11"/>
        <v>-8.3111166007906405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AZ160">
        <v>50</v>
      </c>
      <c r="BA160" s="91">
        <f t="shared" si="9"/>
        <v>-5.860879966593846E-3</v>
      </c>
      <c r="BB160" s="91">
        <f>_xll.PDENSITY($BA$160,Sheet1!$C$157:$C$180,$BA$105,$BA$106,0)</f>
        <v>4.3735534565161673</v>
      </c>
    </row>
    <row r="161" spans="1:54">
      <c r="A161" s="23"/>
      <c r="B161" s="13"/>
      <c r="C161" s="56">
        <f t="shared" si="10"/>
        <v>-0.14113847119937167</v>
      </c>
      <c r="D161" s="57"/>
      <c r="E161" s="49">
        <f t="shared" si="11"/>
        <v>-10.685721343873681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AZ161">
        <v>51</v>
      </c>
      <c r="BA161" s="91">
        <f t="shared" si="9"/>
        <v>-3.1001127985779736E-3</v>
      </c>
      <c r="BB161" s="91">
        <f>_xll.PDENSITY($BA$161,Sheet1!$C$157:$C$180,$BA$105,$BA$106,0)</f>
        <v>4.4274705789827173</v>
      </c>
    </row>
    <row r="162" spans="1:54">
      <c r="A162" s="23"/>
      <c r="B162" s="8"/>
      <c r="C162" s="56">
        <f t="shared" si="10"/>
        <v>-4.7356536826368506E-2</v>
      </c>
      <c r="D162" s="50"/>
      <c r="E162" s="49">
        <f t="shared" si="11"/>
        <v>-13.060326086956721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AZ162">
        <v>52</v>
      </c>
      <c r="BA162" s="91">
        <f t="shared" si="9"/>
        <v>-3.3934563056210124E-4</v>
      </c>
      <c r="BB162" s="91">
        <f>_xll.PDENSITY($BA$162,Sheet1!$C$157:$C$180,$BA$105,$BA$106,0)</f>
        <v>4.4816317625615598</v>
      </c>
    </row>
    <row r="163" spans="1:54">
      <c r="A163" s="23"/>
      <c r="B163" s="8"/>
      <c r="C163" s="56">
        <f t="shared" si="10"/>
        <v>-6.6429191213409178E-2</v>
      </c>
      <c r="D163" s="50"/>
      <c r="E163" s="49">
        <f t="shared" si="11"/>
        <v>-15.434930830039761</v>
      </c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AZ163">
        <v>53</v>
      </c>
      <c r="BA163" s="91">
        <f t="shared" si="9"/>
        <v>2.4214215374537711E-3</v>
      </c>
      <c r="BB163" s="91">
        <f>_xll.PDENSITY($BA$163,Sheet1!$C$157:$C$180,$BA$105,$BA$106,0)</f>
        <v>4.5352725499416904</v>
      </c>
    </row>
    <row r="164" spans="1:54">
      <c r="A164" s="23"/>
      <c r="B164" s="8"/>
      <c r="C164" s="56">
        <f t="shared" si="10"/>
        <v>-6.3764901580261588E-2</v>
      </c>
      <c r="D164" s="50"/>
      <c r="E164" s="49">
        <f t="shared" si="11"/>
        <v>-17.809535573122801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AZ164">
        <v>54</v>
      </c>
      <c r="BA164" s="91">
        <f t="shared" si="9"/>
        <v>5.1821887054696435E-3</v>
      </c>
      <c r="BB164" s="91">
        <f>_xll.PDENSITY($BA$164,Sheet1!$C$157:$C$180,$BA$105,$BA$106,0)</f>
        <v>4.5875530519458172</v>
      </c>
    </row>
    <row r="165" spans="1:54">
      <c r="A165" s="23"/>
      <c r="B165" s="8"/>
      <c r="C165" s="56">
        <f t="shared" si="10"/>
        <v>-5.2098092968175393E-2</v>
      </c>
      <c r="D165" s="50"/>
      <c r="E165" s="49">
        <f t="shared" si="11"/>
        <v>-20.184140316205841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AZ165">
        <v>55</v>
      </c>
      <c r="BA165" s="91">
        <f t="shared" si="9"/>
        <v>7.9429558734855164E-3</v>
      </c>
      <c r="BB165" s="91">
        <f>_xll.PDENSITY($BA$165,Sheet1!$C$157:$C$180,$BA$105,$BA$106,0)</f>
        <v>4.6375773106999407</v>
      </c>
    </row>
    <row r="166" spans="1:54">
      <c r="A166" s="23"/>
      <c r="B166" s="8"/>
      <c r="C166" s="56">
        <f t="shared" si="10"/>
        <v>2.2095433846589033E-2</v>
      </c>
      <c r="D166" s="50"/>
      <c r="E166" s="49">
        <f t="shared" si="11"/>
        <v>-22.558745059288881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AZ166">
        <v>56</v>
      </c>
      <c r="BA166" s="91">
        <f t="shared" si="9"/>
        <v>1.0703723041501389E-2</v>
      </c>
      <c r="BB166" s="91">
        <f>_xll.PDENSITY($BA$166,Sheet1!$C$157:$C$180,$BA$105,$BA$106,0)</f>
        <v>4.6844143521241453</v>
      </c>
    </row>
    <row r="167" spans="1:54">
      <c r="A167" s="25"/>
      <c r="B167" s="8"/>
      <c r="C167" s="56">
        <f t="shared" si="10"/>
        <v>-8.7453327524563539E-3</v>
      </c>
      <c r="D167" s="50"/>
      <c r="E167" s="49">
        <f t="shared" si="11"/>
        <v>-24.933349802371922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AZ167">
        <v>57</v>
      </c>
      <c r="BA167" s="91">
        <f t="shared" si="9"/>
        <v>1.3464490209517262E-2</v>
      </c>
      <c r="BB167" s="91">
        <f>_xll.PDENSITY($BA$167,Sheet1!$C$157:$C$180,$BA$105,$BA$106,0)</f>
        <v>4.7271203240851749</v>
      </c>
    </row>
    <row r="168" spans="1:54">
      <c r="A168" s="25"/>
      <c r="B168" s="8"/>
      <c r="C168" s="56">
        <f t="shared" si="10"/>
        <v>1.0828025477705963E-2</v>
      </c>
      <c r="D168" s="50"/>
      <c r="E168" s="49">
        <f t="shared" si="11"/>
        <v>-27.307954545454962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AZ168">
        <v>58</v>
      </c>
      <c r="BA168" s="91">
        <f t="shared" si="9"/>
        <v>1.6225257377533133E-2</v>
      </c>
      <c r="BB168" s="91">
        <f>_xll.PDENSITY($BA$168,Sheet1!$C$157:$C$180,$BA$105,$BA$106,0)</f>
        <v>4.7647610875858017</v>
      </c>
    </row>
    <row r="169" spans="1:54">
      <c r="A169" s="25"/>
      <c r="B169" s="8"/>
      <c r="C169" s="56">
        <f t="shared" si="10"/>
        <v>3.002101557101752E-2</v>
      </c>
      <c r="D169" s="50"/>
      <c r="E169" s="49">
        <f t="shared" si="11"/>
        <v>-29.682559288538002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AZ169">
        <v>59</v>
      </c>
      <c r="BA169" s="91">
        <f t="shared" si="9"/>
        <v>1.8986024545549006E-2</v>
      </c>
      <c r="BB169" s="91">
        <f>_xll.PDENSITY($BA$169,Sheet1!$C$157:$C$180,$BA$105,$BA$106,0)</f>
        <v>4.7964346192833274</v>
      </c>
    </row>
    <row r="170" spans="1:54">
      <c r="A170" s="25"/>
      <c r="B170" s="8"/>
      <c r="C170" s="56">
        <f t="shared" si="10"/>
        <v>0.13217747843419969</v>
      </c>
      <c r="D170" s="50"/>
      <c r="E170" s="49">
        <f t="shared" si="11"/>
        <v>-32.057164031621042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AZ170">
        <v>60</v>
      </c>
      <c r="BA170" s="91">
        <f t="shared" si="9"/>
        <v>2.1746791713564879E-2</v>
      </c>
      <c r="BB170" s="91">
        <f>_xll.PDENSITY($BA$170,Sheet1!$C$157:$C$180,$BA$105,$BA$106,0)</f>
        <v>4.821292594422836</v>
      </c>
    </row>
    <row r="171" spans="1:54">
      <c r="A171" s="25"/>
      <c r="B171" s="8"/>
      <c r="C171" s="56">
        <f t="shared" si="10"/>
        <v>0.1043094550394147</v>
      </c>
      <c r="D171" s="50"/>
      <c r="E171" s="49">
        <f t="shared" si="11"/>
        <v>-34.431768774704082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AZ171">
        <v>61</v>
      </c>
      <c r="BA171" s="91">
        <f t="shared" si="9"/>
        <v>2.4507558881580752E-2</v>
      </c>
      <c r="BB171" s="91">
        <f>_xll.PDENSITY($BA$171,Sheet1!$C$157:$C$180,$BA$105,$BA$106,0)</f>
        <v>4.8385605493375667</v>
      </c>
    </row>
    <row r="172" spans="1:54">
      <c r="A172" s="25"/>
      <c r="B172" s="8"/>
      <c r="C172" s="56">
        <f t="shared" si="10"/>
        <v>5.7232641326512464E-2</v>
      </c>
      <c r="D172" s="50"/>
      <c r="E172" s="49">
        <f t="shared" si="11"/>
        <v>-36.806373517787122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AZ172">
        <v>62</v>
      </c>
      <c r="BA172" s="91">
        <f t="shared" si="9"/>
        <v>2.7268326049596624E-2</v>
      </c>
      <c r="BB172" s="91">
        <f>_xll.PDENSITY($BA$172,Sheet1!$C$157:$C$180,$BA$105,$BA$106,0)</f>
        <v>4.8475560708438268</v>
      </c>
    </row>
    <row r="173" spans="1:54">
      <c r="A173" s="25"/>
      <c r="B173" s="8"/>
      <c r="C173" s="56">
        <f t="shared" si="10"/>
        <v>-3.9236087154508478E-2</v>
      </c>
      <c r="D173" s="50"/>
      <c r="E173" s="49">
        <f t="shared" si="11"/>
        <v>-39.180978260870162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AZ173">
        <v>63</v>
      </c>
      <c r="BA173" s="91">
        <f t="shared" si="9"/>
        <v>3.0029093217612497E-2</v>
      </c>
      <c r="BB173" s="91">
        <f>_xll.PDENSITY($BA$173,Sheet1!$C$157:$C$180,$BA$105,$BA$106,0)</f>
        <v>4.8477045244576642</v>
      </c>
    </row>
    <row r="174" spans="1:54">
      <c r="A174" s="25"/>
      <c r="B174" s="8"/>
      <c r="C174" s="56">
        <f t="shared" si="10"/>
        <v>4.3173453930998036E-2</v>
      </c>
      <c r="D174" s="50"/>
      <c r="E174" s="49">
        <f t="shared" si="11"/>
        <v>-41.555583003953203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AZ174">
        <v>64</v>
      </c>
      <c r="BA174" s="91">
        <f t="shared" si="9"/>
        <v>3.2789860385628367E-2</v>
      </c>
      <c r="BB174" s="91">
        <f>_xll.PDENSITY($BA$174,Sheet1!$C$157:$C$180,$BA$105,$BA$106,0)</f>
        <v>4.838551912233922</v>
      </c>
    </row>
    <row r="175" spans="1:54">
      <c r="A175" s="25"/>
      <c r="B175" s="8"/>
      <c r="C175" s="56">
        <f t="shared" si="10"/>
        <v>-6.5102960259860107E-2</v>
      </c>
      <c r="D175" s="50"/>
      <c r="E175" s="49">
        <f t="shared" si="11"/>
        <v>-43.930187747036243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AZ175">
        <v>65</v>
      </c>
      <c r="BA175" s="91">
        <f t="shared" si="9"/>
        <v>3.5550627553644236E-2</v>
      </c>
      <c r="BB175" s="91">
        <f>_xll.PDENSITY($BA$175,Sheet1!$C$157:$C$180,$BA$105,$BA$106,0)</f>
        <v>4.8197745416170941</v>
      </c>
    </row>
    <row r="176" spans="1:54">
      <c r="A176" s="25"/>
      <c r="B176" s="8"/>
      <c r="C176" s="56">
        <f t="shared" si="10"/>
        <v>-0.1116420410617653</v>
      </c>
      <c r="D176" s="50"/>
      <c r="E176" s="49">
        <f t="shared" si="11"/>
        <v>-46.304792490119283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AZ176">
        <v>66</v>
      </c>
      <c r="BA176" s="91">
        <f t="shared" ref="BA176:BA210" si="12">1/99*($BA$104-$BA$103)+BA175</f>
        <v>3.8311394721660105E-2</v>
      </c>
      <c r="BB176" s="91">
        <f>_xll.PDENSITY($BA$176,Sheet1!$C$157:$C$180,$BA$105,$BA$106,0)</f>
        <v>4.7911852860991671</v>
      </c>
    </row>
    <row r="177" spans="1:54">
      <c r="A177" s="25"/>
      <c r="B177" s="8"/>
      <c r="C177" s="56">
        <f t="shared" si="10"/>
        <v>6.3418293646464327E-2</v>
      </c>
      <c r="D177" s="50"/>
      <c r="E177" s="49">
        <f t="shared" si="11"/>
        <v>-48.679397233202323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AZ177">
        <v>67</v>
      </c>
      <c r="BA177" s="91">
        <f t="shared" si="12"/>
        <v>4.1072161889675975E-2</v>
      </c>
      <c r="BB177" s="91">
        <f>_xll.PDENSITY($BA$177,Sheet1!$C$157:$C$180,$BA$105,$BA$106,0)</f>
        <v>4.752736323539593</v>
      </c>
    </row>
    <row r="178" spans="1:54">
      <c r="A178" s="25"/>
      <c r="B178" s="8"/>
      <c r="C178" s="56">
        <f t="shared" si="10"/>
        <v>-8.4826913443540264E-2</v>
      </c>
      <c r="D178" s="50"/>
      <c r="E178" s="49">
        <f t="shared" si="11"/>
        <v>-51.054001976285363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AZ178">
        <v>68</v>
      </c>
      <c r="BA178" s="91">
        <f t="shared" si="12"/>
        <v>4.3832929057691844E-2</v>
      </c>
      <c r="BB178" s="91">
        <f>_xll.PDENSITY($BA$178,Sheet1!$C$157:$C$180,$BA$105,$BA$106,0)</f>
        <v>4.7045183453739323</v>
      </c>
    </row>
    <row r="179" spans="1:54">
      <c r="A179" s="25" t="s">
        <v>3</v>
      </c>
      <c r="B179" s="8"/>
      <c r="C179" s="56">
        <f t="shared" si="10"/>
        <v>4.1938543792576999E-2</v>
      </c>
      <c r="D179" s="50"/>
      <c r="E179" s="49">
        <f t="shared" si="11"/>
        <v>-53.428606719368403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AZ179">
        <v>69</v>
      </c>
      <c r="BA179" s="91">
        <f t="shared" si="12"/>
        <v>4.6593696225707713E-2</v>
      </c>
      <c r="BB179" s="91">
        <f>_xll.PDENSITY($BA$179,Sheet1!$C$157:$C$180,$BA$105,$BA$106,0)</f>
        <v>4.6467563361905633</v>
      </c>
    </row>
    <row r="180" spans="1:54" ht="12.75" thickBot="1">
      <c r="A180" s="39" t="s">
        <v>26</v>
      </c>
      <c r="B180" s="16"/>
      <c r="C180" s="58">
        <f>1.0001*C179</f>
        <v>4.1942737646956253E-2</v>
      </c>
      <c r="D180" s="52"/>
      <c r="E180" s="59">
        <v>1</v>
      </c>
      <c r="F180" s="19"/>
      <c r="G180" s="19"/>
      <c r="H180" s="19"/>
      <c r="I180" s="19"/>
      <c r="J180" s="19"/>
      <c r="K180" s="19"/>
      <c r="L180" s="19"/>
      <c r="M180" s="19"/>
      <c r="N180" s="26"/>
      <c r="O180" s="26"/>
      <c r="P180" s="26"/>
      <c r="Q180" s="26"/>
      <c r="AZ180">
        <v>70</v>
      </c>
      <c r="BA180" s="91">
        <f t="shared" si="12"/>
        <v>4.9354463393723583E-2</v>
      </c>
      <c r="BB180" s="91">
        <f>_xll.PDENSITY($BA$180,Sheet1!$C$157:$C$180,$BA$105,$BA$106,0)</f>
        <v>4.5798021248727432</v>
      </c>
    </row>
    <row r="181" spans="1:54">
      <c r="A181" s="72"/>
      <c r="B181" s="8"/>
      <c r="C181" s="56"/>
      <c r="D181" s="50"/>
      <c r="E181" s="49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AZ181">
        <v>71</v>
      </c>
      <c r="BA181" s="91">
        <f t="shared" si="12"/>
        <v>5.2115230561739452E-2</v>
      </c>
      <c r="BB181" s="91">
        <f>_xll.PDENSITY($BA$181,Sheet1!$C$157:$C$180,$BA$105,$BA$106,0)</f>
        <v>4.5041240023911744</v>
      </c>
    </row>
    <row r="182" spans="1:54">
      <c r="A182" s="72"/>
      <c r="B182" s="8"/>
      <c r="C182" s="56"/>
      <c r="D182" s="50"/>
      <c r="E182" s="49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AZ182">
        <v>72</v>
      </c>
      <c r="BA182" s="91">
        <f t="shared" si="12"/>
        <v>5.4875997729755321E-2</v>
      </c>
      <c r="BB182" s="91">
        <f>_xll.PDENSITY($BA$182,Sheet1!$C$157:$C$180,$BA$105,$BA$106,0)</f>
        <v>4.4202937843271162</v>
      </c>
    </row>
    <row r="183" spans="1:54">
      <c r="A183" s="72"/>
      <c r="B183" s="8"/>
      <c r="C183" s="56"/>
      <c r="D183" s="50"/>
      <c r="E183" s="49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AZ183">
        <v>73</v>
      </c>
      <c r="BA183" s="91">
        <f t="shared" si="12"/>
        <v>5.7636764897771191E-2</v>
      </c>
      <c r="BB183" s="91">
        <f>_xll.PDENSITY($BA$183,Sheet1!$C$157:$C$180,$BA$105,$BA$106,0)</f>
        <v>4.3289717655891486</v>
      </c>
    </row>
    <row r="184" spans="1:5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AZ184">
        <v>74</v>
      </c>
      <c r="BA184" s="91">
        <f t="shared" si="12"/>
        <v>6.039753206578706E-2</v>
      </c>
      <c r="BB184" s="91">
        <f>_xll.PDENSITY($BA$184,Sheet1!$C$157:$C$180,$BA$105,$BA$106,0)</f>
        <v>4.2308900682893844</v>
      </c>
    </row>
    <row r="185" spans="1:54" ht="12.75" thickBot="1">
      <c r="A185" s="54" t="s">
        <v>66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26"/>
      <c r="O185" s="26"/>
      <c r="P185" s="26"/>
      <c r="Q185" s="26"/>
      <c r="AZ185">
        <v>75</v>
      </c>
      <c r="BA185" s="91">
        <f t="shared" si="12"/>
        <v>6.3158299233802936E-2</v>
      </c>
      <c r="BB185" s="91">
        <f>_xll.PDENSITY($BA$185,Sheet1!$C$157:$C$180,$BA$105,$BA$106,0)</f>
        <v>4.126834919646365</v>
      </c>
    </row>
    <row r="186" spans="1:54">
      <c r="A186" s="27" t="s">
        <v>22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AZ186">
        <v>76</v>
      </c>
      <c r="BA186" s="91">
        <f t="shared" si="12"/>
        <v>6.5919066401818813E-2</v>
      </c>
      <c r="BB186" s="91">
        <f>_xll.PDENSITY($BA$186,Sheet1!$C$157:$C$180,$BA$105,$BA$106,0)</f>
        <v>4.0176284139891143</v>
      </c>
    </row>
    <row r="187" spans="1:54">
      <c r="A187" s="27"/>
      <c r="B187" s="26"/>
      <c r="C187" s="26"/>
      <c r="D187" s="26"/>
      <c r="E187" s="26"/>
      <c r="F187" s="26"/>
      <c r="G187" s="26"/>
      <c r="H187" s="26"/>
      <c r="I187" s="26"/>
      <c r="J187" s="26"/>
      <c r="K187" s="60"/>
      <c r="L187" s="26"/>
      <c r="M187" s="26"/>
      <c r="N187" s="1"/>
      <c r="O187" s="26"/>
      <c r="P187" s="26"/>
      <c r="Q187" s="26"/>
      <c r="AZ187">
        <v>77</v>
      </c>
      <c r="BA187" s="91">
        <f t="shared" si="12"/>
        <v>6.8679833569834689E-2</v>
      </c>
      <c r="BB187" s="91">
        <f>_xll.PDENSITY($BA$187,Sheet1!$C$157:$C$180,$BA$105,$BA$106,0)</f>
        <v>3.9041103110442581</v>
      </c>
    </row>
    <row r="188" spans="1:54" ht="12.75" thickBot="1">
      <c r="A188" s="41" t="s">
        <v>1</v>
      </c>
      <c r="B188" s="30" t="s">
        <v>18</v>
      </c>
      <c r="C188" s="30" t="s">
        <v>19</v>
      </c>
      <c r="D188" s="30" t="s">
        <v>20</v>
      </c>
      <c r="E188" s="30" t="s">
        <v>21</v>
      </c>
      <c r="F188" s="42" t="s">
        <v>74</v>
      </c>
      <c r="G188" s="8"/>
      <c r="H188" s="26"/>
      <c r="I188" s="26"/>
      <c r="J188" s="26"/>
      <c r="K188" s="26"/>
      <c r="L188" s="26"/>
      <c r="N188" s="1"/>
      <c r="O188" s="26"/>
      <c r="P188" s="26"/>
      <c r="Q188" s="26"/>
      <c r="AZ188">
        <v>78</v>
      </c>
      <c r="BA188" s="91">
        <f t="shared" si="12"/>
        <v>7.1440600737850565E-2</v>
      </c>
      <c r="BB188" s="91">
        <f>_xll.PDENSITY($BA$188,Sheet1!$C$157:$C$180,$BA$105,$BA$106,0)</f>
        <v>3.7871204020098874</v>
      </c>
    </row>
    <row r="189" spans="1:54">
      <c r="A189" s="34">
        <v>71</v>
      </c>
      <c r="B189" s="29" t="s">
        <v>34</v>
      </c>
      <c r="C189" s="29" t="s">
        <v>19</v>
      </c>
      <c r="D189" s="29" t="s">
        <v>20</v>
      </c>
      <c r="E189" s="29" t="s">
        <v>21</v>
      </c>
      <c r="F189" s="61" t="s">
        <v>162</v>
      </c>
      <c r="G189" s="8"/>
      <c r="H189" s="26"/>
      <c r="I189" s="26"/>
      <c r="J189" s="26"/>
      <c r="K189" s="26"/>
      <c r="L189" s="26"/>
      <c r="N189" s="1"/>
      <c r="O189" s="26"/>
      <c r="P189" s="26"/>
      <c r="Q189" s="26"/>
      <c r="AZ189">
        <v>79</v>
      </c>
      <c r="BA189" s="91">
        <f t="shared" si="12"/>
        <v>7.4201367905866442E-2</v>
      </c>
      <c r="BB189" s="91">
        <f>_xll.PDENSITY($BA$189,Sheet1!$C$157:$C$180,$BA$105,$BA$106,0)</f>
        <v>3.6674819364911633</v>
      </c>
    </row>
    <row r="190" spans="1:54">
      <c r="A190" s="34">
        <v>72</v>
      </c>
      <c r="B190" s="29">
        <v>47.3</v>
      </c>
      <c r="C190" s="40">
        <v>1.34</v>
      </c>
      <c r="D190" s="40">
        <v>47.69</v>
      </c>
      <c r="E190" s="40">
        <v>20.27</v>
      </c>
      <c r="F190" s="29">
        <v>1</v>
      </c>
      <c r="G190" s="8"/>
      <c r="H190" s="43"/>
      <c r="I190" s="40"/>
      <c r="J190" s="40"/>
      <c r="K190" s="40"/>
      <c r="L190" s="40"/>
      <c r="N190" s="1"/>
      <c r="Q190" s="26"/>
      <c r="AZ190">
        <v>80</v>
      </c>
      <c r="BA190" s="91">
        <f t="shared" si="12"/>
        <v>7.6962135073882318E-2</v>
      </c>
      <c r="BB190" s="91">
        <f>_xll.PDENSITY($BA$190,Sheet1!$C$157:$C$180,$BA$105,$BA$106,0)</f>
        <v>3.5459865489189744</v>
      </c>
    </row>
    <row r="191" spans="1:54">
      <c r="A191" s="34">
        <v>73</v>
      </c>
      <c r="B191" s="29">
        <v>54.1</v>
      </c>
      <c r="C191" s="40">
        <v>1.76</v>
      </c>
      <c r="D191" s="40">
        <v>47.3</v>
      </c>
      <c r="E191" s="40">
        <v>7.37</v>
      </c>
      <c r="F191" s="29">
        <v>2</v>
      </c>
      <c r="G191" s="8"/>
      <c r="H191" s="43"/>
      <c r="I191" s="40"/>
      <c r="J191" s="40"/>
      <c r="K191" s="40"/>
      <c r="L191" s="40"/>
      <c r="N191" s="1"/>
      <c r="Q191" s="26"/>
      <c r="AZ191">
        <v>81</v>
      </c>
      <c r="BA191" s="91">
        <f t="shared" si="12"/>
        <v>7.9722902241898194E-2</v>
      </c>
      <c r="BB191" s="91">
        <f>_xll.PDENSITY($BA$191,Sheet1!$C$157:$C$180,$BA$105,$BA$106,0)</f>
        <v>3.4233810549445356</v>
      </c>
    </row>
    <row r="192" spans="1:54">
      <c r="A192" s="34">
        <v>74</v>
      </c>
      <c r="B192" s="29">
        <v>65.400000000000006</v>
      </c>
      <c r="C192" s="40">
        <v>3.95</v>
      </c>
      <c r="D192" s="40">
        <v>54.15</v>
      </c>
      <c r="E192" s="40">
        <v>0</v>
      </c>
      <c r="F192" s="29">
        <v>3</v>
      </c>
      <c r="G192" s="8"/>
      <c r="H192" s="43"/>
      <c r="I192" s="40"/>
      <c r="J192" s="40"/>
      <c r="K192" s="40"/>
      <c r="L192" s="40"/>
      <c r="N192" s="1"/>
      <c r="Q192" s="26"/>
      <c r="AZ192">
        <v>82</v>
      </c>
      <c r="BA192" s="91">
        <f t="shared" si="12"/>
        <v>8.248366940991407E-2</v>
      </c>
      <c r="BB192" s="91">
        <f>_xll.PDENSITY($BA$192,Sheet1!$C$157:$C$180,$BA$105,$BA$106,0)</f>
        <v>3.3003564093786557</v>
      </c>
    </row>
    <row r="193" spans="1:54">
      <c r="A193" s="34">
        <v>75</v>
      </c>
      <c r="B193" s="29">
        <v>69.5</v>
      </c>
      <c r="C193" s="40">
        <v>4.09</v>
      </c>
      <c r="D193" s="40">
        <v>65.37</v>
      </c>
      <c r="E193" s="40">
        <v>0</v>
      </c>
      <c r="F193" s="29">
        <v>4</v>
      </c>
      <c r="G193" s="8"/>
      <c r="H193" s="43"/>
      <c r="I193" s="40"/>
      <c r="J193" s="40"/>
      <c r="K193" s="40"/>
      <c r="L193" s="40"/>
      <c r="N193" s="1"/>
      <c r="Q193" s="26"/>
      <c r="AZ193">
        <v>83</v>
      </c>
      <c r="BA193" s="91">
        <f t="shared" si="12"/>
        <v>8.5244436577929947E-2</v>
      </c>
      <c r="BB193" s="91">
        <f>_xll.PDENSITY($BA$193,Sheet1!$C$157:$C$180,$BA$105,$BA$106,0)</f>
        <v>3.1775390308076896</v>
      </c>
    </row>
    <row r="194" spans="1:54">
      <c r="A194" s="34">
        <v>76</v>
      </c>
      <c r="B194" s="29">
        <v>70.900000000000006</v>
      </c>
      <c r="C194" s="40">
        <v>3.55</v>
      </c>
      <c r="D194" s="40">
        <v>69.5</v>
      </c>
      <c r="E194" s="40">
        <v>0</v>
      </c>
      <c r="F194" s="29">
        <v>5</v>
      </c>
      <c r="G194" s="8"/>
      <c r="H194" s="43"/>
      <c r="I194" s="40"/>
      <c r="J194" s="40"/>
      <c r="K194" s="40"/>
      <c r="L194" s="40"/>
      <c r="N194" s="1"/>
      <c r="Q194" s="26"/>
      <c r="AZ194">
        <v>84</v>
      </c>
      <c r="BA194" s="91">
        <f t="shared" si="12"/>
        <v>8.8005203745945823E-2</v>
      </c>
      <c r="BB194" s="91">
        <f>_xll.PDENSITY($BA$194,Sheet1!$C$157:$C$180,$BA$105,$BA$106,0)</f>
        <v>3.0554846076100293</v>
      </c>
    </row>
    <row r="195" spans="1:54">
      <c r="A195" s="34">
        <v>77</v>
      </c>
      <c r="B195" s="29">
        <v>66.7</v>
      </c>
      <c r="C195" s="40">
        <v>2.73</v>
      </c>
      <c r="D195" s="40">
        <v>70.930000000000007</v>
      </c>
      <c r="E195" s="40">
        <v>0</v>
      </c>
      <c r="F195" s="29">
        <v>6</v>
      </c>
      <c r="G195" s="8"/>
      <c r="H195" s="43"/>
      <c r="I195" s="40"/>
      <c r="J195" s="40"/>
      <c r="K195" s="40"/>
      <c r="L195" s="40"/>
      <c r="N195" s="1"/>
      <c r="Q195" s="26"/>
      <c r="AZ195">
        <v>85</v>
      </c>
      <c r="BA195" s="91">
        <f t="shared" si="12"/>
        <v>9.0765970913961699E-2</v>
      </c>
      <c r="BB195" s="91">
        <f>_xll.PDENSITY($BA$195,Sheet1!$C$157:$C$180,$BA$105,$BA$106,0)</f>
        <v>2.9346744093561448</v>
      </c>
    </row>
    <row r="196" spans="1:54">
      <c r="A196" s="34">
        <v>78</v>
      </c>
      <c r="B196" s="29">
        <v>56.5</v>
      </c>
      <c r="C196" s="40">
        <v>2.33</v>
      </c>
      <c r="D196" s="40">
        <v>66.69</v>
      </c>
      <c r="E196" s="40">
        <v>9.4499999999999993</v>
      </c>
      <c r="F196" s="29">
        <v>7</v>
      </c>
      <c r="G196" s="8"/>
      <c r="H196" s="43"/>
      <c r="I196" s="40"/>
      <c r="J196" s="40"/>
      <c r="K196" s="40"/>
      <c r="L196" s="40"/>
      <c r="N196" s="1"/>
      <c r="Q196" s="26"/>
      <c r="AZ196">
        <v>86</v>
      </c>
      <c r="BA196" s="91">
        <f t="shared" si="12"/>
        <v>9.3526738081977576E-2</v>
      </c>
      <c r="BB196" s="91">
        <f>_xll.PDENSITY($BA$196,Sheet1!$C$157:$C$180,$BA$105,$BA$106,0)</f>
        <v>2.8155140400709113</v>
      </c>
    </row>
    <row r="197" spans="1:54">
      <c r="A197" s="34">
        <v>79</v>
      </c>
      <c r="B197" s="29">
        <v>62.5</v>
      </c>
      <c r="C197" s="40">
        <v>2.97</v>
      </c>
      <c r="D197" s="40">
        <v>56.5</v>
      </c>
      <c r="E197" s="40">
        <v>8.33</v>
      </c>
      <c r="F197" s="29">
        <v>8</v>
      </c>
      <c r="G197" s="8"/>
      <c r="H197" s="43"/>
      <c r="I197" s="40"/>
      <c r="J197" s="40"/>
      <c r="K197" s="40"/>
      <c r="L197" s="40"/>
      <c r="N197" s="1"/>
      <c r="Q197" s="26"/>
      <c r="AZ197">
        <v>87</v>
      </c>
      <c r="BA197" s="91">
        <f t="shared" si="12"/>
        <v>9.6287505249993452E-2</v>
      </c>
      <c r="BB197" s="91">
        <f>_xll.PDENSITY($BA$197,Sheet1!$C$157:$C$180,$BA$105,$BA$106,0)</f>
        <v>2.6983344889077769</v>
      </c>
    </row>
    <row r="198" spans="1:54">
      <c r="A198" s="34">
        <v>80</v>
      </c>
      <c r="B198" s="29">
        <v>71.099999999999994</v>
      </c>
      <c r="C198" s="40">
        <v>3.8</v>
      </c>
      <c r="D198" s="40">
        <v>62.45</v>
      </c>
      <c r="E198" s="40">
        <v>0</v>
      </c>
      <c r="F198" s="29">
        <v>9</v>
      </c>
      <c r="G198" s="8"/>
      <c r="H198" s="43"/>
      <c r="I198" s="40"/>
      <c r="J198" s="40"/>
      <c r="K198" s="40"/>
      <c r="L198" s="40"/>
      <c r="N198" s="1"/>
      <c r="Q198" s="26"/>
      <c r="AZ198">
        <v>88</v>
      </c>
      <c r="BA198" s="91">
        <f t="shared" si="12"/>
        <v>9.9048272418009328E-2</v>
      </c>
      <c r="BB198" s="91">
        <f>_xll.PDENSITY($BA$198,Sheet1!$C$157:$C$180,$BA$105,$BA$106,0)</f>
        <v>2.5833952623863699</v>
      </c>
    </row>
    <row r="199" spans="1:54">
      <c r="A199" s="34">
        <v>81</v>
      </c>
      <c r="B199" s="29">
        <v>80.599999999999994</v>
      </c>
      <c r="C199" s="40">
        <v>3.99</v>
      </c>
      <c r="D199" s="40">
        <v>71.13</v>
      </c>
      <c r="E199" s="40">
        <v>0</v>
      </c>
      <c r="F199" s="29">
        <v>10</v>
      </c>
      <c r="G199" s="8"/>
      <c r="H199" s="43"/>
      <c r="I199" s="40"/>
      <c r="J199" s="40"/>
      <c r="K199" s="40"/>
      <c r="L199" s="43"/>
      <c r="N199" s="1"/>
      <c r="O199" s="26"/>
      <c r="P199" s="26"/>
      <c r="Q199" s="26"/>
      <c r="AZ199">
        <v>89</v>
      </c>
      <c r="BA199" s="91">
        <f t="shared" si="12"/>
        <v>0.1018090395860252</v>
      </c>
      <c r="BB199" s="91">
        <f>_xll.PDENSITY($BA$199,Sheet1!$C$157:$C$180,$BA$105,$BA$106,0)</f>
        <v>2.4708893229250863</v>
      </c>
    </row>
    <row r="200" spans="1:54">
      <c r="A200" s="34">
        <v>82</v>
      </c>
      <c r="B200" s="29">
        <v>77.900000000000006</v>
      </c>
      <c r="C200" s="40">
        <v>3.69</v>
      </c>
      <c r="D200" s="40">
        <v>80.64</v>
      </c>
      <c r="E200" s="40">
        <v>5.83</v>
      </c>
      <c r="F200" s="29">
        <v>11</v>
      </c>
      <c r="G200" s="8"/>
      <c r="H200" s="43"/>
      <c r="I200" s="40"/>
      <c r="J200" s="40"/>
      <c r="K200" s="40"/>
      <c r="L200" s="43"/>
      <c r="N200" s="1"/>
      <c r="O200" s="26"/>
      <c r="P200" s="26"/>
      <c r="Q200" s="26"/>
      <c r="AZ200">
        <v>90</v>
      </c>
      <c r="BA200" s="91">
        <f t="shared" si="12"/>
        <v>0.10456980675404108</v>
      </c>
      <c r="BB200" s="91">
        <f>_xll.PDENSITY($BA$200,Sheet1!$C$157:$C$180,$BA$105,$BA$106,0)</f>
        <v>2.3609495127939466</v>
      </c>
    </row>
    <row r="201" spans="1:54">
      <c r="A201" s="34">
        <v>83</v>
      </c>
      <c r="B201" s="29">
        <v>61.4</v>
      </c>
      <c r="C201" s="40">
        <v>3.45</v>
      </c>
      <c r="D201" s="40">
        <v>77.94</v>
      </c>
      <c r="E201" s="40">
        <v>30.02</v>
      </c>
      <c r="F201" s="29">
        <v>12</v>
      </c>
      <c r="G201" s="8"/>
      <c r="H201" s="43"/>
      <c r="I201" s="40"/>
      <c r="J201" s="40"/>
      <c r="K201" s="40"/>
      <c r="L201" s="43"/>
      <c r="N201" s="1"/>
      <c r="O201" s="26"/>
      <c r="P201" s="26"/>
      <c r="Q201" s="26"/>
      <c r="AZ201">
        <v>91</v>
      </c>
      <c r="BA201" s="91">
        <f t="shared" si="12"/>
        <v>0.10733057392205696</v>
      </c>
      <c r="BB201" s="91">
        <f>_xll.PDENSITY($BA$201,Sheet1!$C$157:$C$180,$BA$105,$BA$106,0)</f>
        <v>2.2536561119792302</v>
      </c>
    </row>
    <row r="202" spans="1:54">
      <c r="A202" s="34">
        <v>84</v>
      </c>
      <c r="B202" s="29">
        <v>66.900000000000006</v>
      </c>
      <c r="C202" s="40">
        <v>3.51</v>
      </c>
      <c r="D202" s="40">
        <v>61.39</v>
      </c>
      <c r="E202" s="40">
        <v>19.64</v>
      </c>
      <c r="F202" s="29">
        <v>13</v>
      </c>
      <c r="G202" s="8"/>
      <c r="H202" s="43"/>
      <c r="I202" s="40"/>
      <c r="J202" s="40"/>
      <c r="K202" s="40"/>
      <c r="L202" s="43"/>
      <c r="N202" s="1"/>
      <c r="O202" s="26"/>
      <c r="P202" s="26"/>
      <c r="Q202" s="26"/>
      <c r="AZ202">
        <v>92</v>
      </c>
      <c r="BA202" s="91">
        <f t="shared" si="12"/>
        <v>0.11009134109007283</v>
      </c>
      <c r="BB202" s="91">
        <f>_xll.PDENSITY($BA$202,Sheet1!$C$157:$C$180,$BA$105,$BA$106,0)</f>
        <v>2.1490451632418601</v>
      </c>
    </row>
    <row r="203" spans="1:54">
      <c r="A203" s="34">
        <v>85</v>
      </c>
      <c r="B203" s="29">
        <v>64.7</v>
      </c>
      <c r="C203" s="40">
        <v>3.39</v>
      </c>
      <c r="D203" s="40">
        <v>66.930000000000007</v>
      </c>
      <c r="E203" s="40">
        <v>18.829999999999998</v>
      </c>
      <c r="F203" s="29">
        <v>14</v>
      </c>
      <c r="G203" s="8"/>
      <c r="H203" s="43"/>
      <c r="I203" s="40"/>
      <c r="J203" s="40"/>
      <c r="K203" s="40"/>
      <c r="L203" s="43"/>
      <c r="N203" s="1"/>
      <c r="O203" s="26"/>
      <c r="P203" s="26"/>
      <c r="Q203" s="26"/>
      <c r="AZ203">
        <v>93</v>
      </c>
      <c r="BA203" s="91">
        <f t="shared" si="12"/>
        <v>0.11285210825808871</v>
      </c>
      <c r="BB203" s="91">
        <f>_xll.PDENSITY($BA$203,Sheet1!$C$157:$C$180,$BA$105,$BA$106,0)</f>
        <v>2.0471171976179781</v>
      </c>
    </row>
    <row r="204" spans="1:54">
      <c r="A204" s="34">
        <v>86</v>
      </c>
      <c r="B204" s="29">
        <v>60.7</v>
      </c>
      <c r="C204" s="40">
        <v>3.08</v>
      </c>
      <c r="D204" s="40">
        <v>64.7</v>
      </c>
      <c r="E204" s="40">
        <v>21.59</v>
      </c>
      <c r="F204" s="29">
        <v>15</v>
      </c>
      <c r="G204" s="8"/>
      <c r="H204" s="43"/>
      <c r="I204" s="40"/>
      <c r="J204" s="40"/>
      <c r="K204" s="40"/>
      <c r="L204" s="43"/>
      <c r="N204" s="1"/>
      <c r="O204" s="26"/>
      <c r="P204" s="26"/>
      <c r="Q204" s="26"/>
      <c r="AZ204">
        <v>94</v>
      </c>
      <c r="BA204" s="91">
        <f t="shared" si="12"/>
        <v>0.11561287542610459</v>
      </c>
      <c r="BB204" s="91">
        <f>_xll.PDENSITY($BA$204,Sheet1!$C$157:$C$180,$BA$105,$BA$106,0)</f>
        <v>1.9478460078481743</v>
      </c>
    </row>
    <row r="205" spans="1:54">
      <c r="A205" s="34">
        <v>87</v>
      </c>
      <c r="B205" s="29">
        <v>55.9</v>
      </c>
      <c r="C205" s="40">
        <v>2.42</v>
      </c>
      <c r="D205" s="40">
        <v>60.72</v>
      </c>
      <c r="E205" s="40">
        <v>28.08</v>
      </c>
      <c r="F205" s="29">
        <v>16</v>
      </c>
      <c r="G205" s="8"/>
      <c r="H205" s="43"/>
      <c r="I205" s="40"/>
      <c r="J205" s="40"/>
      <c r="K205" s="40"/>
      <c r="L205" s="43"/>
      <c r="N205" s="1"/>
      <c r="O205" s="26"/>
      <c r="P205" s="26"/>
      <c r="Q205" s="26"/>
      <c r="R205" s="26"/>
      <c r="AZ205">
        <v>95</v>
      </c>
      <c r="BA205" s="91">
        <f t="shared" si="12"/>
        <v>0.11837364259412046</v>
      </c>
      <c r="BB205" s="91">
        <f>_xll.PDENSITY($BA$205,Sheet1!$C$157:$C$180,$BA$105,$BA$106,0)</f>
        <v>1.8511871442457903</v>
      </c>
    </row>
    <row r="206" spans="1:54">
      <c r="A206" s="34">
        <v>88</v>
      </c>
      <c r="B206" s="29">
        <v>53.2</v>
      </c>
      <c r="C206" s="40">
        <v>2.57</v>
      </c>
      <c r="D206" s="40">
        <v>55.95</v>
      </c>
      <c r="E206" s="40">
        <v>29.62</v>
      </c>
      <c r="F206" s="29">
        <v>17</v>
      </c>
      <c r="G206" s="8"/>
      <c r="H206" s="43"/>
      <c r="I206" s="40"/>
      <c r="J206" s="40"/>
      <c r="K206" s="40"/>
      <c r="L206" s="43"/>
      <c r="N206" s="1"/>
      <c r="O206" s="26"/>
      <c r="P206" s="26"/>
      <c r="Q206" s="26"/>
      <c r="R206" s="26"/>
      <c r="AZ206">
        <v>96</v>
      </c>
      <c r="BA206" s="91">
        <f t="shared" si="12"/>
        <v>0.12113440976213634</v>
      </c>
      <c r="BB206" s="91">
        <f>_xll.PDENSITY($BA$206,Sheet1!$C$157:$C$180,$BA$105,$BA$106,0)</f>
        <v>1.7570858453596772</v>
      </c>
    </row>
    <row r="207" spans="1:54">
      <c r="A207" s="34">
        <v>89</v>
      </c>
      <c r="B207" s="29">
        <v>62.2</v>
      </c>
      <c r="C207" s="40">
        <v>3.72</v>
      </c>
      <c r="D207" s="40">
        <v>53.19</v>
      </c>
      <c r="E207" s="40">
        <v>18.43</v>
      </c>
      <c r="F207" s="29">
        <v>18</v>
      </c>
      <c r="G207" s="8"/>
      <c r="H207" s="43"/>
      <c r="I207" s="40"/>
      <c r="J207" s="40"/>
      <c r="K207" s="40"/>
      <c r="L207" s="43"/>
      <c r="N207" s="1"/>
      <c r="O207" s="26"/>
      <c r="P207" s="26"/>
      <c r="Q207" s="26"/>
      <c r="R207" s="26"/>
      <c r="AZ207">
        <v>97</v>
      </c>
      <c r="BA207" s="91">
        <f t="shared" si="12"/>
        <v>0.12389517693015221</v>
      </c>
      <c r="BB207" s="91">
        <f>_xll.PDENSITY($BA$207,Sheet1!$C$157:$C$180,$BA$105,$BA$106,0)</f>
        <v>1.6654841621299821</v>
      </c>
    </row>
    <row r="208" spans="1:54">
      <c r="A208" s="34">
        <v>90</v>
      </c>
      <c r="B208" s="29">
        <v>69.3</v>
      </c>
      <c r="C208" s="40">
        <v>3.72</v>
      </c>
      <c r="D208" s="40">
        <v>62.19</v>
      </c>
      <c r="E208" s="40">
        <v>17.79</v>
      </c>
      <c r="F208" s="29">
        <v>19</v>
      </c>
      <c r="G208" s="8"/>
      <c r="H208" s="43"/>
      <c r="I208" s="40"/>
      <c r="J208" s="40"/>
      <c r="K208" s="40"/>
      <c r="L208" s="43"/>
      <c r="N208" s="1"/>
      <c r="O208" s="26"/>
      <c r="P208" s="26"/>
      <c r="Q208" s="26"/>
      <c r="R208" s="26"/>
      <c r="AZ208">
        <v>98</v>
      </c>
      <c r="BA208" s="91">
        <f t="shared" si="12"/>
        <v>0.12665594409816808</v>
      </c>
      <c r="BB208" s="91">
        <f>_xll.PDENSITY($BA$208,Sheet1!$C$157:$C$180,$BA$105,$BA$106,0)</f>
        <v>1.5763270865287016</v>
      </c>
    </row>
    <row r="209" spans="1:54">
      <c r="A209" s="34">
        <v>91</v>
      </c>
      <c r="B209" s="29">
        <v>57.7</v>
      </c>
      <c r="C209" s="40">
        <v>2.61</v>
      </c>
      <c r="D209" s="40">
        <v>69.28</v>
      </c>
      <c r="E209" s="40">
        <v>26.3</v>
      </c>
      <c r="F209" s="29">
        <v>20</v>
      </c>
      <c r="G209" s="8"/>
      <c r="H209" s="43"/>
      <c r="I209" s="40"/>
      <c r="J209" s="40"/>
      <c r="K209" s="40"/>
      <c r="L209" s="43"/>
      <c r="N209" s="1"/>
      <c r="O209" s="26"/>
      <c r="P209" s="26"/>
      <c r="Q209" s="26"/>
      <c r="R209" s="26"/>
      <c r="AZ209">
        <v>99</v>
      </c>
      <c r="BA209" s="91">
        <f t="shared" si="12"/>
        <v>0.12941671126618395</v>
      </c>
      <c r="BB209" s="91">
        <f>_xll.PDENSITY($BA$209,Sheet1!$C$157:$C$180,$BA$105,$BA$106,0)</f>
        <v>1.4895675512832232</v>
      </c>
    </row>
    <row r="210" spans="1:54">
      <c r="A210" s="34">
        <v>92</v>
      </c>
      <c r="B210" s="29">
        <v>62.8</v>
      </c>
      <c r="C210" s="40">
        <v>3</v>
      </c>
      <c r="D210" s="40">
        <v>57.69</v>
      </c>
      <c r="E210" s="40">
        <v>17.940000000000001</v>
      </c>
      <c r="F210" s="29">
        <v>21</v>
      </c>
      <c r="G210" s="8"/>
      <c r="H210" s="43"/>
      <c r="I210" s="40"/>
      <c r="J210" s="40"/>
      <c r="K210" s="40"/>
      <c r="L210" s="43"/>
      <c r="N210" s="1"/>
      <c r="O210" s="26"/>
      <c r="P210" s="26"/>
      <c r="Q210" s="26"/>
      <c r="AZ210">
        <v>100</v>
      </c>
      <c r="BA210" s="91">
        <f t="shared" si="12"/>
        <v>0.13217747843419983</v>
      </c>
      <c r="BB210" s="91">
        <f>_xll.PDENSITY($BA$210,Sheet1!$C$157:$C$180,$BA$105,$BA$106,0)</f>
        <v>1.4051702236071957</v>
      </c>
    </row>
    <row r="211" spans="1:54">
      <c r="A211" s="34">
        <v>93</v>
      </c>
      <c r="B211" s="29">
        <v>62.7</v>
      </c>
      <c r="C211" s="40">
        <v>3.24</v>
      </c>
      <c r="D211" s="40">
        <v>62.76</v>
      </c>
      <c r="E211" s="40">
        <v>16.5</v>
      </c>
      <c r="F211" s="29">
        <v>22</v>
      </c>
      <c r="G211" s="8"/>
      <c r="H211" s="43"/>
      <c r="I211" s="40"/>
      <c r="J211" s="40"/>
      <c r="K211" s="40"/>
      <c r="L211" s="43"/>
      <c r="N211" s="1"/>
      <c r="O211" s="26"/>
      <c r="P211" s="26"/>
      <c r="Q211" s="26"/>
    </row>
    <row r="212" spans="1:54">
      <c r="A212" s="34">
        <v>94</v>
      </c>
      <c r="B212" s="29">
        <v>61.8</v>
      </c>
      <c r="C212" s="40">
        <v>3.26</v>
      </c>
      <c r="D212" s="40">
        <v>62.71</v>
      </c>
      <c r="E212" s="40">
        <v>16.03</v>
      </c>
      <c r="F212" s="29">
        <v>23</v>
      </c>
      <c r="G212" s="8"/>
      <c r="H212" s="43"/>
      <c r="I212" s="40"/>
      <c r="J212" s="40"/>
      <c r="K212" s="40"/>
      <c r="L212" s="43"/>
      <c r="N212" s="1"/>
      <c r="O212" s="26"/>
      <c r="P212" s="26"/>
      <c r="Q212" s="26"/>
    </row>
    <row r="213" spans="1:54">
      <c r="A213" s="27">
        <v>95</v>
      </c>
      <c r="B213" s="26">
        <v>60.9</v>
      </c>
      <c r="C213" s="43">
        <v>3.45</v>
      </c>
      <c r="D213" s="43">
        <v>61.77</v>
      </c>
      <c r="E213" s="43">
        <v>15.13</v>
      </c>
      <c r="F213" s="26">
        <v>24</v>
      </c>
      <c r="G213" s="8"/>
      <c r="H213" s="43"/>
      <c r="I213" s="40"/>
      <c r="J213" s="40"/>
      <c r="K213" s="40"/>
      <c r="L213" s="43"/>
      <c r="N213" s="1"/>
      <c r="O213" s="26"/>
      <c r="P213" s="26"/>
      <c r="Q213" s="26"/>
    </row>
    <row r="214" spans="1:54">
      <c r="A214" s="27"/>
      <c r="B214" s="26"/>
      <c r="C214" s="40">
        <v>3.5266666666666699</v>
      </c>
      <c r="D214" s="40">
        <v>61.423333333333296</v>
      </c>
      <c r="E214" s="40">
        <v>14.516666666666699</v>
      </c>
      <c r="F214" s="29">
        <v>25</v>
      </c>
      <c r="G214" s="8"/>
      <c r="H214" s="43"/>
      <c r="I214" s="40"/>
      <c r="J214" s="40"/>
      <c r="K214" s="40"/>
      <c r="L214" s="43"/>
      <c r="N214" s="1"/>
      <c r="O214" s="26"/>
      <c r="P214" s="26"/>
      <c r="Q214" s="26"/>
    </row>
    <row r="215" spans="1:54">
      <c r="A215" s="27"/>
      <c r="B215" s="26"/>
      <c r="C215" s="40">
        <v>3.6316666666666699</v>
      </c>
      <c r="D215" s="40">
        <v>60.928333333333299</v>
      </c>
      <c r="E215" s="40">
        <v>13.831666666666701</v>
      </c>
      <c r="F215" s="29">
        <v>26</v>
      </c>
      <c r="G215" s="8"/>
      <c r="H215" s="43"/>
      <c r="I215" s="40"/>
      <c r="J215" s="40"/>
      <c r="K215" s="40"/>
      <c r="L215" s="43"/>
      <c r="N215" s="1"/>
      <c r="O215" s="26"/>
      <c r="P215" s="26"/>
      <c r="Q215" s="26"/>
    </row>
    <row r="216" spans="1:54">
      <c r="A216" s="27"/>
      <c r="B216" s="26"/>
      <c r="C216" s="43">
        <v>3.7366666666666699</v>
      </c>
      <c r="D216" s="43">
        <v>60.433333333333302</v>
      </c>
      <c r="E216" s="43">
        <v>13.1466666666667</v>
      </c>
      <c r="F216" s="26">
        <v>27</v>
      </c>
      <c r="G216" s="8"/>
      <c r="H216" s="43"/>
      <c r="I216" s="40"/>
      <c r="J216" s="40"/>
      <c r="K216" s="40"/>
      <c r="L216" s="43"/>
      <c r="N216" s="1"/>
      <c r="O216" s="26"/>
      <c r="P216" s="26"/>
      <c r="Q216" s="26"/>
    </row>
    <row r="217" spans="1:54">
      <c r="A217" s="27"/>
      <c r="B217" s="26"/>
      <c r="C217" s="40">
        <v>3.8416666666666699</v>
      </c>
      <c r="D217" s="40">
        <v>59.938333333333397</v>
      </c>
      <c r="E217" s="40">
        <v>12.4616666666667</v>
      </c>
      <c r="F217" s="29">
        <v>28</v>
      </c>
      <c r="G217" s="8"/>
      <c r="H217" s="43"/>
      <c r="I217" s="40"/>
      <c r="J217" s="40"/>
      <c r="K217" s="40"/>
      <c r="L217" s="43"/>
      <c r="N217" s="1"/>
      <c r="O217" s="26"/>
      <c r="P217" s="26"/>
      <c r="Q217" s="26"/>
    </row>
    <row r="218" spans="1:54">
      <c r="A218" s="27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N218" s="1"/>
      <c r="O218" s="26"/>
      <c r="P218" s="26"/>
      <c r="Q218" s="26"/>
    </row>
    <row r="219" spans="1:54" ht="12.75" thickBot="1">
      <c r="A219" s="15" t="s">
        <v>8</v>
      </c>
      <c r="B219" s="16"/>
      <c r="C219" s="26"/>
      <c r="D219" s="26"/>
      <c r="E219" s="8"/>
      <c r="F219" s="8"/>
      <c r="G219" s="8"/>
      <c r="H219" s="8"/>
      <c r="I219" s="8"/>
      <c r="J219" s="8"/>
      <c r="K219" s="26"/>
      <c r="L219" s="26"/>
      <c r="N219" s="1"/>
      <c r="O219" s="26"/>
      <c r="P219" s="26"/>
      <c r="Q219" s="26"/>
    </row>
    <row r="220" spans="1:54">
      <c r="A220" s="7" t="s">
        <v>4</v>
      </c>
      <c r="B220" s="11">
        <f>AVERAGE(B190:B213)</f>
        <v>63.445833333333347</v>
      </c>
      <c r="C220" s="11">
        <f>AVERAGE(C190:C213)</f>
        <v>3.1508333333333329</v>
      </c>
      <c r="D220" s="11">
        <f>AVERAGE(D190:D213)</f>
        <v>62.898750000000007</v>
      </c>
      <c r="E220" s="11">
        <f>AVERAGE(E190:E213)</f>
        <v>13.63125</v>
      </c>
      <c r="F220" s="8"/>
      <c r="G220" s="8"/>
      <c r="H220" s="8"/>
      <c r="I220" s="11"/>
      <c r="J220" s="11"/>
      <c r="K220" s="11"/>
      <c r="L220" s="11"/>
      <c r="N220" s="1"/>
      <c r="O220" s="26"/>
      <c r="P220" s="26"/>
      <c r="Q220" s="26"/>
    </row>
    <row r="221" spans="1:54">
      <c r="A221" s="12" t="s">
        <v>10</v>
      </c>
      <c r="B221" s="8">
        <f>STDEV(B190:B213)</f>
        <v>7.6092609003288691</v>
      </c>
      <c r="C221" s="26"/>
      <c r="D221" s="26"/>
      <c r="E221" s="8"/>
      <c r="F221" s="8"/>
      <c r="G221" s="8"/>
      <c r="H221" s="8"/>
      <c r="I221" s="8"/>
      <c r="J221" s="8"/>
      <c r="K221" s="8"/>
      <c r="L221" s="8"/>
      <c r="N221" s="1"/>
      <c r="O221" s="26"/>
      <c r="P221" s="26"/>
      <c r="Q221" s="26"/>
    </row>
    <row r="222" spans="1:54">
      <c r="A222" s="12" t="s">
        <v>11</v>
      </c>
      <c r="B222" s="11">
        <f>MIN(B190:B213)</f>
        <v>47.3</v>
      </c>
      <c r="C222" s="26"/>
      <c r="D222" s="26"/>
      <c r="E222" s="8"/>
      <c r="F222" s="8"/>
      <c r="G222" s="8"/>
      <c r="H222" s="8"/>
      <c r="I222" s="11"/>
      <c r="J222" s="11"/>
      <c r="K222" s="11"/>
      <c r="L222" s="11"/>
      <c r="N222" s="1"/>
      <c r="O222" s="26"/>
      <c r="P222" s="26"/>
      <c r="Q222" s="26"/>
    </row>
    <row r="223" spans="1:54">
      <c r="A223" s="12" t="s">
        <v>12</v>
      </c>
      <c r="B223" s="11">
        <f>MAX(B190:B213)</f>
        <v>80.599999999999994</v>
      </c>
      <c r="C223" s="26"/>
      <c r="D223" s="26"/>
      <c r="E223" s="8"/>
      <c r="F223" s="8"/>
      <c r="G223" s="8"/>
      <c r="H223" s="8"/>
      <c r="I223" s="11"/>
      <c r="J223" s="11"/>
      <c r="K223" s="11"/>
      <c r="L223" s="11"/>
      <c r="N223" s="1"/>
      <c r="O223" s="26"/>
      <c r="P223" s="26"/>
      <c r="Q223" s="26"/>
    </row>
    <row r="224" spans="1:54">
      <c r="A224" s="12"/>
      <c r="B224" s="11"/>
      <c r="C224" s="26"/>
      <c r="D224" s="26"/>
      <c r="E224" s="8"/>
      <c r="F224" s="8"/>
      <c r="G224" s="8"/>
      <c r="H224" s="8"/>
      <c r="I224" s="11"/>
      <c r="J224" s="11"/>
      <c r="K224" s="11"/>
      <c r="L224" s="11"/>
      <c r="N224" s="140" t="s">
        <v>206</v>
      </c>
      <c r="O224" s="26"/>
      <c r="P224" s="26"/>
      <c r="Q224" s="26"/>
    </row>
    <row r="225" spans="1:38">
      <c r="A225" s="12"/>
      <c r="B225" s="11"/>
      <c r="C225" s="26"/>
      <c r="D225" s="26"/>
      <c r="E225" s="8"/>
      <c r="F225" s="8"/>
      <c r="G225" s="8"/>
      <c r="H225" s="8"/>
      <c r="I225" s="11"/>
      <c r="J225" s="11"/>
      <c r="K225" s="11"/>
      <c r="L225" s="11"/>
      <c r="N225" s="1"/>
      <c r="O225" s="26"/>
      <c r="P225" s="26"/>
      <c r="Q225" s="26"/>
    </row>
    <row r="226" spans="1:38">
      <c r="A226" s="115" t="str">
        <f>"OLS Regression Statistics for "&amp;$B$189&amp;", 2/5/2006 8:20:25 PM"</f>
        <v>OLS Regression Statistics for Harvested Acres, 2/5/2006 8:20:25 PM</v>
      </c>
      <c r="B226"/>
      <c r="C226"/>
      <c r="D226"/>
      <c r="E226"/>
      <c r="F226"/>
      <c r="G226"/>
      <c r="H226"/>
      <c r="I226"/>
      <c r="K226" s="11"/>
      <c r="L226" s="11"/>
      <c r="N226" s="1"/>
      <c r="O226" s="26"/>
      <c r="P226" s="26"/>
      <c r="Q226" s="26"/>
    </row>
    <row r="227" spans="1:38">
      <c r="A227" s="62" t="s">
        <v>35</v>
      </c>
      <c r="B227" s="91">
        <f>INDEX(_xll.LR($B$190:$B$213,$C$190:$F$213,1,$B$242:$F$242,),4,1)</f>
        <v>32.089465721725027</v>
      </c>
      <c r="C227" s="94" t="s">
        <v>29</v>
      </c>
      <c r="D227" s="91">
        <f>FDIST(ABS($B$227),INDEX(_xll.LROBS($B$190:$B$213,$C$190:$F$213,$B$242:$F$242,),2,1),INDEX(_xll.LROBS($B$190:$B$213,$C$190:$F$213,$B$242:$F$242,),2,2))</f>
        <v>3.2804308919407108E-8</v>
      </c>
      <c r="E227" s="115" t="s">
        <v>140</v>
      </c>
      <c r="F227"/>
      <c r="G227"/>
      <c r="H227"/>
      <c r="I227"/>
      <c r="K227" s="11"/>
      <c r="L227" s="11"/>
      <c r="N227" s="1"/>
      <c r="O227" s="26"/>
      <c r="P227" s="26"/>
      <c r="Q227" s="26"/>
    </row>
    <row r="228" spans="1:38" ht="13.5">
      <c r="A228" s="62" t="s">
        <v>151</v>
      </c>
      <c r="B228" s="91">
        <f>INDEX(_xll.LR($B$190:$B$213,$C$190:$F$213,1,$B$242:$F$242,),3,2)</f>
        <v>3.0062129127780994</v>
      </c>
      <c r="C228" s="94" t="s">
        <v>36</v>
      </c>
      <c r="D228" s="91">
        <f>$B$228/AVERAGE($B$190:$B$213)*100</f>
        <v>4.7382353652508282</v>
      </c>
      <c r="E228" s="94" t="s">
        <v>35</v>
      </c>
      <c r="F228" s="91">
        <f>INDEX(_xll.LR($B$190:$B$213,$C$190:$F$213,1,),4,1)</f>
        <v>32.089465721725027</v>
      </c>
      <c r="G228"/>
      <c r="H228"/>
      <c r="I228"/>
      <c r="K228" s="11"/>
      <c r="L228" s="11"/>
      <c r="N228" s="1"/>
      <c r="O228" s="26"/>
      <c r="P228" s="26"/>
      <c r="Q228" s="26"/>
      <c r="AF228" t="s">
        <v>194</v>
      </c>
      <c r="AG228"/>
      <c r="AH228"/>
      <c r="AI228" t="str">
        <f>Sheet1!$K$244</f>
        <v>Res/Y-Hat</v>
      </c>
      <c r="AJ228" t="s">
        <v>203</v>
      </c>
      <c r="AK228"/>
      <c r="AL228"/>
    </row>
    <row r="229" spans="1:38" ht="13.5">
      <c r="A229" s="62" t="s">
        <v>141</v>
      </c>
      <c r="B229" s="91">
        <f>INDEX(_xll.LR($B$190:$B$213,$C$190:$F$213,1,$B$242:$F$242,),3,1)</f>
        <v>0.87106219086128167</v>
      </c>
      <c r="C229" s="94" t="s">
        <v>67</v>
      </c>
      <c r="D229" s="91">
        <f>_xll.LRDW($B$190:$B$213,$C$190:$F$213,1,$B$242:$F$242,,,)</f>
        <v>1.7319364655479987</v>
      </c>
      <c r="E229" s="94" t="s">
        <v>141</v>
      </c>
      <c r="F229" s="91">
        <f>INDEX(_xll.LR($B$190:$B$213,$C$190:$F$213,1,),3,1)</f>
        <v>0.87106219086128167</v>
      </c>
      <c r="G229"/>
      <c r="H229"/>
      <c r="I229"/>
      <c r="N229" s="26"/>
      <c r="O229" s="26"/>
      <c r="P229" s="26"/>
      <c r="Q229" s="26"/>
      <c r="AF229"/>
      <c r="AG229" t="str">
        <f>Sheet1!$K$244</f>
        <v>Res/Y-Hat</v>
      </c>
      <c r="AH229"/>
      <c r="AI229">
        <f>SMALL(Sheet1!$K$245:$K$268,1)</f>
        <v>-7.2969603317725312E-2</v>
      </c>
      <c r="AJ229">
        <v>0</v>
      </c>
      <c r="AK229"/>
      <c r="AL229"/>
    </row>
    <row r="230" spans="1:38" ht="13.5">
      <c r="A230" s="62" t="s">
        <v>142</v>
      </c>
      <c r="B230" s="91">
        <f>INDEX(_xll.LR($B$190:$B$213,$C$190:$F$213,1,$B$242:$F$242,),3,3)</f>
        <v>0.84391738893734103</v>
      </c>
      <c r="C230" s="94" t="s">
        <v>69</v>
      </c>
      <c r="D230" s="91">
        <f>_xll.LRRHO($B$190:$B$213,$C$190:$F$213,1,$B$242:$F$242,,,)</f>
        <v>8.5811824142470239E-2</v>
      </c>
      <c r="E230" s="94" t="s">
        <v>142</v>
      </c>
      <c r="F230" s="91">
        <f>INDEX(_xll.LR($B$190:$B$213,$C$190:$F$213,1,),3,3)</f>
        <v>0.84391738893734103</v>
      </c>
      <c r="G230"/>
      <c r="H230"/>
      <c r="I230"/>
      <c r="N230" s="1"/>
      <c r="O230" s="1"/>
      <c r="P230" s="1"/>
      <c r="Q230" s="1"/>
      <c r="R230" s="1"/>
      <c r="AF230" t="s">
        <v>195</v>
      </c>
      <c r="AG230">
        <f>MIN(Sheet1!$K$245:$K$268)</f>
        <v>-7.2969603317725312E-2</v>
      </c>
      <c r="AH230"/>
      <c r="AI230">
        <f>SMALL(Sheet1!$K$245:$K$268,2)</f>
        <v>-6.4995851014920211E-2</v>
      </c>
      <c r="AJ230">
        <f>1/(COUNT(Sheet1!$K$245:$K$268)-1)+$AJ$229</f>
        <v>4.3478260869565216E-2</v>
      </c>
      <c r="AK230"/>
      <c r="AL230"/>
    </row>
    <row r="231" spans="1:38">
      <c r="A231" s="62" t="s">
        <v>143</v>
      </c>
      <c r="B231" s="91">
        <f>_xll.LRAIC($B$190:$B$213,$C$190:$F$213,1,$B$242:$F$242,,,)</f>
        <v>2.3010807183318418</v>
      </c>
      <c r="C231" s="94" t="s">
        <v>68</v>
      </c>
      <c r="D231" s="91">
        <f>_xll.LRGQ($B$190:$B$213,$C$190:$F$213,1,$B$242:$F$242,,,)</f>
        <v>2.070251899970776</v>
      </c>
      <c r="E231" s="62" t="s">
        <v>143</v>
      </c>
      <c r="F231" s="91">
        <f>_xll.LRAIC($B$190:$B$213,$C$190:$F$213,1,,,,)</f>
        <v>2.3010807183318418</v>
      </c>
      <c r="G231"/>
      <c r="H231"/>
      <c r="I231"/>
      <c r="N231" s="1"/>
      <c r="O231" s="1"/>
      <c r="P231" s="1"/>
      <c r="Q231" s="1"/>
      <c r="R231" s="1"/>
      <c r="AF231" t="s">
        <v>196</v>
      </c>
      <c r="AG231">
        <f>MAX(Sheet1!$K$245:$K$268)</f>
        <v>7.9387409838383202E-2</v>
      </c>
      <c r="AH231"/>
      <c r="AI231">
        <f>SMALL(Sheet1!$K$245:$K$268,3)</f>
        <v>-5.1373048083955146E-2</v>
      </c>
      <c r="AJ231">
        <f>1/(COUNT(Sheet1!$K$245:$K$268)-1)+$AJ$230</f>
        <v>8.6956521739130432E-2</v>
      </c>
      <c r="AK231"/>
      <c r="AL231"/>
    </row>
    <row r="232" spans="1:38" ht="12.75" thickBot="1">
      <c r="A232" s="62" t="s">
        <v>144</v>
      </c>
      <c r="B232" s="91">
        <f>_xll.LRSIC($B$190:$B$213,$C$190:$F$213,1,$B$242:$F$242,,,)</f>
        <v>2.4974230233898327</v>
      </c>
      <c r="C232" s="94"/>
      <c r="D232" s="91"/>
      <c r="E232" s="94" t="s">
        <v>144</v>
      </c>
      <c r="F232" s="91">
        <f>_xll.LRSIC($B$190:$B$213,$C$190:$F$213,1,,,,)</f>
        <v>2.4974230233898327</v>
      </c>
      <c r="G232"/>
      <c r="H232"/>
      <c r="I232"/>
      <c r="N232" s="1"/>
      <c r="O232" s="1"/>
      <c r="P232" s="1"/>
      <c r="Q232" s="1"/>
      <c r="R232" s="1"/>
      <c r="AF232" t="s">
        <v>197</v>
      </c>
      <c r="AG232">
        <f>_xll.BANDWIDTH(Sheet1!$K$245:$K$268)</f>
        <v>2.1949988380941258E-2</v>
      </c>
      <c r="AH232"/>
      <c r="AI232">
        <f>SMALL(Sheet1!$K$245:$K$268,4)</f>
        <v>-4.9139215629742716E-2</v>
      </c>
      <c r="AJ232">
        <f>1/(COUNT(Sheet1!$K$245:$K$268)-1)+$AJ$231</f>
        <v>0.13043478260869565</v>
      </c>
      <c r="AK232"/>
      <c r="AL232"/>
    </row>
    <row r="233" spans="1:38">
      <c r="A233" s="117">
        <v>0.95</v>
      </c>
      <c r="B233" s="63" t="s">
        <v>13</v>
      </c>
      <c r="C233" s="63" t="str">
        <f>$C$189</f>
        <v>Price t-1</v>
      </c>
      <c r="D233" s="63" t="str">
        <f>$D$189</f>
        <v>acres t-1</v>
      </c>
      <c r="E233" s="63" t="str">
        <f>$E$189</f>
        <v>acres idled+crp</v>
      </c>
      <c r="F233" s="63" t="str">
        <f>$F$189</f>
        <v>Trend</v>
      </c>
      <c r="G233"/>
      <c r="H233"/>
      <c r="I233"/>
      <c r="N233" s="1"/>
      <c r="O233" s="1"/>
      <c r="P233" s="1"/>
      <c r="Q233" s="1"/>
      <c r="R233" s="1"/>
      <c r="AF233" t="s">
        <v>198</v>
      </c>
      <c r="AG233" t="s">
        <v>202</v>
      </c>
      <c r="AH233"/>
      <c r="AI233">
        <f>SMALL(Sheet1!$K$245:$K$268,5)</f>
        <v>-4.4682846616811246E-2</v>
      </c>
      <c r="AJ233">
        <f>1/(COUNT(Sheet1!$K$245:$K$268)-1)+$AJ$232</f>
        <v>0.17391304347826086</v>
      </c>
      <c r="AK233"/>
      <c r="AL233"/>
    </row>
    <row r="234" spans="1:38">
      <c r="A234" s="62" t="s">
        <v>37</v>
      </c>
      <c r="B234" s="91">
        <f t="array" ref="B234:F235">_xll.LR($B$190:$B$213,$C$190:$F$213,1,$B$242:$F$242,)</f>
        <v>30.92200350248595</v>
      </c>
      <c r="C234" s="91">
        <v>5.5354656041560304</v>
      </c>
      <c r="D234" s="91">
        <v>0.29427975657975003</v>
      </c>
      <c r="E234" s="91">
        <v>-0.3184976661498311</v>
      </c>
      <c r="F234" s="91">
        <v>7.313542098295045E-2</v>
      </c>
      <c r="G234"/>
      <c r="H234"/>
      <c r="I234"/>
      <c r="N234" s="1"/>
      <c r="O234" s="1"/>
      <c r="P234" s="1"/>
      <c r="Q234" s="1"/>
      <c r="R234" s="1"/>
      <c r="AF234" t="s">
        <v>199</v>
      </c>
      <c r="AG234" s="142">
        <v>0.95</v>
      </c>
      <c r="AH234"/>
      <c r="AI234">
        <f>SMALL(Sheet1!$K$245:$K$268,6)</f>
        <v>-3.4352397831585273E-2</v>
      </c>
      <c r="AJ234">
        <f>1/(COUNT(Sheet1!$K$245:$K$268)-1)+$AJ$233</f>
        <v>0.21739130434782608</v>
      </c>
      <c r="AK234"/>
      <c r="AL234"/>
    </row>
    <row r="235" spans="1:38">
      <c r="A235" s="62" t="s">
        <v>30</v>
      </c>
      <c r="B235" s="91">
        <v>5.2932137218012336</v>
      </c>
      <c r="C235" s="91">
        <v>1.2232347865265103</v>
      </c>
      <c r="D235" s="91">
        <v>8.494986523350033E-2</v>
      </c>
      <c r="E235" s="91">
        <v>9.3942816903039322E-2</v>
      </c>
      <c r="F235" s="91">
        <v>0.12848369644014981</v>
      </c>
      <c r="G235"/>
      <c r="H235"/>
      <c r="I235"/>
      <c r="N235" s="1"/>
      <c r="O235" s="1"/>
      <c r="P235" s="1"/>
      <c r="Q235" s="1"/>
      <c r="R235" s="1"/>
      <c r="AF235" t="s">
        <v>200</v>
      </c>
      <c r="AG235" s="91">
        <f>_xll.QUANTILE(Sheet1!$K$245:$K$268,(1-$AG$234)/2)</f>
        <v>-7.2172228087444792E-2</v>
      </c>
      <c r="AH235" s="91">
        <f>_xll.PDENSITY($AG$235,Sheet1!$K$245:$K$268,$AG$232,$AG$233,0)</f>
        <v>3.0347843379028143</v>
      </c>
      <c r="AI235">
        <f>SMALL(Sheet1!$K$245:$K$268,7)</f>
        <v>-1.9432736974501687E-2</v>
      </c>
      <c r="AJ235">
        <f>1/(COUNT(Sheet1!$K$245:$K$268)-1)+$AJ$234</f>
        <v>0.2608695652173913</v>
      </c>
      <c r="AK235"/>
      <c r="AL235"/>
    </row>
    <row r="236" spans="1:38">
      <c r="A236" s="62" t="s">
        <v>70</v>
      </c>
      <c r="B236" s="91">
        <f>IF($B$235=0,0,$B$234/$B$235)</f>
        <v>5.8418203246030025</v>
      </c>
      <c r="C236" s="91">
        <f>IF($C$235=0,0,$C$234/$C$235)</f>
        <v>4.5252683010058137</v>
      </c>
      <c r="D236" s="91">
        <f>IF($D$235=0,0,$D$234/$D$235)</f>
        <v>3.4641580156821674</v>
      </c>
      <c r="E236" s="91">
        <f>IF($E$235=0,0,$E$234/$E$235)</f>
        <v>-3.3903354897113669</v>
      </c>
      <c r="F236" s="91">
        <f>IF($F$235=0,0,$F$234/$F$235)</f>
        <v>0.56921946526513845</v>
      </c>
      <c r="G236"/>
      <c r="H236"/>
      <c r="I236"/>
      <c r="N236" s="1"/>
      <c r="O236" s="1"/>
      <c r="P236" s="1"/>
      <c r="Q236" s="1"/>
      <c r="R236" s="1"/>
      <c r="AF236" t="s">
        <v>23</v>
      </c>
      <c r="AG236" s="91">
        <f>AVERAGE(Sheet1!$K$245:$K$268)</f>
        <v>2.4098910304211989E-4</v>
      </c>
      <c r="AH236" s="91">
        <f>_xll.PDENSITY($AG$236,Sheet1!$K$245:$K$268,$AG$232,$AG$233,0)</f>
        <v>8.4481968823988467</v>
      </c>
      <c r="AI236">
        <f>SMALL(Sheet1!$K$245:$K$268,8)</f>
        <v>-1.5384458492429613E-2</v>
      </c>
      <c r="AJ236">
        <f>1/(COUNT(Sheet1!$K$245:$K$268)-1)+$AJ$235</f>
        <v>0.30434782608695654</v>
      </c>
      <c r="AK236"/>
      <c r="AL236"/>
    </row>
    <row r="237" spans="1:38">
      <c r="A237" s="62" t="s">
        <v>71</v>
      </c>
      <c r="B237" s="91">
        <f>TDIST(ABS($B$236),INDEX(_xll.LROBS($B$190:$B$213,$C$190:$F$213,$B$242:$F$242,),2,2),2)</f>
        <v>1.2581717436420089E-5</v>
      </c>
      <c r="C237" s="91">
        <f>TDIST(ABS($C$236),INDEX(_xll.LROBS($B$190:$B$213,$C$190:$F$213,$B$242:$F$242,),2,2),2)</f>
        <v>2.3152535893122467E-4</v>
      </c>
      <c r="D237" s="91">
        <f>TDIST(ABS($D$236),INDEX(_xll.LROBS($B$190:$B$213,$C$190:$F$213,$B$242:$F$242,),2,2),2)</f>
        <v>2.5982052495913781E-3</v>
      </c>
      <c r="E237" s="91">
        <f>TDIST(ABS($E$236),INDEX(_xll.LROBS($B$190:$B$213,$C$190:$F$213,$B$242:$F$242,),2,2),2)</f>
        <v>3.0708544941719907E-3</v>
      </c>
      <c r="F237" s="91">
        <f>TDIST(ABS($F$236),INDEX(_xll.LROBS($B$190:$B$213,$C$190:$F$213,$B$242:$F$242,),2,2),2)</f>
        <v>0.57587534918055039</v>
      </c>
      <c r="G237"/>
      <c r="H237"/>
      <c r="I237"/>
      <c r="N237" s="1"/>
      <c r="O237" s="1"/>
      <c r="P237" s="1"/>
      <c r="Q237" s="1"/>
      <c r="R237" s="1"/>
      <c r="AF237" t="s">
        <v>201</v>
      </c>
      <c r="AG237" s="91">
        <f>_xll.QUANTILE(Sheet1!$K$245:$K$268,1-(1-$AG$234)/2)</f>
        <v>7.7449372928260415E-2</v>
      </c>
      <c r="AH237" s="91">
        <f>_xll.PDENSITY($AG$237,Sheet1!$K$245:$K$268,$AG$232,$AG$233,0)</f>
        <v>2.6171019586801703</v>
      </c>
      <c r="AI237">
        <f>SMALL(Sheet1!$K$245:$K$268,9)</f>
        <v>-9.5907881462592506E-3</v>
      </c>
      <c r="AJ237">
        <f>1/(COUNT(Sheet1!$K$245:$K$268)-1)+$AJ$236</f>
        <v>0.34782608695652173</v>
      </c>
      <c r="AK237"/>
      <c r="AL237"/>
    </row>
    <row r="238" spans="1:38">
      <c r="A238" s="62" t="s">
        <v>72</v>
      </c>
      <c r="B238" s="91"/>
      <c r="C238" s="91">
        <f>$C$234*AVERAGE($C$190:$C$213)/AVERAGE($B$190:$B$213)</f>
        <v>0.27490110263760348</v>
      </c>
      <c r="D238" s="91">
        <f>$D$234*AVERAGE($D$190:$D$213)/AVERAGE($B$190:$B$213)</f>
        <v>0.29174222902744679</v>
      </c>
      <c r="E238" s="91">
        <f>$E$234*AVERAGE($E$190:$E$213)/AVERAGE($B$190:$B$213)</f>
        <v>-6.8428785368698508E-2</v>
      </c>
      <c r="F238" s="91">
        <f>$F$234*AVERAGE($F$190:$F$213)/AVERAGE($B$190:$B$213)</f>
        <v>1.4409027579224489E-2</v>
      </c>
      <c r="G238"/>
      <c r="H238"/>
      <c r="I238"/>
      <c r="N238" s="1"/>
      <c r="O238" s="1"/>
      <c r="P238" s="1"/>
      <c r="Q238" s="1"/>
      <c r="R238" s="1"/>
      <c r="AF238">
        <v>1</v>
      </c>
      <c r="AG238" s="91">
        <f>$AG$230</f>
        <v>-7.2969603317725312E-2</v>
      </c>
      <c r="AH238" s="91">
        <f>_xll.PDENSITY($AG$238,Sheet1!$K$245:$K$268,$AG$232,$AG$233,0)</f>
        <v>2.9554174640141921</v>
      </c>
      <c r="AI238">
        <f>SMALL(Sheet1!$K$245:$K$268,10)</f>
        <v>-8.6851027952619172E-3</v>
      </c>
      <c r="AJ238">
        <f>1/(COUNT(Sheet1!$K$245:$K$268)-1)+$AJ$237</f>
        <v>0.39130434782608692</v>
      </c>
      <c r="AK238"/>
      <c r="AL238"/>
    </row>
    <row r="239" spans="1:38">
      <c r="A239" s="62" t="s">
        <v>145</v>
      </c>
      <c r="B239" s="91"/>
      <c r="C239" s="91">
        <f>_xll.LRVIF($B$190:$B$213,$C$190:$F$213,1,1,$B$242:$F$242,,,)</f>
        <v>1.8905021963173148</v>
      </c>
      <c r="D239" s="91">
        <f>_xll.LRVIF($B$190:$B$213,$C$190:$F$213,2,1,$B$242:$F$242,,,)</f>
        <v>1.252368975630481</v>
      </c>
      <c r="E239" s="91">
        <f>_xll.LRVIF($B$190:$B$213,$C$190:$F$213,3,1,$B$242:$F$242,,,)</f>
        <v>2.3433657994750412</v>
      </c>
      <c r="F239" s="91">
        <f>_xll.LRVIF($B$190:$B$213,$C$190:$F$213,4,1,$B$242:$F$242,,,)</f>
        <v>2.1006534602651974</v>
      </c>
      <c r="G239"/>
      <c r="H239"/>
      <c r="I239"/>
      <c r="N239" s="1"/>
      <c r="O239" s="1"/>
      <c r="P239" s="1"/>
      <c r="Q239" s="1"/>
      <c r="R239" s="1"/>
      <c r="AF239">
        <v>2</v>
      </c>
      <c r="AG239" s="91">
        <f t="shared" ref="AG239:AG270" si="13">1/99*($AG$231-$AG$230)+AG238</f>
        <v>-7.1430643588875728E-2</v>
      </c>
      <c r="AH239" s="91">
        <f>_xll.PDENSITY($AG$239,Sheet1!$K$245:$K$268,$AG$232,$AG$233,0)</f>
        <v>3.1084994197499323</v>
      </c>
      <c r="AI239">
        <f>SMALL(Sheet1!$K$245:$K$268,11)</f>
        <v>-6.8779874437918812E-3</v>
      </c>
      <c r="AJ239">
        <f>1/(COUNT(Sheet1!$K$245:$K$268)-1)+$AJ$238</f>
        <v>0.43478260869565211</v>
      </c>
      <c r="AK239"/>
      <c r="AL239"/>
    </row>
    <row r="240" spans="1:38">
      <c r="A240" s="62" t="s">
        <v>146</v>
      </c>
      <c r="B240" s="91"/>
      <c r="C240" s="91">
        <f>_xll.LRPARTCORR($B$190:$B$213,$C$190:$F$213,1,,$B$242:$F$242,)</f>
        <v>0.72022214296001075</v>
      </c>
      <c r="D240" s="91">
        <f>_xll.LRPARTCORR($B$190:$B$213,$C$190:$F$213,2,,$B$242:$F$242,)</f>
        <v>0.62217722538922171</v>
      </c>
      <c r="E240" s="91">
        <f>_xll.LRPARTCORR($B$190:$B$213,$C$190:$F$213,3,,$B$242:$F$242,)</f>
        <v>-0.6139497253074655</v>
      </c>
      <c r="F240" s="91">
        <f>_xll.LRPARTCORR($B$190:$B$213,$C$190:$F$213,4,,$B$242:$F$242,)</f>
        <v>0.12948847233169516</v>
      </c>
      <c r="G240"/>
      <c r="H240"/>
      <c r="I240"/>
      <c r="N240" s="1"/>
      <c r="O240" s="1"/>
      <c r="P240" s="1"/>
      <c r="Q240" s="1"/>
      <c r="R240" s="1"/>
      <c r="AF240">
        <v>3</v>
      </c>
      <c r="AG240" s="91">
        <f t="shared" si="13"/>
        <v>-6.9891683860026144E-2</v>
      </c>
      <c r="AH240" s="91">
        <f>_xll.PDENSITY($AG$240,Sheet1!$K$245:$K$268,$AG$232,$AG$233,0)</f>
        <v>3.2609165049648388</v>
      </c>
      <c r="AI240">
        <f>SMALL(Sheet1!$K$245:$K$268,12)</f>
        <v>-6.5992695435209657E-3</v>
      </c>
      <c r="AJ240">
        <f>1/(COUNT(Sheet1!$K$245:$K$268)-1)+$AJ$239</f>
        <v>0.47826086956521729</v>
      </c>
      <c r="AK240"/>
      <c r="AL240"/>
    </row>
    <row r="241" spans="1:38" ht="12.75" thickBot="1">
      <c r="A241" s="55" t="s">
        <v>147</v>
      </c>
      <c r="B241" s="19"/>
      <c r="C241" s="19">
        <f>_xll.LRSEMICORR($B$190:$B$213,$C$190:$F$213,1,,$B$242:$F$242,)</f>
        <v>0.37278435381454594</v>
      </c>
      <c r="D241" s="19">
        <f>_xll.LRSEMICORR($B$190:$B$213,$C$190:$F$213,2,,$B$242:$F$242,)</f>
        <v>0.28537178825410703</v>
      </c>
      <c r="E241" s="19">
        <f>_xll.LRSEMICORR($B$190:$B$213,$C$190:$F$213,3,,$B$242:$F$242,)</f>
        <v>-0.27929040681756828</v>
      </c>
      <c r="F241" s="19">
        <f>_xll.LRSEMICORR($B$190:$B$213,$C$190:$F$213,4,,$B$242:$F$242,)</f>
        <v>4.6891387741668129E-2</v>
      </c>
      <c r="G241"/>
      <c r="H241"/>
      <c r="I241"/>
      <c r="N241" s="1"/>
      <c r="O241" s="1"/>
      <c r="P241" s="1"/>
      <c r="Q241" s="1"/>
      <c r="R241" s="1"/>
      <c r="AF241">
        <v>4</v>
      </c>
      <c r="AG241" s="91">
        <f t="shared" si="13"/>
        <v>-6.8352724131176559E-2</v>
      </c>
      <c r="AH241" s="91">
        <f>_xll.PDENSITY($AG$241,Sheet1!$K$245:$K$268,$AG$232,$AG$233,0)</f>
        <v>3.4121831723554217</v>
      </c>
      <c r="AI241">
        <f>SMALL(Sheet1!$K$245:$K$268,13)</f>
        <v>-4.1649820852510139E-3</v>
      </c>
      <c r="AJ241">
        <f>1/(COUNT(Sheet1!$K$245:$K$268)-1)+$AJ$240</f>
        <v>0.52173913043478248</v>
      </c>
      <c r="AK241"/>
      <c r="AL241"/>
    </row>
    <row r="242" spans="1:38" ht="12.75" thickBot="1">
      <c r="A242" s="119" t="s">
        <v>148</v>
      </c>
      <c r="B242" s="120"/>
      <c r="C242" s="120"/>
      <c r="D242" s="120"/>
      <c r="E242" s="120"/>
      <c r="F242" s="120"/>
      <c r="G242"/>
      <c r="H242"/>
      <c r="I242"/>
      <c r="N242" s="1"/>
      <c r="O242" s="1"/>
      <c r="P242" s="1"/>
      <c r="Q242" s="1"/>
      <c r="R242" s="1"/>
      <c r="AF242">
        <v>5</v>
      </c>
      <c r="AG242" s="91">
        <f t="shared" si="13"/>
        <v>-6.6813764402326975E-2</v>
      </c>
      <c r="AH242" s="91">
        <f>_xll.PDENSITY($AG$242,Sheet1!$K$245:$K$268,$AG$232,$AG$233,0)</f>
        <v>3.5618727026803643</v>
      </c>
      <c r="AI242">
        <f>SMALL(Sheet1!$K$245:$K$268,14)</f>
        <v>1.5105429182600842E-3</v>
      </c>
      <c r="AJ242">
        <f>1/(COUNT(Sheet1!$K$245:$K$268)-1)+$AJ$241</f>
        <v>0.56521739130434767</v>
      </c>
      <c r="AK242"/>
      <c r="AL242"/>
    </row>
    <row r="243" spans="1:38">
      <c r="A243" s="62" t="s">
        <v>138</v>
      </c>
      <c r="B243">
        <f t="array" ref="B243">STDEVP(IF(ISNUMBER($C$245:$C$268),$C$245:$C$268,""))</f>
        <v>2.6747975426665622</v>
      </c>
      <c r="C243" s="62" t="s">
        <v>139</v>
      </c>
      <c r="D243">
        <f>_xll.MAPE($C$245:$C$268,$B$190:$B$213)</f>
        <v>3.2618677966339256</v>
      </c>
      <c r="E243" s="62"/>
      <c r="F243" s="62" t="s">
        <v>149</v>
      </c>
      <c r="G243" s="62" t="s">
        <v>150</v>
      </c>
      <c r="H243" s="62" t="s">
        <v>149</v>
      </c>
      <c r="I243" s="62" t="s">
        <v>150</v>
      </c>
      <c r="N243" s="1"/>
      <c r="O243" s="1"/>
      <c r="P243" s="1"/>
      <c r="Q243" s="1"/>
      <c r="R243" s="1"/>
      <c r="AF243">
        <v>6</v>
      </c>
      <c r="AG243" s="91">
        <f t="shared" si="13"/>
        <v>-6.5274804673477391E-2</v>
      </c>
      <c r="AH243" s="91">
        <f>_xll.PDENSITY($AG$243,Sheet1!$K$245:$K$268,$AG$232,$AG$233,0)</f>
        <v>3.7096279560914729</v>
      </c>
      <c r="AI243">
        <f>SMALL(Sheet1!$K$245:$K$268,15)</f>
        <v>4.5030170421021757E-3</v>
      </c>
      <c r="AJ243">
        <f>1/(COUNT(Sheet1!$K$245:$K$268)-1)+$AJ$242</f>
        <v>0.60869565217391286</v>
      </c>
      <c r="AK243"/>
      <c r="AL243"/>
    </row>
    <row r="244" spans="1:38">
      <c r="A244" s="62" t="str">
        <f>"Actual "&amp;Sheet1!$B$189</f>
        <v>Actual Harvested Acres</v>
      </c>
      <c r="B244" s="62" t="str">
        <f>"Predicted "&amp;Sheet1!$B$189</f>
        <v>Predicted Harvested Acres</v>
      </c>
      <c r="C244" s="62" t="s">
        <v>46</v>
      </c>
      <c r="D244" s="62" t="str">
        <f>"SE Mean Predicted "&amp;$B$189</f>
        <v>SE Mean Predicted Harvested Acres</v>
      </c>
      <c r="E244" s="62" t="str">
        <f>"SE Predicted "&amp;$B$189</f>
        <v>SE Predicted Harvested Acres</v>
      </c>
      <c r="F244" s="62" t="str">
        <f>TEXT($A$233,"0%")&amp;" Conf. Interval"</f>
        <v>95% Conf. Interval</v>
      </c>
      <c r="G244" s="62" t="str">
        <f>TEXT($A$233,"0%")&amp;" Conf. Interval"</f>
        <v>95% Conf. Interval</v>
      </c>
      <c r="H244" s="62" t="str">
        <f>TEXT($A$233,"0%")&amp;" Predict. Interval"</f>
        <v>95% Predict. Interval</v>
      </c>
      <c r="I244" s="62" t="str">
        <f>TEXT($A$233,"0%")&amp;" Predict. Interval"</f>
        <v>95% Predict. Interval</v>
      </c>
      <c r="K244" s="140" t="s">
        <v>193</v>
      </c>
      <c r="N244" s="1"/>
      <c r="O244" s="1"/>
      <c r="P244" s="1"/>
      <c r="Q244" s="1"/>
      <c r="R244" s="1"/>
      <c r="AF244">
        <v>7</v>
      </c>
      <c r="AG244" s="91">
        <f t="shared" si="13"/>
        <v>-6.3735844944627806E-2</v>
      </c>
      <c r="AH244" s="91">
        <f>_xll.PDENSITY($AG$244,Sheet1!$K$245:$K$268,$AG$232,$AG$233,0)</f>
        <v>3.8551708438232142</v>
      </c>
      <c r="AI244">
        <f>SMALL(Sheet1!$K$245:$K$268,16)</f>
        <v>9.3483355412591219E-3</v>
      </c>
      <c r="AJ244">
        <f>1/(COUNT(Sheet1!$K$245:$K$268)-1)+$AJ$243</f>
        <v>0.65217391304347805</v>
      </c>
      <c r="AK244"/>
      <c r="AL244"/>
    </row>
    <row r="245" spans="1:38">
      <c r="A245" s="106">
        <f t="array" ref="A245:A268">IF($B$190:$B$213="",NA(),$B$190:$B$213)</f>
        <v>47.3</v>
      </c>
      <c r="B245" s="109">
        <f t="array" ref="B245:C272">IF(_xll.LRCHK($B$190:$B$213,$C$190:$F$217,1,$B$242:$F$242)="",NA(),_xll.LRRESID($B$190:$B$213,$C$190:$F$217,1,$B$242:$F$242))</f>
        <v>45.990916731469184</v>
      </c>
      <c r="C245" s="110">
        <v>1.3090832685308129</v>
      </c>
      <c r="D245" s="109">
        <f t="array" ref="D245:D272">$B$228*(_xll.LRDHATMAT($B$190:$B$213,$C$190:$F$217,$B$242:$F$242,))^0.5</f>
        <v>1.9890407698615875</v>
      </c>
      <c r="E245" s="92">
        <f t="array" ref="E245:E272">($D$245:$D$272^2+$B$228^2)^0.5</f>
        <v>3.6046635434011538</v>
      </c>
      <c r="F245" s="92">
        <f t="array" ref="F245:F272">IF($B$245:$B$272="",NA(),$B$245:$B$272-TINV((1-$A$233),COUNT($C$245:$C$268)-COUNTIF($B$242:$F$242,"="))*($D$245:$D$272))</f>
        <v>41.827806564007048</v>
      </c>
      <c r="G245" s="92">
        <f t="array" ref="G245:G272">IF($B$245:$B$272="",NA(),$B$245:$B$272+TINV((1-$A$233),COUNT($C$245:$C$268)-COUNTIF($B$242:$F$242,"="))*($D$245:$D$272))</f>
        <v>50.15402689893132</v>
      </c>
      <c r="H245" s="92">
        <f t="array" ref="H245:H272">IF($B$245:$B$272="",NA(),$B$245:$B$272-TINV((1-$A$233),COUNT($C$245:$C$268)-COUNTIF($B$242:$F$242,"="))*$B$228*(1+($D$245:$D$272/$B$228)^2)^0.5)</f>
        <v>38.446269243495514</v>
      </c>
      <c r="I245" s="110">
        <f t="array" ref="I245:I272">IF($B$245:$B$272="",NA(),$B$245:$B$272+TINV((1-$A$233),COUNT($C$245:$C$268)-COUNTIF($B$242:$F$242,"="))*$B$228*(1+($D$245:$D$272/$B$228)^2)^0.5)</f>
        <v>53.535564219442854</v>
      </c>
      <c r="K245" s="1">
        <f>C245/B245</f>
        <v>2.8463952483797208E-2</v>
      </c>
      <c r="N245" s="1"/>
      <c r="O245" s="1"/>
      <c r="P245" s="1"/>
      <c r="Q245" s="1"/>
      <c r="R245" s="1"/>
      <c r="AF245">
        <v>8</v>
      </c>
      <c r="AG245" s="91">
        <f t="shared" si="13"/>
        <v>-6.2196885215778222E-2</v>
      </c>
      <c r="AH245" s="91">
        <f>_xll.PDENSITY($AG$245,Sheet1!$K$245:$K$268,$AG$232,$AG$233,0)</f>
        <v>3.9983101533644967</v>
      </c>
      <c r="AI245">
        <f>SMALL(Sheet1!$K$245:$K$268,17)</f>
        <v>2.7323320392305069E-2</v>
      </c>
      <c r="AJ245">
        <f>1/(COUNT(Sheet1!$K$245:$K$268)-1)+$AJ$244</f>
        <v>0.69565217391304324</v>
      </c>
      <c r="AK245"/>
      <c r="AL245"/>
    </row>
    <row r="246" spans="1:38">
      <c r="A246" s="107">
        <v>54.1</v>
      </c>
      <c r="B246" s="111">
        <v>52.382798494464382</v>
      </c>
      <c r="C246" s="112">
        <v>1.7172015055356198</v>
      </c>
      <c r="D246" s="111">
        <v>1.7740474739834142</v>
      </c>
      <c r="E246" s="43">
        <v>3.4906389840401308</v>
      </c>
      <c r="F246" s="43">
        <v>48.669674465832827</v>
      </c>
      <c r="G246" s="43">
        <v>56.095922523095936</v>
      </c>
      <c r="H246" s="43">
        <v>45.076807151507438</v>
      </c>
      <c r="I246" s="112">
        <v>59.688789837421325</v>
      </c>
      <c r="K246" s="1">
        <f t="shared" ref="K246:K268" si="14">C246/B246</f>
        <v>3.2781782472295504E-2</v>
      </c>
      <c r="N246" s="1"/>
      <c r="O246" s="1"/>
      <c r="P246" s="1"/>
      <c r="Q246" s="1"/>
      <c r="R246" s="1"/>
      <c r="AF246">
        <v>9</v>
      </c>
      <c r="AG246" s="91">
        <f t="shared" si="13"/>
        <v>-6.0657925486928638E-2</v>
      </c>
      <c r="AH246" s="91">
        <f>_xll.PDENSITY($AG$246,Sheet1!$K$245:$K$268,$AG$232,$AG$233,0)</f>
        <v>4.1389473707345035</v>
      </c>
      <c r="AI246">
        <f>SMALL(Sheet1!$K$245:$K$268,18)</f>
        <v>2.8463952483797208E-2</v>
      </c>
      <c r="AJ246">
        <f>1/(COUNT(Sheet1!$K$245:$K$268)-1)+$AJ$245</f>
        <v>0.73913043478260843</v>
      </c>
      <c r="AK246"/>
      <c r="AL246"/>
    </row>
    <row r="247" spans="1:38">
      <c r="A247" s="107">
        <v>65.400000000000006</v>
      </c>
      <c r="B247" s="111">
        <v>68.941747720644585</v>
      </c>
      <c r="C247" s="112">
        <v>-3.5417477206445795</v>
      </c>
      <c r="D247" s="111">
        <v>1.7412769245279456</v>
      </c>
      <c r="E247" s="43">
        <v>3.4740986463897778</v>
      </c>
      <c r="F247" s="43">
        <v>65.297213240150285</v>
      </c>
      <c r="G247" s="43">
        <v>72.586282201138886</v>
      </c>
      <c r="H247" s="43">
        <v>61.670375702182554</v>
      </c>
      <c r="I247" s="112">
        <v>76.213119739106617</v>
      </c>
      <c r="K247" s="1">
        <f t="shared" si="14"/>
        <v>-5.1373048083955146E-2</v>
      </c>
      <c r="N247" s="1"/>
      <c r="O247" s="1"/>
      <c r="P247" s="1"/>
      <c r="Q247" s="1"/>
      <c r="R247" s="1"/>
      <c r="AF247">
        <v>10</v>
      </c>
      <c r="AG247" s="91">
        <f t="shared" si="13"/>
        <v>-5.9118965758079053E-2</v>
      </c>
      <c r="AH247" s="91">
        <f>_xll.PDENSITY($AG$247,Sheet1!$K$245:$K$268,$AG$232,$AG$233,0)</f>
        <v>4.2770801665650966</v>
      </c>
      <c r="AI247">
        <f>SMALL(Sheet1!$K$245:$K$268,19)</f>
        <v>3.2781782472295504E-2</v>
      </c>
      <c r="AJ247">
        <f>1/(COUNT(Sheet1!$K$245:$K$268)-1)+$AJ$246</f>
        <v>0.78260869565217361</v>
      </c>
      <c r="AK247"/>
      <c r="AL247"/>
    </row>
    <row r="248" spans="1:38">
      <c r="A248" s="107">
        <v>69.5</v>
      </c>
      <c r="B248" s="111">
        <v>73.091667195034177</v>
      </c>
      <c r="C248" s="112">
        <v>-3.5916671950341765</v>
      </c>
      <c r="D248" s="111">
        <v>1.4092657935828696</v>
      </c>
      <c r="E248" s="43">
        <v>3.3201424900019787</v>
      </c>
      <c r="F248" s="43">
        <v>70.142039996427428</v>
      </c>
      <c r="G248" s="43">
        <v>76.041294393640925</v>
      </c>
      <c r="H248" s="43">
        <v>66.142529114515028</v>
      </c>
      <c r="I248" s="112">
        <v>80.040805275553325</v>
      </c>
      <c r="K248" s="1">
        <f t="shared" si="14"/>
        <v>-4.9139215629742716E-2</v>
      </c>
      <c r="N248" s="1"/>
      <c r="O248" s="1"/>
      <c r="P248" s="1"/>
      <c r="Q248" s="1"/>
      <c r="R248" s="1"/>
      <c r="AF248">
        <v>11</v>
      </c>
      <c r="AG248" s="91">
        <f t="shared" si="13"/>
        <v>-5.7580006029229469E-2</v>
      </c>
      <c r="AH248" s="91">
        <f>_xll.PDENSITY($AG$248,Sheet1!$K$245:$K$268,$AG$232,$AG$233,0)</f>
        <v>4.4128032495964646</v>
      </c>
      <c r="AI248">
        <f>SMALL(Sheet1!$K$245:$K$268,20)</f>
        <v>4.0986434282278481E-2</v>
      </c>
      <c r="AJ248">
        <f>1/(COUNT(Sheet1!$K$245:$K$268)-1)+$AJ$247</f>
        <v>0.8260869565217388</v>
      </c>
      <c r="AK248"/>
      <c r="AL248"/>
    </row>
    <row r="249" spans="1:38">
      <c r="A249" s="107">
        <v>70.900000000000006</v>
      </c>
      <c r="B249" s="111">
        <v>71.391026584447246</v>
      </c>
      <c r="C249" s="112">
        <v>-0.49102658444724057</v>
      </c>
      <c r="D249" s="111">
        <v>1.1614864553937423</v>
      </c>
      <c r="E249" s="43">
        <v>3.2227886779956432</v>
      </c>
      <c r="F249" s="43">
        <v>68.960007499727467</v>
      </c>
      <c r="G249" s="43">
        <v>73.822045669167025</v>
      </c>
      <c r="H249" s="43">
        <v>64.645652373802406</v>
      </c>
      <c r="I249" s="112">
        <v>78.136400795092086</v>
      </c>
      <c r="K249" s="1">
        <f t="shared" si="14"/>
        <v>-6.8779874437918812E-3</v>
      </c>
      <c r="N249" s="1"/>
      <c r="O249" s="1"/>
      <c r="P249" s="1"/>
      <c r="Q249" s="1"/>
      <c r="R249" s="1"/>
      <c r="AF249">
        <v>12</v>
      </c>
      <c r="AG249" s="91">
        <f t="shared" si="13"/>
        <v>-5.6041046300379885E-2</v>
      </c>
      <c r="AH249" s="91">
        <f>_xll.PDENSITY($AG$249,Sheet1!$K$245:$K$268,$AG$232,$AG$233,0)</f>
        <v>4.5463063427576982</v>
      </c>
      <c r="AI249">
        <f>SMALL(Sheet1!$K$245:$K$268,21)</f>
        <v>5.232956100933623E-2</v>
      </c>
      <c r="AJ249">
        <f>1/(COUNT(Sheet1!$K$245:$K$268)-1)+$AJ$248</f>
        <v>0.86956521739130399</v>
      </c>
      <c r="AK249"/>
      <c r="AL249"/>
    </row>
    <row r="250" spans="1:38">
      <c r="A250" s="107">
        <v>66.7</v>
      </c>
      <c r="B250" s="111">
        <v>67.345900261931291</v>
      </c>
      <c r="C250" s="112">
        <v>-0.64590026193128836</v>
      </c>
      <c r="D250" s="111">
        <v>1.6142347624799323</v>
      </c>
      <c r="E250" s="43">
        <v>3.4121943006447375</v>
      </c>
      <c r="F250" s="43">
        <v>63.967268081949037</v>
      </c>
      <c r="G250" s="43">
        <v>70.724532441913539</v>
      </c>
      <c r="H250" s="43">
        <v>60.204095527904158</v>
      </c>
      <c r="I250" s="112">
        <v>74.487704995958424</v>
      </c>
      <c r="K250" s="1">
        <f t="shared" si="14"/>
        <v>-9.5907881462592506E-3</v>
      </c>
      <c r="N250" s="1"/>
      <c r="O250" s="1"/>
      <c r="P250" s="1"/>
      <c r="Q250" s="1"/>
      <c r="R250" s="1"/>
      <c r="AF250">
        <v>13</v>
      </c>
      <c r="AG250" s="91">
        <f t="shared" si="13"/>
        <v>-5.45020865715303E-2</v>
      </c>
      <c r="AH250" s="91">
        <f>_xll.PDENSITY($AG$250,Sheet1!$K$245:$K$268,$AG$232,$AG$233,0)</f>
        <v>4.6778691035181641</v>
      </c>
      <c r="AI250">
        <f>SMALL(Sheet1!$K$245:$K$268,22)</f>
        <v>5.7390629731594506E-2</v>
      </c>
      <c r="AJ250">
        <f>1/(COUNT(Sheet1!$K$245:$K$268)-1)+$AJ$249</f>
        <v>0.91304347826086918</v>
      </c>
      <c r="AK250"/>
      <c r="AL250"/>
    </row>
    <row r="251" spans="1:38">
      <c r="A251" s="107">
        <v>56.5</v>
      </c>
      <c r="B251" s="111">
        <v>60.94730032823778</v>
      </c>
      <c r="C251" s="112">
        <v>-4.4473003282377803</v>
      </c>
      <c r="D251" s="111">
        <v>1.3240634446912436</v>
      </c>
      <c r="E251" s="43">
        <v>3.2848835721409406</v>
      </c>
      <c r="F251" s="43">
        <v>58.176003694965331</v>
      </c>
      <c r="G251" s="43">
        <v>63.718596961510229</v>
      </c>
      <c r="H251" s="43">
        <v>54.071960010773637</v>
      </c>
      <c r="I251" s="112">
        <v>67.822640645701924</v>
      </c>
      <c r="K251" s="1">
        <f t="shared" si="14"/>
        <v>-7.2969603317725312E-2</v>
      </c>
      <c r="N251" s="1"/>
      <c r="O251" s="1"/>
      <c r="P251" s="1"/>
      <c r="Q251" s="1"/>
      <c r="R251" s="1"/>
      <c r="AF251">
        <v>14</v>
      </c>
      <c r="AG251" s="91">
        <f t="shared" si="13"/>
        <v>-5.2963126842680716E-2</v>
      </c>
      <c r="AH251" s="91">
        <f>_xll.PDENSITY($AG$251,Sheet1!$K$245:$K$268,$AG$232,$AG$233,0)</f>
        <v>4.8078528912650054</v>
      </c>
      <c r="AI251">
        <f>SMALL(Sheet1!$K$245:$K$268,23)</f>
        <v>6.0007040737155522E-2</v>
      </c>
      <c r="AJ251">
        <f>1/(COUNT(Sheet1!$K$245:$K$268)-1)+$AJ$250</f>
        <v>0.95652173913043437</v>
      </c>
      <c r="AK251"/>
      <c r="AL251"/>
    </row>
    <row r="252" spans="1:38">
      <c r="A252" s="107">
        <v>62.5</v>
      </c>
      <c r="B252" s="111">
        <v>61.921140402420754</v>
      </c>
      <c r="C252" s="112">
        <v>0.5788595975792461</v>
      </c>
      <c r="D252" s="111">
        <v>0.88207362307846648</v>
      </c>
      <c r="E252" s="43">
        <v>3.1329490824915363</v>
      </c>
      <c r="F252" s="43">
        <v>60.074939095574912</v>
      </c>
      <c r="G252" s="43">
        <v>63.767341709266596</v>
      </c>
      <c r="H252" s="43">
        <v>55.363802625795238</v>
      </c>
      <c r="I252" s="112">
        <v>68.478478179046263</v>
      </c>
      <c r="K252" s="1">
        <f t="shared" si="14"/>
        <v>9.3483355412591219E-3</v>
      </c>
      <c r="N252" s="1"/>
      <c r="O252" s="1"/>
      <c r="P252" s="1"/>
      <c r="Q252" s="1"/>
      <c r="R252" s="1"/>
      <c r="AF252">
        <v>15</v>
      </c>
      <c r="AG252" s="91">
        <f t="shared" si="13"/>
        <v>-5.1424167113831132E-2</v>
      </c>
      <c r="AH252" s="91">
        <f>_xll.PDENSITY($AG$252,Sheet1!$K$245:$K$268,$AG$232,$AG$233,0)</f>
        <v>4.9366893788976061</v>
      </c>
      <c r="AI252">
        <f>SMALL(Sheet1!$K$245:$K$268,24)</f>
        <v>7.9387409838383202E-2</v>
      </c>
      <c r="AJ252">
        <f>1/(COUNT(Sheet1!$K$245:$K$268)-1)+$AJ$251</f>
        <v>0.99999999999999956</v>
      </c>
      <c r="AK252"/>
      <c r="AL252"/>
    </row>
    <row r="253" spans="1:38">
      <c r="A253" s="107">
        <v>71.099999999999994</v>
      </c>
      <c r="B253" s="111">
        <v>70.99276238553081</v>
      </c>
      <c r="C253" s="112">
        <v>0.10723761446918445</v>
      </c>
      <c r="D253" s="111">
        <v>1.115930915067479</v>
      </c>
      <c r="E253" s="43">
        <v>3.2066521302063817</v>
      </c>
      <c r="F253" s="43">
        <v>68.657092142318035</v>
      </c>
      <c r="G253" s="43">
        <v>73.328432628743585</v>
      </c>
      <c r="H253" s="43">
        <v>64.28116235749053</v>
      </c>
      <c r="I253" s="112">
        <v>77.70436241357109</v>
      </c>
      <c r="K253" s="1">
        <f t="shared" si="14"/>
        <v>1.5105429182600842E-3</v>
      </c>
      <c r="N253" s="1"/>
      <c r="O253" s="1"/>
      <c r="P253" s="1"/>
      <c r="Q253" s="1"/>
      <c r="R253" s="1"/>
      <c r="AF253">
        <v>16</v>
      </c>
      <c r="AG253" s="91">
        <f t="shared" si="13"/>
        <v>-4.9885207384981547E-2</v>
      </c>
      <c r="AH253" s="91">
        <f>_xll.PDENSITY($AG$253,Sheet1!$K$245:$K$268,$AG$232,$AG$233,0)</f>
        <v>5.0648661115751068</v>
      </c>
    </row>
    <row r="254" spans="1:38">
      <c r="A254" s="107">
        <v>80.599999999999994</v>
      </c>
      <c r="B254" s="111">
        <v>74.67198455841563</v>
      </c>
      <c r="C254" s="112">
        <v>5.928015441584364</v>
      </c>
      <c r="D254" s="111">
        <v>1.2022596184771996</v>
      </c>
      <c r="E254" s="43">
        <v>3.2377066369846923</v>
      </c>
      <c r="F254" s="43">
        <v>72.155626262773524</v>
      </c>
      <c r="G254" s="43">
        <v>77.188342854057737</v>
      </c>
      <c r="H254" s="43">
        <v>67.895386700831963</v>
      </c>
      <c r="I254" s="112">
        <v>81.448582415999297</v>
      </c>
      <c r="K254" s="1">
        <f t="shared" si="14"/>
        <v>7.9387409838383202E-2</v>
      </c>
      <c r="N254" s="1"/>
      <c r="O254" s="1"/>
      <c r="P254" s="1"/>
      <c r="Q254" s="1"/>
      <c r="R254" s="1"/>
      <c r="AF254">
        <v>17</v>
      </c>
      <c r="AG254" s="91">
        <f t="shared" si="13"/>
        <v>-4.8346247656131963E-2</v>
      </c>
      <c r="AH254" s="91">
        <f>_xll.PDENSITY($AG$254,Sheet1!$K$245:$K$268,$AG$232,$AG$233,0)</f>
        <v>5.1929092296543562</v>
      </c>
    </row>
    <row r="255" spans="1:38">
      <c r="A255" s="107">
        <v>77.900000000000006</v>
      </c>
      <c r="B255" s="111">
        <v>74.026239389571685</v>
      </c>
      <c r="C255" s="112">
        <v>3.8737606104283202</v>
      </c>
      <c r="D255" s="111">
        <v>1.5420394060255012</v>
      </c>
      <c r="E255" s="43">
        <v>3.3786390169251974</v>
      </c>
      <c r="F255" s="43">
        <v>70.798713826936407</v>
      </c>
      <c r="G255" s="43">
        <v>77.253764952206964</v>
      </c>
      <c r="H255" s="43">
        <v>66.954666671369253</v>
      </c>
      <c r="I255" s="112">
        <v>81.097812107774118</v>
      </c>
      <c r="K255" s="1">
        <f t="shared" si="14"/>
        <v>5.232956100933623E-2</v>
      </c>
      <c r="N255" s="1"/>
      <c r="O255" s="1"/>
      <c r="P255" s="1"/>
      <c r="Q255" s="1"/>
      <c r="R255" s="1"/>
      <c r="AF255">
        <v>18</v>
      </c>
      <c r="AG255" s="91">
        <f t="shared" si="13"/>
        <v>-4.6807287927282379E-2</v>
      </c>
      <c r="AH255" s="91">
        <f>_xll.PDENSITY($AG$255,Sheet1!$K$245:$K$268,$AG$232,$AG$233,0)</f>
        <v>5.3213636914946205</v>
      </c>
    </row>
    <row r="256" spans="1:38">
      <c r="A256" s="107">
        <v>61.4</v>
      </c>
      <c r="B256" s="111">
        <v>64.271849178627434</v>
      </c>
      <c r="C256" s="112">
        <v>-2.8718491786274356</v>
      </c>
      <c r="D256" s="111">
        <v>2.1730728859425477</v>
      </c>
      <c r="E256" s="43">
        <v>3.7093883383345636</v>
      </c>
      <c r="F256" s="43">
        <v>59.723555366262168</v>
      </c>
      <c r="G256" s="43">
        <v>68.820142990992707</v>
      </c>
      <c r="H256" s="43">
        <v>56.508010176242024</v>
      </c>
      <c r="I256" s="112">
        <v>72.035688181012844</v>
      </c>
      <c r="K256" s="1">
        <f t="shared" si="14"/>
        <v>-4.4682846616811246E-2</v>
      </c>
      <c r="N256" s="1"/>
      <c r="O256" s="1"/>
      <c r="P256" s="1"/>
      <c r="Q256" s="1"/>
      <c r="R256" s="1"/>
      <c r="AF256">
        <v>19</v>
      </c>
      <c r="AG256" s="91">
        <f t="shared" si="13"/>
        <v>-4.5268328198432795E-2</v>
      </c>
      <c r="AH256" s="91">
        <f>_xll.PDENSITY($AG$256,Sheet1!$K$245:$K$268,$AG$232,$AG$233,0)</f>
        <v>5.4507714503886548</v>
      </c>
    </row>
    <row r="257" spans="1:34">
      <c r="A257" s="107">
        <v>66.900000000000006</v>
      </c>
      <c r="B257" s="111">
        <v>63.112788339100149</v>
      </c>
      <c r="C257" s="112">
        <v>3.7872116608998567</v>
      </c>
      <c r="D257" s="111">
        <v>1.0788469810010224</v>
      </c>
      <c r="E257" s="43">
        <v>3.1939359551138162</v>
      </c>
      <c r="F257" s="43">
        <v>60.854735661751697</v>
      </c>
      <c r="G257" s="43">
        <v>65.370841016448608</v>
      </c>
      <c r="H257" s="43">
        <v>56.427803571350765</v>
      </c>
      <c r="I257" s="112">
        <v>69.797773106849533</v>
      </c>
      <c r="K257" s="1">
        <f t="shared" si="14"/>
        <v>6.0007040737155522E-2</v>
      </c>
      <c r="N257" s="1"/>
      <c r="O257" s="1"/>
      <c r="P257" s="1"/>
      <c r="Q257" s="1"/>
      <c r="R257" s="1"/>
      <c r="AF257">
        <v>20</v>
      </c>
      <c r="AG257" s="91">
        <f t="shared" si="13"/>
        <v>-4.372936846958321E-2</v>
      </c>
      <c r="AH257" s="91">
        <f>_xll.PDENSITY($AG$257,Sheet1!$K$245:$K$268,$AG$232,$AG$233,0)</f>
        <v>5.5816481531974169</v>
      </c>
    </row>
    <row r="258" spans="1:34">
      <c r="A258" s="107">
        <v>64.7</v>
      </c>
      <c r="B258" s="111">
        <v>64.409960848617544</v>
      </c>
      <c r="C258" s="112">
        <v>0.29003915138245873</v>
      </c>
      <c r="D258" s="111">
        <v>0.85590817387009055</v>
      </c>
      <c r="E258" s="43">
        <v>3.1256831059868206</v>
      </c>
      <c r="F258" s="43">
        <v>62.618524456240088</v>
      </c>
      <c r="G258" s="43">
        <v>66.201397240995007</v>
      </c>
      <c r="H258" s="43">
        <v>57.867830935562075</v>
      </c>
      <c r="I258" s="112">
        <v>70.952090761673006</v>
      </c>
      <c r="K258" s="1">
        <f t="shared" si="14"/>
        <v>4.5030170421021757E-3</v>
      </c>
      <c r="N258" s="1"/>
      <c r="O258" s="1"/>
      <c r="P258" s="1"/>
      <c r="Q258" s="1"/>
      <c r="R258" s="1"/>
      <c r="AF258">
        <v>21</v>
      </c>
      <c r="AG258" s="91">
        <f t="shared" si="13"/>
        <v>-4.2190408740733626E-2</v>
      </c>
      <c r="AH258" s="91">
        <f>_xll.PDENSITY($AG$258,Sheet1!$K$245:$K$268,$AG$232,$AG$233,0)</f>
        <v>5.7144590307069008</v>
      </c>
    </row>
    <row r="259" spans="1:34">
      <c r="A259" s="107">
        <v>60.7</v>
      </c>
      <c r="B259" s="111">
        <v>61.231804516565759</v>
      </c>
      <c r="C259" s="112">
        <v>-0.53180451656575656</v>
      </c>
      <c r="D259" s="111">
        <v>0.82484684780677231</v>
      </c>
      <c r="E259" s="43">
        <v>3.1173207084434789</v>
      </c>
      <c r="F259" s="43">
        <v>59.505380226659213</v>
      </c>
      <c r="G259" s="43">
        <v>62.958228806472306</v>
      </c>
      <c r="H259" s="43">
        <v>54.707177302682958</v>
      </c>
      <c r="I259" s="112">
        <v>67.756431730448568</v>
      </c>
      <c r="K259" s="1">
        <f t="shared" si="14"/>
        <v>-8.6851027952619172E-3</v>
      </c>
      <c r="N259" s="1"/>
      <c r="O259" s="1"/>
      <c r="P259" s="1"/>
      <c r="Q259" s="1"/>
      <c r="R259" s="1"/>
      <c r="AF259">
        <v>22</v>
      </c>
      <c r="AG259" s="91">
        <f t="shared" si="13"/>
        <v>-4.0651449011884042E-2</v>
      </c>
      <c r="AH259" s="91">
        <f>_xll.PDENSITY($AG$259,Sheet1!$K$245:$K$268,$AG$232,$AG$233,0)</f>
        <v>5.8495947355501299</v>
      </c>
    </row>
    <row r="260" spans="1:34">
      <c r="A260" s="107">
        <v>55.9</v>
      </c>
      <c r="B260" s="111">
        <v>54.413249354305911</v>
      </c>
      <c r="C260" s="112">
        <v>1.4867506456940873</v>
      </c>
      <c r="D260" s="111">
        <v>1.1403098374978471</v>
      </c>
      <c r="E260" s="43">
        <v>3.2152173491769029</v>
      </c>
      <c r="F260" s="43">
        <v>52.026553440136823</v>
      </c>
      <c r="G260" s="43">
        <v>56.799945268475</v>
      </c>
      <c r="H260" s="43">
        <v>47.683722116968049</v>
      </c>
      <c r="I260" s="112">
        <v>61.142776591643774</v>
      </c>
      <c r="K260" s="1">
        <f t="shared" si="14"/>
        <v>2.7323320392305069E-2</v>
      </c>
      <c r="N260" s="1"/>
      <c r="O260" s="1"/>
      <c r="P260" s="1"/>
      <c r="Q260" s="1"/>
      <c r="R260" s="1"/>
      <c r="AF260">
        <v>23</v>
      </c>
      <c r="AG260" s="91">
        <f t="shared" si="13"/>
        <v>-3.9112489283034457E-2</v>
      </c>
      <c r="AH260" s="91">
        <f>_xll.PDENSITY($AG$260,Sheet1!$K$245:$K$268,$AG$232,$AG$233,0)</f>
        <v>5.9873479471848441</v>
      </c>
    </row>
    <row r="261" spans="1:34">
      <c r="A261" s="107">
        <v>53.2</v>
      </c>
      <c r="B261" s="111">
        <v>53.422503771156123</v>
      </c>
      <c r="C261" s="112">
        <v>-0.22250377115611997</v>
      </c>
      <c r="D261" s="111">
        <v>1.2419807304847985</v>
      </c>
      <c r="E261" s="43">
        <v>3.252665401151698</v>
      </c>
      <c r="F261" s="43">
        <v>50.823008232795125</v>
      </c>
      <c r="G261" s="43">
        <v>56.02199930951712</v>
      </c>
      <c r="H261" s="43">
        <v>46.6145968604148</v>
      </c>
      <c r="I261" s="112">
        <v>60.230410681897446</v>
      </c>
      <c r="K261" s="1">
        <f t="shared" si="14"/>
        <v>-4.1649820852510139E-3</v>
      </c>
      <c r="N261" s="1"/>
      <c r="O261" s="1"/>
      <c r="P261" s="1"/>
      <c r="Q261" s="1"/>
      <c r="R261" s="1"/>
      <c r="AF261">
        <v>24</v>
      </c>
      <c r="AG261" s="91">
        <f t="shared" si="13"/>
        <v>-3.7573529554184873E-2</v>
      </c>
      <c r="AH261" s="91">
        <f>_xll.PDENSITY($AG$261,Sheet1!$K$245:$K$268,$AG$232,$AG$233,0)</f>
        <v>6.1278915998422789</v>
      </c>
    </row>
    <row r="262" spans="1:34">
      <c r="A262" s="107">
        <v>62.2</v>
      </c>
      <c r="B262" s="111">
        <v>62.613201392975007</v>
      </c>
      <c r="C262" s="112">
        <v>-0.41320139297500447</v>
      </c>
      <c r="D262" s="111">
        <v>1.4602445466761593</v>
      </c>
      <c r="E262" s="43">
        <v>3.3420996713220936</v>
      </c>
      <c r="F262" s="43">
        <v>59.556874438112395</v>
      </c>
      <c r="G262" s="43">
        <v>65.669528347837627</v>
      </c>
      <c r="H262" s="43">
        <v>55.618106403885832</v>
      </c>
      <c r="I262" s="112">
        <v>69.608296382064182</v>
      </c>
      <c r="K262" s="1">
        <f t="shared" si="14"/>
        <v>-6.5992695435209657E-3</v>
      </c>
      <c r="N262" s="1"/>
      <c r="O262" s="1"/>
      <c r="P262" s="1"/>
      <c r="Q262" s="1"/>
      <c r="R262" s="1"/>
      <c r="AF262">
        <v>25</v>
      </c>
      <c r="AG262" s="91">
        <f t="shared" si="13"/>
        <v>-3.6034569825335289E-2</v>
      </c>
      <c r="AH262" s="91">
        <f>_xll.PDENSITY($AG$262,Sheet1!$K$245:$K$268,$AG$232,$AG$233,0)</f>
        <v>6.271259594369277</v>
      </c>
    </row>
    <row r="263" spans="1:34">
      <c r="A263" s="107">
        <v>69.3</v>
      </c>
      <c r="B263" s="111">
        <v>65.5386931295116</v>
      </c>
      <c r="C263" s="112">
        <v>3.7613068704883972</v>
      </c>
      <c r="D263" s="111">
        <v>1.0094349069328286</v>
      </c>
      <c r="E263" s="43">
        <v>3.1711630213989745</v>
      </c>
      <c r="F263" s="43">
        <v>63.425921592538181</v>
      </c>
      <c r="G263" s="43">
        <v>67.651464666485012</v>
      </c>
      <c r="H263" s="43">
        <v>58.901372659713132</v>
      </c>
      <c r="I263" s="112">
        <v>72.176013599310068</v>
      </c>
      <c r="K263" s="1">
        <f t="shared" si="14"/>
        <v>5.7390629731594506E-2</v>
      </c>
      <c r="N263" s="1"/>
      <c r="O263" s="1"/>
      <c r="P263" s="1"/>
      <c r="Q263" s="1"/>
      <c r="R263" s="1"/>
      <c r="AF263">
        <v>26</v>
      </c>
      <c r="AG263" s="91">
        <f t="shared" si="13"/>
        <v>-3.4495610096485704E-2</v>
      </c>
      <c r="AH263" s="91">
        <f>_xll.PDENSITY($AG$263,Sheet1!$K$245:$K$268,$AG$232,$AG$233,0)</f>
        <v>6.4173308254488921</v>
      </c>
    </row>
    <row r="264" spans="1:34">
      <c r="A264" s="107">
        <v>57.7</v>
      </c>
      <c r="B264" s="111">
        <v>58.843490065096731</v>
      </c>
      <c r="C264" s="112">
        <v>-1.1434900650967279</v>
      </c>
      <c r="D264" s="111">
        <v>1.3333309391881329</v>
      </c>
      <c r="E264" s="43">
        <v>3.2886300294119577</v>
      </c>
      <c r="F264" s="43">
        <v>56.052796342960399</v>
      </c>
      <c r="G264" s="43">
        <v>61.634183787233063</v>
      </c>
      <c r="H264" s="43">
        <v>51.960308322462595</v>
      </c>
      <c r="I264" s="112">
        <v>65.726671807730867</v>
      </c>
      <c r="K264" s="1">
        <f t="shared" si="14"/>
        <v>-1.9432736974501687E-2</v>
      </c>
      <c r="N264" s="1"/>
      <c r="O264" s="1"/>
      <c r="P264" s="1"/>
      <c r="Q264" s="1"/>
      <c r="R264" s="1"/>
      <c r="AF264">
        <v>27</v>
      </c>
      <c r="AG264" s="91">
        <f t="shared" si="13"/>
        <v>-3.295665036763612E-2</v>
      </c>
      <c r="AH264" s="91">
        <f>_xll.PDENSITY($AG$264,Sheet1!$K$245:$K$268,$AG$232,$AG$233,0)</f>
        <v>6.5658172902228475</v>
      </c>
    </row>
    <row r="265" spans="1:34">
      <c r="A265" s="107">
        <v>62.8</v>
      </c>
      <c r="B265" s="111">
        <v>60.327395181953804</v>
      </c>
      <c r="C265" s="112">
        <v>2.472604818046193</v>
      </c>
      <c r="D265" s="111">
        <v>1.1785499469344465</v>
      </c>
      <c r="E265" s="43">
        <v>3.2289775555697147</v>
      </c>
      <c r="F265" s="43">
        <v>57.860661799064836</v>
      </c>
      <c r="G265" s="43">
        <v>62.794128564842772</v>
      </c>
      <c r="H265" s="43">
        <v>53.569067501704822</v>
      </c>
      <c r="I265" s="112">
        <v>67.085722862202786</v>
      </c>
      <c r="K265" s="1">
        <f t="shared" si="14"/>
        <v>4.0986434282278481E-2</v>
      </c>
      <c r="N265" s="1"/>
      <c r="O265" s="1"/>
      <c r="P265" s="1"/>
      <c r="Q265" s="1"/>
      <c r="R265" s="1"/>
      <c r="AF265">
        <v>28</v>
      </c>
      <c r="AG265" s="91">
        <f t="shared" si="13"/>
        <v>-3.1417690638786536E-2</v>
      </c>
      <c r="AH265" s="91">
        <f>_xll.PDENSITY($AG$265,Sheet1!$K$245:$K$268,$AG$232,$AG$233,0)</f>
        <v>6.7162569429312233</v>
      </c>
    </row>
    <row r="266" spans="1:34">
      <c r="A266" s="107">
        <v>62.7</v>
      </c>
      <c r="B266" s="111">
        <v>63.6796773530493</v>
      </c>
      <c r="C266" s="112">
        <v>-0.97967735304929704</v>
      </c>
      <c r="D266" s="111">
        <v>1.1772115633307452</v>
      </c>
      <c r="E266" s="43">
        <v>3.228489297147104</v>
      </c>
      <c r="F266" s="43">
        <v>61.215745239230806</v>
      </c>
      <c r="G266" s="43">
        <v>66.143609466867787</v>
      </c>
      <c r="H266" s="43">
        <v>56.922371609421383</v>
      </c>
      <c r="I266" s="112">
        <v>70.43698309667721</v>
      </c>
      <c r="K266" s="1">
        <f t="shared" si="14"/>
        <v>-1.5384458492429613E-2</v>
      </c>
      <c r="N266" s="1"/>
      <c r="O266" s="1"/>
      <c r="P266" s="1"/>
      <c r="Q266" s="1"/>
      <c r="R266" s="1"/>
      <c r="AF266">
        <v>29</v>
      </c>
      <c r="AG266" s="91">
        <f t="shared" si="13"/>
        <v>-2.9878730909936955E-2</v>
      </c>
      <c r="AH266" s="91">
        <f>_xll.PDENSITY($AG$266,Sheet1!$K$245:$K$268,$AG$232,$AG$233,0)</f>
        <v>6.8680118247007833</v>
      </c>
    </row>
    <row r="267" spans="1:34">
      <c r="A267" s="107">
        <v>61.8</v>
      </c>
      <c r="B267" s="111">
        <v>63.998502001376799</v>
      </c>
      <c r="C267" s="112">
        <v>-2.1985020013768022</v>
      </c>
      <c r="D267" s="111">
        <v>1.300145126701598</v>
      </c>
      <c r="E267" s="43">
        <v>3.2753157752252986</v>
      </c>
      <c r="F267" s="43">
        <v>61.277266982888754</v>
      </c>
      <c r="G267" s="43">
        <v>66.719737019864837</v>
      </c>
      <c r="H267" s="43">
        <v>57.143187312961224</v>
      </c>
      <c r="I267" s="112">
        <v>70.853816689792382</v>
      </c>
      <c r="K267" s="1">
        <f t="shared" si="14"/>
        <v>-3.4352397831585273E-2</v>
      </c>
      <c r="N267" s="1"/>
      <c r="O267" s="1"/>
      <c r="P267" s="1"/>
      <c r="Q267" s="1"/>
      <c r="R267" s="1"/>
      <c r="AF267">
        <v>30</v>
      </c>
      <c r="AG267" s="91">
        <f t="shared" si="13"/>
        <v>-2.8339771181087374E-2</v>
      </c>
      <c r="AH267" s="91">
        <f>_xll.PDENSITY($AG$267,Sheet1!$K$245:$K$268,$AG$232,$AG$233,0)</f>
        <v>7.0202718317513906</v>
      </c>
    </row>
    <row r="268" spans="1:34">
      <c r="A268" s="108">
        <v>60.9</v>
      </c>
      <c r="B268" s="111">
        <v>65.133400815499272</v>
      </c>
      <c r="C268" s="112">
        <v>-4.2334008154992731</v>
      </c>
      <c r="D268" s="111">
        <v>1.4050623394153536</v>
      </c>
      <c r="E268" s="43">
        <v>3.3183604768917334</v>
      </c>
      <c r="F268" s="43">
        <v>62.192571547557598</v>
      </c>
      <c r="G268" s="43">
        <v>68.074230083440938</v>
      </c>
      <c r="H268" s="43">
        <v>58.187992531277018</v>
      </c>
      <c r="I268" s="112">
        <v>72.078809099721525</v>
      </c>
      <c r="K268" s="1">
        <f t="shared" si="14"/>
        <v>-6.4995851014920211E-2</v>
      </c>
      <c r="N268" s="1"/>
      <c r="O268" s="1"/>
      <c r="P268" s="1"/>
      <c r="Q268" s="1"/>
      <c r="R268" s="1"/>
      <c r="AF268">
        <v>31</v>
      </c>
      <c r="AG268" s="91">
        <f t="shared" si="13"/>
        <v>-2.6800811452237793E-2</v>
      </c>
      <c r="AH268" s="91">
        <f>_xll.PDENSITY($AG$268,Sheet1!$K$245:$K$268,$AG$232,$AG$233,0)</f>
        <v>7.1720642945081288</v>
      </c>
    </row>
    <row r="269" spans="1:34">
      <c r="A269" s="94">
        <f ca="1">_xll.NORM($B$269,$E$269)</f>
        <v>69.046971188323084</v>
      </c>
      <c r="B269" s="111">
        <v>65.72425018575845</v>
      </c>
      <c r="C269" s="112" t="str">
        <v/>
      </c>
      <c r="D269" s="111">
        <v>1.5335012251165472</v>
      </c>
      <c r="E269" s="43">
        <v>3.3747506699588543</v>
      </c>
      <c r="F269" s="43">
        <v>62.514595241107621</v>
      </c>
      <c r="G269" s="43">
        <v>68.933905130409286</v>
      </c>
      <c r="H269" s="43">
        <v>58.660815871270756</v>
      </c>
      <c r="I269" s="112">
        <v>72.787684500246144</v>
      </c>
      <c r="N269" s="1"/>
      <c r="O269" s="1"/>
      <c r="P269" s="1"/>
      <c r="Q269" s="1"/>
      <c r="R269" s="1"/>
      <c r="AF269">
        <v>32</v>
      </c>
      <c r="AG269" s="91">
        <f t="shared" si="13"/>
        <v>-2.5261851723388212E-2</v>
      </c>
      <c r="AH269" s="91">
        <f>_xll.PDENSITY($AG$269,Sheet1!$K$245:$K$268,$AG$232,$AG$233,0)</f>
        <v>7.322269331447008</v>
      </c>
    </row>
    <row r="270" spans="1:34">
      <c r="A270" s="94">
        <f ca="1">_xll.NORM($B$270,$E$270)</f>
        <v>68.521390952343864</v>
      </c>
      <c r="B270" s="111">
        <v>66.451111916983422</v>
      </c>
      <c r="C270" s="112" t="str">
        <v/>
      </c>
      <c r="D270" s="111">
        <v>1.6681037444141755</v>
      </c>
      <c r="E270" s="43">
        <v>3.4380061342415282</v>
      </c>
      <c r="F270" s="43">
        <v>62.959730662271603</v>
      </c>
      <c r="G270" s="43">
        <v>69.942493171695247</v>
      </c>
      <c r="H270" s="43">
        <v>59.255282394467358</v>
      </c>
      <c r="I270" s="112">
        <v>73.646941439499486</v>
      </c>
      <c r="N270" s="1"/>
      <c r="O270" s="1"/>
      <c r="P270" s="1"/>
      <c r="Q270" s="1"/>
      <c r="R270" s="1"/>
      <c r="AF270">
        <v>33</v>
      </c>
      <c r="AG270" s="91">
        <f t="shared" si="13"/>
        <v>-2.3722891994538631E-2</v>
      </c>
      <c r="AH270" s="91">
        <f>_xll.PDENSITY($AG$270,Sheet1!$K$245:$K$268,$AG$232,$AG$233,0)</f>
        <v>7.4696407233124207</v>
      </c>
    </row>
    <row r="271" spans="1:34">
      <c r="A271" s="94">
        <f ca="1">_xll.NORM($B$271,$E$271)</f>
        <v>65.058614145530413</v>
      </c>
      <c r="B271" s="111">
        <v>67.177973648208436</v>
      </c>
      <c r="C271" s="112" t="str">
        <v/>
      </c>
      <c r="D271" s="111">
        <v>1.8085218971119883</v>
      </c>
      <c r="E271" s="43">
        <v>3.5082855541257372</v>
      </c>
      <c r="F271" s="43">
        <v>63.392693822863897</v>
      </c>
      <c r="G271" s="43">
        <v>70.963253473552967</v>
      </c>
      <c r="H271" s="43">
        <v>59.835047609664869</v>
      </c>
      <c r="I271" s="112">
        <v>74.520899686752003</v>
      </c>
      <c r="N271" s="1"/>
      <c r="O271" s="1"/>
      <c r="P271" s="1"/>
      <c r="Q271" s="1"/>
      <c r="R271" s="1"/>
      <c r="AF271">
        <v>34</v>
      </c>
      <c r="AG271" s="91">
        <f t="shared" ref="AG271:AG302" si="15">1/99*($AG$231-$AG$230)+AG270</f>
        <v>-2.2183932265689051E-2</v>
      </c>
      <c r="AH271" s="91">
        <f>_xll.PDENSITY($AG$271,Sheet1!$K$245:$K$268,$AG$232,$AG$233,0)</f>
        <v>7.6128318349088131</v>
      </c>
    </row>
    <row r="272" spans="1:34">
      <c r="A272" s="94">
        <f ca="1">_xll.NORM($B$272,$E$272)</f>
        <v>67.769322441707942</v>
      </c>
      <c r="B272" s="113">
        <v>67.90483537943345</v>
      </c>
      <c r="C272" s="114" t="str">
        <v/>
      </c>
      <c r="D272" s="113">
        <v>1.9535019984757631</v>
      </c>
      <c r="E272" s="116">
        <v>3.5851758862017613</v>
      </c>
      <c r="F272" s="116">
        <v>63.816108715184136</v>
      </c>
      <c r="G272" s="116">
        <v>71.993562043682758</v>
      </c>
      <c r="H272" s="116">
        <v>60.400976026653439</v>
      </c>
      <c r="I272" s="114">
        <v>75.408694732213462</v>
      </c>
      <c r="N272" s="1"/>
      <c r="O272" s="1"/>
      <c r="P272" s="1"/>
      <c r="Q272" s="1"/>
      <c r="R272" s="1"/>
      <c r="AF272">
        <v>35</v>
      </c>
      <c r="AG272" s="91">
        <f t="shared" si="15"/>
        <v>-2.064497253683947E-2</v>
      </c>
      <c r="AH272" s="91">
        <f>_xll.PDENSITY($AG$272,Sheet1!$K$245:$K$268,$AG$232,$AG$233,0)</f>
        <v>7.7504259027629763</v>
      </c>
    </row>
    <row r="273" spans="1:34">
      <c r="A273"/>
      <c r="B273"/>
      <c r="C273"/>
      <c r="D273"/>
      <c r="E273"/>
      <c r="F273"/>
      <c r="G273"/>
      <c r="H273"/>
      <c r="I273"/>
      <c r="N273" s="1"/>
      <c r="O273" s="1"/>
      <c r="P273" s="1"/>
      <c r="Q273" s="1"/>
      <c r="R273" s="1"/>
      <c r="AF273">
        <v>36</v>
      </c>
      <c r="AG273" s="91">
        <f t="shared" si="15"/>
        <v>-1.9106012807989889E-2</v>
      </c>
      <c r="AH273" s="91">
        <f>_xll.PDENSITY($AG$273,Sheet1!$K$245:$K$268,$AG$232,$AG$233,0)</f>
        <v>7.880969817352236</v>
      </c>
    </row>
    <row r="274" spans="1:34">
      <c r="A274"/>
      <c r="B274"/>
      <c r="C274"/>
      <c r="D274"/>
      <c r="E274"/>
      <c r="F274"/>
      <c r="G274"/>
      <c r="H274"/>
      <c r="I274"/>
      <c r="N274" s="1"/>
      <c r="O274" s="1"/>
      <c r="P274" s="1"/>
      <c r="Q274" s="1"/>
      <c r="R274" s="1"/>
      <c r="AF274">
        <v>37</v>
      </c>
      <c r="AG274" s="91">
        <f t="shared" si="15"/>
        <v>-1.7567053079140308E-2</v>
      </c>
      <c r="AH274" s="91">
        <f>_xll.PDENSITY($AG$274,Sheet1!$K$245:$K$268,$AG$232,$AG$233,0)</f>
        <v>8.0030103675538822</v>
      </c>
    </row>
    <row r="275" spans="1:34">
      <c r="A275" s="43"/>
      <c r="B275" s="43"/>
      <c r="C275" s="43"/>
      <c r="D275" s="43"/>
      <c r="E275" s="43"/>
      <c r="F275" s="43"/>
      <c r="G275" s="43"/>
      <c r="H275" s="43"/>
      <c r="I275" s="43"/>
      <c r="N275" s="1"/>
      <c r="O275" s="1"/>
      <c r="P275" s="1"/>
      <c r="Q275" s="1"/>
      <c r="R275" s="1"/>
      <c r="AF275">
        <v>38</v>
      </c>
      <c r="AG275" s="91">
        <f t="shared" si="15"/>
        <v>-1.6028093350290727E-2</v>
      </c>
      <c r="AH275" s="91">
        <f>_xll.PDENSITY($AG$275,Sheet1!$K$245:$K$268,$AG$232,$AG$233,0)</f>
        <v>8.1151317907238205</v>
      </c>
    </row>
    <row r="276" spans="1:34">
      <c r="A276"/>
      <c r="B276"/>
      <c r="C276"/>
      <c r="D276"/>
      <c r="E276"/>
      <c r="F276"/>
      <c r="G276"/>
      <c r="H276"/>
      <c r="I276"/>
      <c r="N276" s="1"/>
      <c r="O276" s="1"/>
      <c r="P276" s="1"/>
      <c r="Q276" s="1"/>
      <c r="R276" s="1"/>
      <c r="AF276">
        <v>39</v>
      </c>
      <c r="AG276" s="91">
        <f t="shared" si="15"/>
        <v>-1.4489133621441146E-2</v>
      </c>
      <c r="AH276" s="91">
        <f>_xll.PDENSITY($AG$276,Sheet1!$K$245:$K$268,$AG$232,$AG$233,0)</f>
        <v>8.2159933910915441</v>
      </c>
    </row>
    <row r="277" spans="1:34" ht="12.75" thickBot="1">
      <c r="A277" s="55" t="s">
        <v>73</v>
      </c>
      <c r="B277" s="19"/>
      <c r="C277" s="19"/>
      <c r="D277" s="19"/>
      <c r="E277" s="16"/>
      <c r="F277" s="16"/>
      <c r="G277" s="8"/>
      <c r="N277" s="1"/>
      <c r="O277" s="1"/>
      <c r="P277" s="1"/>
      <c r="Q277" s="1"/>
      <c r="R277" s="1"/>
      <c r="AF277">
        <v>40</v>
      </c>
      <c r="AG277" s="91">
        <f t="shared" si="15"/>
        <v>-1.2950173892591565E-2</v>
      </c>
      <c r="AH277" s="91">
        <f>_xll.PDENSITY($AG$277,Sheet1!$K$245:$K$268,$AG$232,$AG$233,0)</f>
        <v>8.304365956800174</v>
      </c>
    </row>
    <row r="278" spans="1:34">
      <c r="A278" t="s">
        <v>159</v>
      </c>
      <c r="B278"/>
      <c r="C278" s="26"/>
      <c r="D278" s="26"/>
      <c r="E278" s="8"/>
      <c r="F278" s="8"/>
      <c r="N278" s="1"/>
      <c r="O278" s="1"/>
      <c r="P278" s="1"/>
      <c r="Q278" s="1"/>
      <c r="R278" s="1"/>
      <c r="AF278">
        <v>41</v>
      </c>
      <c r="AG278" s="91">
        <f t="shared" si="15"/>
        <v>-1.1411214163741985E-2</v>
      </c>
      <c r="AH278" s="91">
        <f>_xll.PDENSITY($AG$278,Sheet1!$K$245:$K$268,$AG$232,$AG$233,0)</f>
        <v>8.3791657245537845</v>
      </c>
    </row>
    <row r="279" spans="1:34">
      <c r="A279" t="s">
        <v>152</v>
      </c>
      <c r="B279"/>
      <c r="C279" s="26"/>
      <c r="D279" s="26"/>
      <c r="E279" s="8"/>
      <c r="F279" s="8"/>
      <c r="N279" s="1"/>
      <c r="O279" s="1"/>
      <c r="P279" s="1"/>
      <c r="Q279" s="1"/>
      <c r="R279" s="1"/>
      <c r="AF279">
        <v>42</v>
      </c>
      <c r="AG279" s="91">
        <f t="shared" si="15"/>
        <v>-9.8722544348924038E-3</v>
      </c>
      <c r="AH279" s="91">
        <f>_xll.PDENSITY($AG$279,Sheet1!$K$245:$K$268,$AG$232,$AG$233,0)</f>
        <v>8.4394847106891788</v>
      </c>
    </row>
    <row r="280" spans="1:34">
      <c r="A280" s="118" t="s">
        <v>44</v>
      </c>
      <c r="B280" s="118" t="str">
        <f>Sheet1!$C$244</f>
        <v>Residuals</v>
      </c>
      <c r="F280" s="8"/>
      <c r="N280" s="1"/>
      <c r="O280" s="1"/>
      <c r="P280" s="1"/>
      <c r="Q280" s="1"/>
      <c r="R280" s="1"/>
      <c r="AF280">
        <v>43</v>
      </c>
      <c r="AG280" s="91">
        <f t="shared" si="15"/>
        <v>-8.3332947060428229E-3</v>
      </c>
      <c r="AH280" s="91">
        <f>_xll.PDENSITY($AG$280,Sheet1!$K$245:$K$268,$AG$232,$AG$233,0)</f>
        <v>8.4846163463313591</v>
      </c>
    </row>
    <row r="281" spans="1:34">
      <c r="A281">
        <v>1</v>
      </c>
      <c r="B281" s="91">
        <f>Sheet1!C$245</f>
        <v>1.3090832685308129</v>
      </c>
      <c r="C281" s="3"/>
      <c r="D281" s="3"/>
      <c r="E281" s="3"/>
      <c r="F281" s="8"/>
      <c r="K281"/>
      <c r="L281"/>
      <c r="M281"/>
      <c r="N281"/>
      <c r="O281"/>
      <c r="P281"/>
      <c r="Q281"/>
      <c r="R281"/>
      <c r="S281"/>
      <c r="AF281">
        <v>44</v>
      </c>
      <c r="AG281" s="91">
        <f t="shared" si="15"/>
        <v>-6.7943349771932421E-3</v>
      </c>
      <c r="AH281" s="91">
        <f>_xll.PDENSITY($AG$281,Sheet1!$K$245:$K$268,$AG$232,$AG$233,0)</f>
        <v>8.5140755174960621</v>
      </c>
    </row>
    <row r="282" spans="1:34">
      <c r="A282">
        <v>2</v>
      </c>
      <c r="B282" s="91">
        <f>Sheet1!C$246</f>
        <v>1.7172015055356198</v>
      </c>
      <c r="D282" s="26"/>
      <c r="E282" s="84"/>
      <c r="F282" s="8"/>
      <c r="P282" s="26"/>
      <c r="Q282" s="26"/>
      <c r="AF282">
        <v>45</v>
      </c>
      <c r="AG282" s="91">
        <f t="shared" si="15"/>
        <v>-5.2553752483436612E-3</v>
      </c>
      <c r="AH282" s="91">
        <f>_xll.PDENSITY($AG$282,Sheet1!$K$245:$K$268,$AG$232,$AG$233,0)</f>
        <v>8.527612311756565</v>
      </c>
    </row>
    <row r="283" spans="1:34">
      <c r="A283">
        <v>3</v>
      </c>
      <c r="B283" s="91">
        <f>Sheet1!C$247</f>
        <v>-3.5417477206445795</v>
      </c>
      <c r="D283" s="26"/>
      <c r="E283" s="84"/>
      <c r="F283" s="8"/>
      <c r="P283" s="26"/>
      <c r="Q283" s="26"/>
      <c r="AF283">
        <v>46</v>
      </c>
      <c r="AG283" s="91">
        <f t="shared" si="15"/>
        <v>-3.7164155194940804E-3</v>
      </c>
      <c r="AH283" s="91">
        <f>_xll.PDENSITY($AG$283,Sheet1!$K$245:$K$268,$AG$232,$AG$233,0)</f>
        <v>8.5252190027292247</v>
      </c>
    </row>
    <row r="284" spans="1:34">
      <c r="A284">
        <v>4</v>
      </c>
      <c r="B284" s="91">
        <f>Sheet1!C$248</f>
        <v>-3.5916671950341765</v>
      </c>
      <c r="C284" s="26"/>
      <c r="D284" s="26"/>
      <c r="E284" s="8"/>
      <c r="F284" s="8"/>
      <c r="G284" s="8"/>
      <c r="N284" s="26"/>
      <c r="O284" s="26"/>
      <c r="P284" s="26"/>
      <c r="Q284" s="26"/>
      <c r="AF284">
        <v>47</v>
      </c>
      <c r="AG284" s="91">
        <f t="shared" si="15"/>
        <v>-2.1774557906444995E-3</v>
      </c>
      <c r="AH284" s="91">
        <f>_xll.PDENSITY($AG$284,Sheet1!$K$245:$K$268,$AG$232,$AG$233,0)</f>
        <v>8.5071300520649622</v>
      </c>
    </row>
    <row r="285" spans="1:34">
      <c r="A285">
        <v>5</v>
      </c>
      <c r="B285" s="91">
        <f>Sheet1!C$249</f>
        <v>-0.49102658444724057</v>
      </c>
      <c r="C285" s="26"/>
      <c r="D285" s="26"/>
      <c r="E285" s="8"/>
      <c r="F285" s="8"/>
      <c r="G285" s="8"/>
      <c r="N285" s="26"/>
      <c r="O285" s="26"/>
      <c r="P285" s="26"/>
      <c r="Q285" s="26"/>
      <c r="AF285">
        <v>48</v>
      </c>
      <c r="AG285" s="91">
        <f t="shared" si="15"/>
        <v>-6.3849606179491869E-4</v>
      </c>
      <c r="AH285" s="91">
        <f>_xll.PDENSITY($AG$285,Sheet1!$K$245:$K$268,$AG$232,$AG$233,0)</f>
        <v>8.4738151648731677</v>
      </c>
    </row>
    <row r="286" spans="1:34">
      <c r="A286">
        <v>6</v>
      </c>
      <c r="B286" s="91">
        <f>Sheet1!C$250</f>
        <v>-0.64590026193128836</v>
      </c>
      <c r="C286" s="26"/>
      <c r="D286" s="26"/>
      <c r="E286" s="8"/>
      <c r="F286" s="8"/>
      <c r="G286" s="8"/>
      <c r="N286" s="26"/>
      <c r="O286" s="26"/>
      <c r="P286" s="26"/>
      <c r="Q286" s="26"/>
      <c r="AF286">
        <v>49</v>
      </c>
      <c r="AG286" s="91">
        <f t="shared" si="15"/>
        <v>9.0046366705466216E-4</v>
      </c>
      <c r="AH286" s="91">
        <f>_xll.PDENSITY($AG$286,Sheet1!$K$245:$K$268,$AG$232,$AG$233,0)</f>
        <v>8.4259656872262649</v>
      </c>
    </row>
    <row r="287" spans="1:34">
      <c r="A287">
        <v>7</v>
      </c>
      <c r="B287" s="91">
        <f>Sheet1!C$251</f>
        <v>-4.4473003282377803</v>
      </c>
      <c r="C287" s="26"/>
      <c r="D287" s="26"/>
      <c r="E287" s="8"/>
      <c r="F287" s="8"/>
      <c r="G287" s="8"/>
      <c r="N287" s="26"/>
      <c r="O287" s="26"/>
      <c r="P287" s="26"/>
      <c r="Q287" s="26"/>
      <c r="AF287">
        <v>50</v>
      </c>
      <c r="AG287" s="91">
        <f t="shared" si="15"/>
        <v>2.439423395904243E-3</v>
      </c>
      <c r="AH287" s="91">
        <f>_xll.PDENSITY($AG$287,Sheet1!$K$245:$K$268,$AG$232,$AG$233,0)</f>
        <v>8.3644748725276159</v>
      </c>
    </row>
    <row r="288" spans="1:34">
      <c r="A288">
        <v>8</v>
      </c>
      <c r="B288" s="91">
        <f>Sheet1!C$252</f>
        <v>0.5788595975792461</v>
      </c>
      <c r="C288" s="26"/>
      <c r="D288" s="26"/>
      <c r="E288" s="8"/>
      <c r="F288" s="8"/>
      <c r="G288" s="8"/>
      <c r="N288" s="26"/>
      <c r="O288" s="26"/>
      <c r="P288" s="26"/>
      <c r="Q288" s="26"/>
      <c r="AF288">
        <v>51</v>
      </c>
      <c r="AG288" s="91">
        <f t="shared" si="15"/>
        <v>3.9783831247538239E-3</v>
      </c>
      <c r="AH288" s="91">
        <f>_xll.PDENSITY($AG$288,Sheet1!$K$245:$K$268,$AG$232,$AG$233,0)</f>
        <v>8.2904127568245265</v>
      </c>
    </row>
    <row r="289" spans="1:34">
      <c r="A289">
        <v>9</v>
      </c>
      <c r="B289" s="91">
        <f>Sheet1!C$253</f>
        <v>0.10723761446918445</v>
      </c>
      <c r="C289" s="26"/>
      <c r="D289" s="26"/>
      <c r="E289" s="8"/>
      <c r="F289" s="8"/>
      <c r="G289" s="8"/>
      <c r="N289" s="26"/>
      <c r="O289" s="26"/>
      <c r="P289" s="26"/>
      <c r="Q289" s="26"/>
      <c r="AF289">
        <v>52</v>
      </c>
      <c r="AG289" s="91">
        <f t="shared" si="15"/>
        <v>5.5173428536034047E-3</v>
      </c>
      <c r="AH289" s="91">
        <f>_xll.PDENSITY($AG$289,Sheet1!$K$245:$K$268,$AG$232,$AG$233,0)</f>
        <v>8.2049965627091499</v>
      </c>
    </row>
    <row r="290" spans="1:34">
      <c r="A290">
        <v>10</v>
      </c>
      <c r="B290" s="91">
        <f>Sheet1!C$254</f>
        <v>5.928015441584364</v>
      </c>
      <c r="C290" s="26"/>
      <c r="D290" s="26"/>
      <c r="E290" s="8"/>
      <c r="F290" s="8"/>
      <c r="G290" s="8"/>
      <c r="N290" s="26"/>
      <c r="O290" s="26"/>
      <c r="P290" s="26"/>
      <c r="Q290" s="26"/>
      <c r="AF290">
        <v>53</v>
      </c>
      <c r="AG290" s="91">
        <f t="shared" si="15"/>
        <v>7.0563025824529856E-3</v>
      </c>
      <c r="AH290" s="91">
        <f>_xll.PDENSITY($AG$290,Sheet1!$K$245:$K$268,$AG$232,$AG$233,0)</f>
        <v>8.109557690151906</v>
      </c>
    </row>
    <row r="291" spans="1:34">
      <c r="A291">
        <v>11</v>
      </c>
      <c r="B291" s="91">
        <f>Sheet1!C$255</f>
        <v>3.8737606104283202</v>
      </c>
      <c r="C291" s="26"/>
      <c r="D291" s="26"/>
      <c r="E291" s="8"/>
      <c r="F291" s="8"/>
      <c r="G291" s="8"/>
      <c r="N291" s="26"/>
      <c r="O291" s="26"/>
      <c r="P291" s="26"/>
      <c r="Q291" s="26"/>
      <c r="AF291">
        <v>54</v>
      </c>
      <c r="AG291" s="91">
        <f t="shared" si="15"/>
        <v>8.5952623113025664E-3</v>
      </c>
      <c r="AH291" s="91">
        <f>_xll.PDENSITY($AG$291,Sheet1!$K$245:$K$268,$AG$232,$AG$233,0)</f>
        <v>8.0055064454531024</v>
      </c>
    </row>
    <row r="292" spans="1:34">
      <c r="A292">
        <v>12</v>
      </c>
      <c r="B292" s="91">
        <f>Sheet1!C$256</f>
        <v>-2.8718491786274356</v>
      </c>
      <c r="C292" s="26"/>
      <c r="D292" s="26"/>
      <c r="E292" s="8"/>
      <c r="F292" s="8"/>
      <c r="G292" s="8"/>
      <c r="N292" s="26"/>
      <c r="O292" s="26"/>
      <c r="P292" s="26"/>
      <c r="Q292" s="26"/>
      <c r="AF292">
        <v>55</v>
      </c>
      <c r="AG292" s="91">
        <f t="shared" si="15"/>
        <v>1.0134222040152147E-2</v>
      </c>
      <c r="AH292" s="91">
        <f>_xll.PDENSITY($AG$292,Sheet1!$K$245:$K$268,$AG$232,$AG$233,0)</f>
        <v>7.8942957038033352</v>
      </c>
    </row>
    <row r="293" spans="1:34">
      <c r="A293">
        <v>13</v>
      </c>
      <c r="B293" s="91">
        <f>Sheet1!C$257</f>
        <v>3.7872116608998567</v>
      </c>
      <c r="C293" s="26"/>
      <c r="D293" s="26"/>
      <c r="E293" s="8"/>
      <c r="F293" s="8"/>
      <c r="G293" s="8"/>
      <c r="N293" s="26"/>
      <c r="O293" s="26"/>
      <c r="P293" s="26"/>
      <c r="Q293" s="26"/>
      <c r="AF293">
        <v>56</v>
      </c>
      <c r="AG293" s="91">
        <f t="shared" si="15"/>
        <v>1.1673181769001728E-2</v>
      </c>
      <c r="AH293" s="91">
        <f>_xll.PDENSITY($AG$293,Sheet1!$K$245:$K$268,$AG$232,$AG$233,0)</f>
        <v>7.7773846964417279</v>
      </c>
    </row>
    <row r="294" spans="1:34">
      <c r="A294">
        <v>14</v>
      </c>
      <c r="B294" s="91">
        <f>Sheet1!C$258</f>
        <v>0.29003915138245873</v>
      </c>
      <c r="C294" s="26"/>
      <c r="D294" s="26"/>
      <c r="E294" s="8"/>
      <c r="F294" s="8"/>
      <c r="G294" s="8"/>
      <c r="N294" s="26"/>
      <c r="O294" s="26"/>
      <c r="P294" s="26"/>
      <c r="Q294" s="26"/>
      <c r="AF294">
        <v>57</v>
      </c>
      <c r="AG294" s="91">
        <f t="shared" si="15"/>
        <v>1.3212141497851309E-2</v>
      </c>
      <c r="AH294" s="91">
        <f>_xll.PDENSITY($AG$294,Sheet1!$K$245:$K$268,$AG$232,$AG$233,0)</f>
        <v>7.6562040621645666</v>
      </c>
    </row>
    <row r="295" spans="1:34">
      <c r="A295">
        <v>15</v>
      </c>
      <c r="B295" s="91">
        <f>Sheet1!C$259</f>
        <v>-0.53180451656575656</v>
      </c>
      <c r="C295" s="26"/>
      <c r="D295" s="26"/>
      <c r="E295" s="8"/>
      <c r="F295" s="8"/>
      <c r="G295" s="8"/>
      <c r="N295" s="26"/>
      <c r="O295" s="26"/>
      <c r="P295" s="26"/>
      <c r="Q295" s="26"/>
      <c r="AF295">
        <v>58</v>
      </c>
      <c r="AG295" s="91">
        <f t="shared" si="15"/>
        <v>1.475110122670089E-2</v>
      </c>
      <c r="AH295" s="91">
        <f>_xll.PDENSITY($AG$295,Sheet1!$K$245:$K$268,$AG$232,$AG$233,0)</f>
        <v>7.5321232091903569</v>
      </c>
    </row>
    <row r="296" spans="1:34">
      <c r="A296">
        <v>16</v>
      </c>
      <c r="B296" s="91">
        <f>Sheet1!C$260</f>
        <v>1.4867506456940873</v>
      </c>
      <c r="C296" s="26"/>
      <c r="D296" s="26"/>
      <c r="E296" s="8"/>
      <c r="F296" s="8"/>
      <c r="G296" s="8"/>
      <c r="N296" s="26"/>
      <c r="O296" s="26"/>
      <c r="P296" s="26"/>
      <c r="Q296" s="26"/>
      <c r="AF296">
        <v>59</v>
      </c>
      <c r="AG296" s="91">
        <f t="shared" si="15"/>
        <v>1.6290060955550471E-2</v>
      </c>
      <c r="AH296" s="91">
        <f>_xll.PDENSITY($AG$296,Sheet1!$K$245:$K$268,$AG$232,$AG$233,0)</f>
        <v>7.4064209032029673</v>
      </c>
    </row>
    <row r="297" spans="1:34">
      <c r="A297">
        <v>17</v>
      </c>
      <c r="B297" s="91">
        <f>Sheet1!C$261</f>
        <v>-0.22250377115611997</v>
      </c>
      <c r="C297" s="26"/>
      <c r="D297" s="26"/>
      <c r="E297" s="8"/>
      <c r="F297" s="8"/>
      <c r="G297" s="8"/>
      <c r="N297" s="26"/>
      <c r="O297" s="26"/>
      <c r="P297" s="26"/>
      <c r="Q297" s="26"/>
      <c r="AF297">
        <v>60</v>
      </c>
      <c r="AG297" s="91">
        <f t="shared" si="15"/>
        <v>1.7829020684400051E-2</v>
      </c>
      <c r="AH297" s="91">
        <f>_xll.PDENSITY($AG$297,Sheet1!$K$245:$K$268,$AG$232,$AG$233,0)</f>
        <v>7.2802598382939312</v>
      </c>
    </row>
    <row r="298" spans="1:34">
      <c r="A298">
        <v>18</v>
      </c>
      <c r="B298" s="91">
        <f>Sheet1!C$262</f>
        <v>-0.41320139297500447</v>
      </c>
      <c r="C298" s="26"/>
      <c r="D298" s="26"/>
      <c r="E298" s="8"/>
      <c r="F298" s="8"/>
      <c r="G298" s="8"/>
      <c r="N298" s="26"/>
      <c r="O298" s="26"/>
      <c r="P298" s="26"/>
      <c r="Q298" s="26"/>
      <c r="AF298">
        <v>61</v>
      </c>
      <c r="AG298" s="91">
        <f t="shared" si="15"/>
        <v>1.9367980413249632E-2</v>
      </c>
      <c r="AH298" s="91">
        <f>_xll.PDENSITY($AG$298,Sheet1!$K$245:$K$268,$AG$232,$AG$233,0)</f>
        <v>7.1546657680171588</v>
      </c>
    </row>
    <row r="299" spans="1:34">
      <c r="A299">
        <v>19</v>
      </c>
      <c r="B299" s="91">
        <f>Sheet1!C$263</f>
        <v>3.7613068704883972</v>
      </c>
      <c r="C299" s="26"/>
      <c r="D299" s="26"/>
      <c r="E299" s="8"/>
      <c r="F299" s="8"/>
      <c r="G299" s="8"/>
      <c r="N299" s="26"/>
      <c r="O299" s="26"/>
      <c r="P299" s="26"/>
      <c r="Q299" s="26"/>
      <c r="AF299">
        <v>62</v>
      </c>
      <c r="AG299" s="91">
        <f t="shared" si="15"/>
        <v>2.0906940142099213E-2</v>
      </c>
      <c r="AH299" s="91">
        <f>_xll.PDENSITY($AG$299,Sheet1!$K$245:$K$268,$AG$232,$AG$233,0)</f>
        <v>7.0305115828489972</v>
      </c>
    </row>
    <row r="300" spans="1:34">
      <c r="A300">
        <v>20</v>
      </c>
      <c r="B300" s="91">
        <f>Sheet1!C$264</f>
        <v>-1.1434900650967279</v>
      </c>
      <c r="C300" s="26"/>
      <c r="D300" s="26"/>
      <c r="E300" s="8"/>
      <c r="F300" s="8"/>
      <c r="G300" s="8"/>
      <c r="N300" s="26"/>
      <c r="O300" s="26"/>
      <c r="P300" s="26"/>
      <c r="Q300" s="26"/>
      <c r="AF300">
        <v>63</v>
      </c>
      <c r="AG300" s="91">
        <f t="shared" si="15"/>
        <v>2.2445899870948794E-2</v>
      </c>
      <c r="AH300" s="91">
        <f>_xll.PDENSITY($AG$300,Sheet1!$K$245:$K$268,$AG$232,$AG$233,0)</f>
        <v>6.9085065269963488</v>
      </c>
    </row>
    <row r="301" spans="1:34">
      <c r="A301">
        <v>21</v>
      </c>
      <c r="B301" s="91">
        <f>Sheet1!C$265</f>
        <v>2.472604818046193</v>
      </c>
      <c r="C301" s="26"/>
      <c r="D301" s="26"/>
      <c r="E301" s="8"/>
      <c r="F301" s="8"/>
      <c r="G301" s="8"/>
      <c r="N301" s="26"/>
      <c r="O301" s="26"/>
      <c r="P301" s="26"/>
      <c r="Q301" s="26"/>
      <c r="AF301">
        <v>64</v>
      </c>
      <c r="AG301" s="91">
        <f t="shared" si="15"/>
        <v>2.3984859599798375E-2</v>
      </c>
      <c r="AH301" s="91">
        <f>_xll.PDENSITY($AG$301,Sheet1!$K$245:$K$268,$AG$232,$AG$233,0)</f>
        <v>6.7891905602090823</v>
      </c>
    </row>
    <row r="302" spans="1:34">
      <c r="A302">
        <v>22</v>
      </c>
      <c r="B302" s="91">
        <f>Sheet1!C$266</f>
        <v>-0.97967735304929704</v>
      </c>
      <c r="C302" s="26"/>
      <c r="D302" s="26"/>
      <c r="E302" s="8"/>
      <c r="F302" s="8"/>
      <c r="G302" s="8"/>
      <c r="N302" s="26"/>
      <c r="O302" s="26"/>
      <c r="P302" s="26"/>
      <c r="Q302" s="26"/>
      <c r="AF302">
        <v>65</v>
      </c>
      <c r="AG302" s="91">
        <f t="shared" si="15"/>
        <v>2.5523819328647956E-2</v>
      </c>
      <c r="AH302" s="91">
        <f>_xll.PDENSITY($AG$302,Sheet1!$K$245:$K$268,$AG$232,$AG$233,0)</f>
        <v>6.6729336966188821</v>
      </c>
    </row>
    <row r="303" spans="1:34">
      <c r="A303">
        <v>23</v>
      </c>
      <c r="B303" s="91">
        <f>Sheet1!C$267</f>
        <v>-2.1985020013768022</v>
      </c>
      <c r="C303" s="26"/>
      <c r="D303" s="26"/>
      <c r="E303" s="8"/>
      <c r="F303" s="8"/>
      <c r="G303" s="8"/>
      <c r="N303" s="26"/>
      <c r="O303" s="26"/>
      <c r="P303" s="26"/>
      <c r="Q303" s="26"/>
      <c r="AF303">
        <v>66</v>
      </c>
      <c r="AG303" s="91">
        <f t="shared" ref="AG303:AG337" si="16">1/99*($AG$231-$AG$230)+AG302</f>
        <v>2.7062779057497537E-2</v>
      </c>
      <c r="AH303" s="91">
        <f>_xll.PDENSITY($AG$303,Sheet1!$K$245:$K$268,$AG$232,$AG$233,0)</f>
        <v>6.5599399989892362</v>
      </c>
    </row>
    <row r="304" spans="1:34">
      <c r="A304" s="118">
        <v>24</v>
      </c>
      <c r="B304" s="116">
        <f>Sheet1!C$268</f>
        <v>-4.2334008154992731</v>
      </c>
      <c r="C304" s="26"/>
      <c r="D304" s="26"/>
      <c r="E304" s="8"/>
      <c r="F304" s="8"/>
      <c r="G304"/>
      <c r="H304"/>
      <c r="I304"/>
      <c r="J304"/>
      <c r="K304"/>
      <c r="L304"/>
      <c r="M304"/>
      <c r="N304" s="26"/>
      <c r="O304" s="26"/>
      <c r="P304" s="26"/>
      <c r="Q304" s="26"/>
      <c r="AF304">
        <v>67</v>
      </c>
      <c r="AG304" s="91">
        <f t="shared" si="16"/>
        <v>2.8601738786347117E-2</v>
      </c>
      <c r="AH304" s="91">
        <f>_xll.PDENSITY($AG$304,Sheet1!$K$245:$K$268,$AG$232,$AG$233,0)</f>
        <v>6.4502557779769472</v>
      </c>
    </row>
    <row r="305" spans="1:34">
      <c r="A305" t="s">
        <v>4</v>
      </c>
      <c r="B305" s="91">
        <f>AVERAGE(Sheet1!C$245:C$268)</f>
        <v>-1.2256862191861728E-13</v>
      </c>
      <c r="C305" s="8"/>
      <c r="D305" s="8"/>
      <c r="E305" s="8"/>
      <c r="F305" s="8"/>
      <c r="G305"/>
      <c r="H305"/>
      <c r="I305"/>
      <c r="J305"/>
      <c r="K305"/>
      <c r="L305"/>
      <c r="M305"/>
      <c r="N305" s="26"/>
      <c r="O305" s="26"/>
      <c r="P305" s="26"/>
      <c r="Q305" s="26"/>
      <c r="AF305">
        <v>68</v>
      </c>
      <c r="AG305" s="91">
        <f t="shared" si="16"/>
        <v>3.0140698515196698E-2</v>
      </c>
      <c r="AH305" s="91">
        <f>_xll.PDENSITY($AG$305,Sheet1!$K$245:$K$268,$AG$232,$AG$233,0)</f>
        <v>6.343781445305348</v>
      </c>
    </row>
    <row r="306" spans="1:34">
      <c r="A306" t="s">
        <v>153</v>
      </c>
      <c r="B306" s="91">
        <f>MIN(Sheet1!C$245:C$268)</f>
        <v>-4.4473003282377803</v>
      </c>
      <c r="C306" s="26"/>
      <c r="D306" s="8"/>
      <c r="E306" s="8"/>
      <c r="F306" s="8"/>
      <c r="G306"/>
      <c r="H306"/>
      <c r="I306"/>
      <c r="J306"/>
      <c r="K306"/>
      <c r="L306"/>
      <c r="M306"/>
      <c r="N306" s="26"/>
      <c r="O306" s="26"/>
      <c r="P306" s="26"/>
      <c r="Q306" s="26"/>
      <c r="AF306">
        <v>69</v>
      </c>
      <c r="AG306" s="91">
        <f t="shared" si="16"/>
        <v>3.1679658244046283E-2</v>
      </c>
      <c r="AH306" s="91">
        <f>_xll.PDENSITY($AG$306,Sheet1!$K$245:$K$268,$AG$232,$AG$233,0)</f>
        <v>6.2402863987066963</v>
      </c>
    </row>
    <row r="307" spans="1:34">
      <c r="A307" t="s">
        <v>154</v>
      </c>
      <c r="B307" s="91">
        <f>MAX(Sheet1!C$245:C$268)</f>
        <v>5.928015441584364</v>
      </c>
      <c r="C307" s="43"/>
      <c r="D307" s="11"/>
      <c r="E307" s="8"/>
      <c r="F307" s="8"/>
      <c r="G307"/>
      <c r="H307"/>
      <c r="I307"/>
      <c r="J307"/>
      <c r="K307"/>
      <c r="L307"/>
      <c r="M307"/>
      <c r="N307" s="26"/>
      <c r="O307" s="26"/>
      <c r="P307" s="26"/>
      <c r="Q307" s="26"/>
      <c r="AF307">
        <v>70</v>
      </c>
      <c r="AG307" s="91">
        <f t="shared" si="16"/>
        <v>3.3218617972895867E-2</v>
      </c>
      <c r="AH307" s="91">
        <f>_xll.PDENSITY($AG$307,Sheet1!$K$245:$K$268,$AG$232,$AG$233,0)</f>
        <v>6.1394262750931627</v>
      </c>
    </row>
    <row r="308" spans="1:34">
      <c r="A308" t="s">
        <v>155</v>
      </c>
      <c r="B308">
        <f>CORREL(B$281:B$303,B$282:B$304)</f>
        <v>8.3338395865385426E-2</v>
      </c>
      <c r="C308" s="43"/>
      <c r="D308" s="11"/>
      <c r="E308" s="8"/>
      <c r="F308" s="8"/>
      <c r="G308"/>
      <c r="H308"/>
      <c r="I308"/>
      <c r="J308"/>
      <c r="K308"/>
      <c r="L308"/>
      <c r="M308"/>
      <c r="N308" s="26"/>
      <c r="O308" s="26"/>
      <c r="P308" s="26"/>
      <c r="Q308" s="26"/>
      <c r="AF308">
        <v>71</v>
      </c>
      <c r="AG308" s="91">
        <f t="shared" si="16"/>
        <v>3.4757577701745451E-2</v>
      </c>
      <c r="AH308" s="91">
        <f>_xll.PDENSITY($AG$308,Sheet1!$K$245:$K$268,$AG$232,$AG$233,0)</f>
        <v>6.0407618952202622</v>
      </c>
    </row>
    <row r="309" spans="1:34">
      <c r="A309"/>
      <c r="B309"/>
      <c r="C309" s="43"/>
      <c r="D309" s="11"/>
      <c r="E309" s="8"/>
      <c r="F309" s="8"/>
      <c r="G309"/>
      <c r="H309"/>
      <c r="I309"/>
      <c r="J309"/>
      <c r="K309"/>
      <c r="L309"/>
      <c r="M309"/>
      <c r="N309" s="26"/>
      <c r="O309" s="26"/>
      <c r="P309" s="26"/>
      <c r="Q309" s="26"/>
      <c r="AF309">
        <v>72</v>
      </c>
      <c r="AG309" s="91">
        <f t="shared" si="16"/>
        <v>3.6296537430595036E-2</v>
      </c>
      <c r="AH309" s="91">
        <f>_xll.PDENSITY($AG$309,Sheet1!$K$245:$K$268,$AG$232,$AG$233,0)</f>
        <v>5.9437792354749561</v>
      </c>
    </row>
    <row r="310" spans="1:34">
      <c r="A310" t="s">
        <v>156</v>
      </c>
      <c r="B310"/>
      <c r="C310" s="43"/>
      <c r="D310" s="26"/>
      <c r="E310" s="8"/>
      <c r="F310" s="8"/>
      <c r="G310"/>
      <c r="H310"/>
      <c r="I310"/>
      <c r="J310"/>
      <c r="K310"/>
      <c r="L310"/>
      <c r="M310"/>
      <c r="N310" s="26"/>
      <c r="O310" s="26"/>
      <c r="P310" s="26"/>
      <c r="Q310" s="26"/>
      <c r="AF310">
        <v>73</v>
      </c>
      <c r="AG310" s="91">
        <f t="shared" si="16"/>
        <v>3.783549715944462E-2</v>
      </c>
      <c r="AH310" s="91">
        <f>_xll.PDENSITY($AG$310,Sheet1!$K$245:$K$268,$AG$232,$AG$233,0)</f>
        <v>5.8479097967957019</v>
      </c>
    </row>
    <row r="311" spans="1:34">
      <c r="A311"/>
      <c r="B311" t="str">
        <f>Sheet1!$C$244</f>
        <v>Residuals</v>
      </c>
      <c r="C311" s="43"/>
      <c r="D311" s="26"/>
      <c r="E311" s="8"/>
      <c r="F311" s="8"/>
      <c r="G311"/>
      <c r="H311"/>
      <c r="I311"/>
      <c r="J311"/>
      <c r="K311"/>
      <c r="L311"/>
      <c r="M311"/>
      <c r="N311" s="26"/>
      <c r="O311" s="26"/>
      <c r="P311" s="26"/>
      <c r="Q311" s="26"/>
      <c r="AF311">
        <v>74</v>
      </c>
      <c r="AG311" s="91">
        <f t="shared" si="16"/>
        <v>3.9374456888294204E-2</v>
      </c>
      <c r="AH311" s="91">
        <f>_xll.PDENSITY($AG$311,Sheet1!$K$245:$K$268,$AG$232,$AG$233,0)</f>
        <v>5.7525507929466153</v>
      </c>
    </row>
    <row r="312" spans="1:34">
      <c r="A312" t="str">
        <f>Sheet1!$C$244</f>
        <v>Residuals</v>
      </c>
      <c r="B312">
        <f>CORREL(B$281:B$304,B$281:B$304)</f>
        <v>0.99999999999999989</v>
      </c>
      <c r="C312" s="43"/>
      <c r="D312" s="26"/>
      <c r="E312" s="8"/>
      <c r="F312" s="8"/>
      <c r="G312"/>
      <c r="H312"/>
      <c r="I312"/>
      <c r="J312"/>
      <c r="K312"/>
      <c r="L312"/>
      <c r="M312"/>
      <c r="N312" s="26"/>
      <c r="O312" s="26"/>
      <c r="P312" s="26"/>
      <c r="Q312" s="26"/>
      <c r="AF312">
        <v>75</v>
      </c>
      <c r="AG312" s="91">
        <f t="shared" si="16"/>
        <v>4.0913416617143789E-2</v>
      </c>
      <c r="AH312" s="91">
        <f>_xll.PDENSITY($AG$312,Sheet1!$K$245:$K$268,$AG$232,$AG$233,0)</f>
        <v>5.6570846459548259</v>
      </c>
    </row>
    <row r="313" spans="1:34">
      <c r="A313"/>
      <c r="B313"/>
      <c r="C313" s="43"/>
      <c r="D313" s="26"/>
      <c r="E313" s="8"/>
      <c r="F313" s="8"/>
      <c r="G313"/>
      <c r="H313"/>
      <c r="I313"/>
      <c r="J313"/>
      <c r="K313"/>
      <c r="L313"/>
      <c r="M313"/>
      <c r="N313" s="26"/>
      <c r="O313" s="26"/>
      <c r="P313" s="26"/>
      <c r="Q313" s="26"/>
      <c r="AF313">
        <v>76</v>
      </c>
      <c r="AG313" s="91">
        <f t="shared" si="16"/>
        <v>4.2452376345993373E-2</v>
      </c>
      <c r="AH313" s="91">
        <f>_xll.PDENSITY($AG$313,Sheet1!$K$245:$K$268,$AG$232,$AG$233,0)</f>
        <v>5.5608973510026996</v>
      </c>
    </row>
    <row r="314" spans="1:34">
      <c r="A314" t="s">
        <v>157</v>
      </c>
      <c r="B314"/>
      <c r="C314" s="43"/>
      <c r="D314" s="26"/>
      <c r="E314" s="8"/>
      <c r="F314" s="8"/>
      <c r="G314"/>
      <c r="H314"/>
      <c r="I314"/>
      <c r="J314"/>
      <c r="K314"/>
      <c r="L314"/>
      <c r="M314"/>
      <c r="N314" s="26"/>
      <c r="O314" s="26"/>
      <c r="P314" s="26"/>
      <c r="Q314" s="26"/>
      <c r="AF314">
        <v>77</v>
      </c>
      <c r="AG314" s="91">
        <f t="shared" si="16"/>
        <v>4.3991336074842957E-2</v>
      </c>
      <c r="AH314" s="91">
        <f>_xll.PDENSITY($AG$314,Sheet1!$K$245:$K$268,$AG$232,$AG$233,0)</f>
        <v>5.4633953522151311</v>
      </c>
    </row>
    <row r="315" spans="1:34">
      <c r="A315" s="118" t="s">
        <v>158</v>
      </c>
      <c r="B315" s="118" t="str">
        <f>Sheet1!$C$244</f>
        <v>Residuals</v>
      </c>
      <c r="C315" s="43"/>
      <c r="D315" s="26"/>
      <c r="E315" s="8"/>
      <c r="F315" s="8"/>
      <c r="G315"/>
      <c r="H315"/>
      <c r="I315"/>
      <c r="J315"/>
      <c r="K315"/>
      <c r="L315"/>
      <c r="M315"/>
      <c r="N315" s="26"/>
      <c r="O315" s="26"/>
      <c r="P315" s="26"/>
      <c r="Q315" s="26"/>
      <c r="AF315">
        <v>78</v>
      </c>
      <c r="AG315" s="91">
        <f t="shared" si="16"/>
        <v>4.5530295803692541E-2</v>
      </c>
      <c r="AH315" s="91">
        <f>_xll.PDENSITY($AG$315,Sheet1!$K$245:$K$268,$AG$232,$AG$233,0)</f>
        <v>5.3640206508164887</v>
      </c>
    </row>
    <row r="316" spans="1:34">
      <c r="A316">
        <v>0</v>
      </c>
      <c r="B316">
        <f>IF(B$317&lt;0,B$317* 1.0001,B$317*0.9999)</f>
        <v>-4.4477450582706037</v>
      </c>
      <c r="C316" s="43"/>
      <c r="D316" s="26"/>
      <c r="E316" s="26"/>
      <c r="F316" s="26"/>
      <c r="G316"/>
      <c r="H316"/>
      <c r="I316"/>
      <c r="J316"/>
      <c r="K316"/>
      <c r="L316"/>
      <c r="M316"/>
      <c r="N316" s="26"/>
      <c r="O316" s="26"/>
      <c r="P316" s="26"/>
      <c r="Q316" s="26"/>
      <c r="AF316">
        <v>79</v>
      </c>
      <c r="AG316" s="91">
        <f t="shared" si="16"/>
        <v>4.7069255532542126E-2</v>
      </c>
      <c r="AH316" s="91">
        <f>_xll.PDENSITY($AG$316,Sheet1!$K$245:$K$268,$AG$232,$AG$233,0)</f>
        <v>5.2622639448693862</v>
      </c>
    </row>
    <row r="317" spans="1:34">
      <c r="A317">
        <v>2.083333395421505E-2</v>
      </c>
      <c r="B317">
        <f>SMALL(Sheet1!C$245:C$268,$A$281)</f>
        <v>-4.4473003282377803</v>
      </c>
      <c r="C317" s="43"/>
      <c r="D317" s="26"/>
      <c r="E317" s="26"/>
      <c r="F317" s="26"/>
      <c r="G317"/>
      <c r="H317"/>
      <c r="I317"/>
      <c r="J317"/>
      <c r="K317"/>
      <c r="L317"/>
      <c r="M317"/>
      <c r="N317" s="26"/>
      <c r="O317" s="26"/>
      <c r="P317" s="26"/>
      <c r="Q317" s="26"/>
      <c r="AF317">
        <v>80</v>
      </c>
      <c r="AG317" s="91">
        <f t="shared" si="16"/>
        <v>4.860821526139171E-2</v>
      </c>
      <c r="AH317" s="91">
        <f>_xll.PDENSITY($AG$317,Sheet1!$K$245:$K$268,$AG$232,$AG$233,0)</f>
        <v>5.157675672742994</v>
      </c>
    </row>
    <row r="318" spans="1:34">
      <c r="A318">
        <v>6.25E-2</v>
      </c>
      <c r="B318">
        <f>SMALL(Sheet1!C$245:C$268,$A$282)</f>
        <v>-4.2334008154992731</v>
      </c>
      <c r="I318"/>
      <c r="J318"/>
      <c r="K318"/>
      <c r="L318"/>
      <c r="M318"/>
      <c r="N318" s="26"/>
      <c r="O318" s="26"/>
      <c r="P318" s="26"/>
      <c r="Q318" s="26"/>
      <c r="AF318">
        <v>81</v>
      </c>
      <c r="AG318" s="91">
        <f t="shared" si="16"/>
        <v>5.0147174990241294E-2</v>
      </c>
      <c r="AH318" s="91">
        <f>_xll.PDENSITY($AG$318,Sheet1!$K$245:$K$268,$AG$232,$AG$233,0)</f>
        <v>5.0498748987901703</v>
      </c>
    </row>
    <row r="319" spans="1:34">
      <c r="A319">
        <v>0.1041666641831398</v>
      </c>
      <c r="B319">
        <f>SMALL(Sheet1!C$245:C$268,$A$283)</f>
        <v>-3.5916671950341765</v>
      </c>
      <c r="I319"/>
      <c r="J319"/>
      <c r="K319"/>
      <c r="L319"/>
      <c r="M319"/>
      <c r="N319" s="26"/>
      <c r="O319" s="26"/>
      <c r="P319" s="26"/>
      <c r="Q319" s="26"/>
      <c r="AF319">
        <v>82</v>
      </c>
      <c r="AG319" s="91">
        <f t="shared" si="16"/>
        <v>5.1686134719090879E-2</v>
      </c>
      <c r="AH319" s="91">
        <f>_xll.PDENSITY($AG$319,Sheet1!$K$245:$K$268,$AG$232,$AG$233,0)</f>
        <v>4.9385560383095255</v>
      </c>
    </row>
    <row r="320" spans="1:34">
      <c r="A320">
        <v>0.1458333283662796</v>
      </c>
      <c r="B320">
        <f>SMALL(Sheet1!C$245:C$268,$A$284)</f>
        <v>-3.5417477206445795</v>
      </c>
      <c r="I320"/>
      <c r="J320"/>
      <c r="K320"/>
      <c r="L320"/>
      <c r="M320"/>
      <c r="N320" s="26"/>
      <c r="O320" s="26"/>
      <c r="P320" s="26"/>
      <c r="Q320" s="26"/>
      <c r="AF320">
        <v>83</v>
      </c>
      <c r="AG320" s="91">
        <f t="shared" si="16"/>
        <v>5.3225094447940463E-2</v>
      </c>
      <c r="AH320" s="91">
        <f>_xll.PDENSITY($AG$320,Sheet1!$K$245:$K$268,$AG$232,$AG$233,0)</f>
        <v>4.8234934691990139</v>
      </c>
    </row>
    <row r="321" spans="1:34">
      <c r="A321">
        <v>0.1875</v>
      </c>
      <c r="B321">
        <f>SMALL(Sheet1!C$245:C$268,$A$285)</f>
        <v>-2.8718491786274356</v>
      </c>
      <c r="I321"/>
      <c r="J321"/>
      <c r="K321"/>
      <c r="L321"/>
      <c r="M321"/>
      <c r="N321" s="26"/>
      <c r="O321" s="26"/>
      <c r="P321" s="26"/>
      <c r="Q321" s="26"/>
      <c r="AF321">
        <v>84</v>
      </c>
      <c r="AG321" s="91">
        <f t="shared" si="16"/>
        <v>5.4764054176790047E-2</v>
      </c>
      <c r="AH321" s="91">
        <f>_xll.PDENSITY($AG$321,Sheet1!$K$245:$K$268,$AG$232,$AG$233,0)</f>
        <v>4.7045441197355622</v>
      </c>
    </row>
    <row r="322" spans="1:34">
      <c r="A322">
        <v>0.2291666716337204</v>
      </c>
      <c r="B322">
        <f>SMALL(Sheet1!C$245:C$268,$A$286)</f>
        <v>-2.1985020013768022</v>
      </c>
      <c r="I322"/>
      <c r="J322"/>
      <c r="K322"/>
      <c r="L322"/>
      <c r="M322"/>
      <c r="N322" s="26"/>
      <c r="O322" s="26"/>
      <c r="P322" s="26"/>
      <c r="Q322" s="26"/>
      <c r="AF322">
        <v>85</v>
      </c>
      <c r="AG322" s="91">
        <f t="shared" si="16"/>
        <v>5.6303013905639632E-2</v>
      </c>
      <c r="AH322" s="91">
        <f>_xll.PDENSITY($AG$322,Sheet1!$K$245:$K$268,$AG$232,$AG$233,0)</f>
        <v>4.5816481559801678</v>
      </c>
    </row>
    <row r="323" spans="1:34">
      <c r="A323">
        <v>0.2708333432674408</v>
      </c>
      <c r="B323">
        <f>SMALL(Sheet1!C$245:C$268,$A$287)</f>
        <v>-1.1434900650967279</v>
      </c>
      <c r="I323"/>
      <c r="J323"/>
      <c r="K323"/>
      <c r="L323"/>
      <c r="M323"/>
      <c r="N323" s="26"/>
      <c r="O323" s="26"/>
      <c r="P323" s="26"/>
      <c r="Q323" s="26"/>
      <c r="AF323">
        <v>86</v>
      </c>
      <c r="AG323" s="91">
        <f t="shared" si="16"/>
        <v>5.7841973634489216E-2</v>
      </c>
      <c r="AH323" s="91">
        <f>_xll.PDENSITY($AG$323,Sheet1!$K$245:$K$268,$AG$232,$AG$233,0)</f>
        <v>4.4548279190012767</v>
      </c>
    </row>
    <row r="324" spans="1:34">
      <c r="A324">
        <v>0.3125</v>
      </c>
      <c r="B324">
        <f>SMALL(Sheet1!C$245:C$268,$A$288)</f>
        <v>-0.97967735304929704</v>
      </c>
      <c r="I324"/>
      <c r="J324"/>
      <c r="K324"/>
      <c r="L324"/>
      <c r="M324"/>
      <c r="N324" s="26"/>
      <c r="O324" s="26"/>
      <c r="P324" s="26"/>
      <c r="Q324" s="26"/>
      <c r="AF324">
        <v>87</v>
      </c>
      <c r="AG324" s="91">
        <f t="shared" si="16"/>
        <v>5.93809333633388E-2</v>
      </c>
      <c r="AH324" s="91">
        <f>_xll.PDENSITY($AG$324,Sheet1!$K$245:$K$268,$AG$232,$AG$233,0)</f>
        <v>4.3241852821599283</v>
      </c>
    </row>
    <row r="325" spans="1:34">
      <c r="A325">
        <v>0.3541666567325592</v>
      </c>
      <c r="B325">
        <f>SMALL(Sheet1!C$245:C$268,$A$289)</f>
        <v>-0.64590026193128836</v>
      </c>
      <c r="I325"/>
      <c r="J325"/>
      <c r="K325"/>
      <c r="L325"/>
      <c r="M325"/>
      <c r="N325" s="26"/>
      <c r="O325" s="26"/>
      <c r="P325" s="26"/>
      <c r="Q325" s="26"/>
      <c r="AF325">
        <v>88</v>
      </c>
      <c r="AG325" s="91">
        <f t="shared" si="16"/>
        <v>6.0919893092188385E-2</v>
      </c>
      <c r="AH325" s="91">
        <f>_xll.PDENSITY($AG$325,Sheet1!$K$245:$K$268,$AG$232,$AG$233,0)</f>
        <v>4.189897612876365</v>
      </c>
    </row>
    <row r="326" spans="1:34">
      <c r="A326">
        <v>0.39583331346511841</v>
      </c>
      <c r="B326">
        <f>SMALL(Sheet1!C$245:C$268,$A$290)</f>
        <v>-0.53180451656575656</v>
      </c>
      <c r="I326"/>
      <c r="J326"/>
      <c r="K326"/>
      <c r="L326"/>
      <c r="M326"/>
      <c r="N326" s="26"/>
      <c r="O326" s="26"/>
      <c r="P326" s="26"/>
      <c r="Q326" s="26"/>
      <c r="AF326">
        <v>89</v>
      </c>
      <c r="AG326" s="91">
        <f t="shared" si="16"/>
        <v>6.2458852821037969E-2</v>
      </c>
      <c r="AH326" s="91">
        <f>_xll.PDENSITY($AG$326,Sheet1!$K$245:$K$268,$AG$232,$AG$233,0)</f>
        <v>4.0522125323327094</v>
      </c>
    </row>
    <row r="327" spans="1:34">
      <c r="A327">
        <v>0.43749997019767761</v>
      </c>
      <c r="B327">
        <f>SMALL(Sheet1!C$245:C$268,$A$291)</f>
        <v>-0.49102658444724057</v>
      </c>
      <c r="I327"/>
      <c r="J327"/>
      <c r="K327"/>
      <c r="L327"/>
      <c r="M327"/>
      <c r="N327" s="26"/>
      <c r="O327" s="26"/>
      <c r="P327" s="26"/>
      <c r="Q327" s="26"/>
      <c r="AF327">
        <v>90</v>
      </c>
      <c r="AG327" s="91">
        <f t="shared" si="16"/>
        <v>6.3997812549887553E-2</v>
      </c>
      <c r="AH327" s="91">
        <f>_xll.PDENSITY($AG$327,Sheet1!$K$245:$K$268,$AG$232,$AG$233,0)</f>
        <v>3.9114416711111053</v>
      </c>
    </row>
    <row r="328" spans="1:34">
      <c r="A328">
        <v>0.47916662693023682</v>
      </c>
      <c r="B328">
        <f>SMALL(Sheet1!C$245:C$268,$A$292)</f>
        <v>-0.41320139297500447</v>
      </c>
      <c r="I328"/>
      <c r="J328"/>
      <c r="K328"/>
      <c r="L328"/>
      <c r="M328"/>
      <c r="N328" s="26"/>
      <c r="O328" s="26"/>
      <c r="P328" s="26"/>
      <c r="Q328" s="26"/>
      <c r="AF328">
        <v>91</v>
      </c>
      <c r="AG328" s="91">
        <f t="shared" si="16"/>
        <v>6.5536772278737138E-2</v>
      </c>
      <c r="AH328" s="91">
        <f>_xll.PDENSITY($AG$328,Sheet1!$K$245:$K$268,$AG$232,$AG$233,0)</f>
        <v>3.7679536193683343</v>
      </c>
    </row>
    <row r="329" spans="1:34">
      <c r="A329">
        <v>0.52083331346511841</v>
      </c>
      <c r="B329">
        <f>SMALL(Sheet1!C$245:C$268,$A$293)</f>
        <v>-0.22250377115611997</v>
      </c>
      <c r="I329"/>
      <c r="J329"/>
      <c r="K329"/>
      <c r="L329"/>
      <c r="M329"/>
      <c r="N329" s="26"/>
      <c r="O329" s="26"/>
      <c r="P329" s="26"/>
      <c r="Q329" s="26"/>
      <c r="AF329">
        <v>92</v>
      </c>
      <c r="AG329" s="91">
        <f t="shared" si="16"/>
        <v>6.7075732007586722E-2</v>
      </c>
      <c r="AH329" s="91">
        <f>_xll.PDENSITY($AG$329,Sheet1!$K$245:$K$268,$AG$232,$AG$233,0)</f>
        <v>3.6221662672503441</v>
      </c>
    </row>
    <row r="330" spans="1:34">
      <c r="A330">
        <v>0.5625</v>
      </c>
      <c r="B330">
        <f>SMALL(Sheet1!C$245:C$268,$A$294)</f>
        <v>0.10723761446918445</v>
      </c>
      <c r="I330"/>
      <c r="J330"/>
      <c r="K330"/>
      <c r="L330"/>
      <c r="M330"/>
      <c r="N330" s="26"/>
      <c r="O330" s="26"/>
      <c r="P330" s="26"/>
      <c r="Q330" s="26"/>
      <c r="AF330">
        <v>93</v>
      </c>
      <c r="AG330" s="91">
        <f t="shared" si="16"/>
        <v>6.8614691736436306E-2</v>
      </c>
      <c r="AH330" s="91">
        <f>_xll.PDENSITY($AG$330,Sheet1!$K$245:$K$268,$AG$232,$AG$233,0)</f>
        <v>3.4745387252142357</v>
      </c>
    </row>
    <row r="331" spans="1:34">
      <c r="A331">
        <v>0.60416668653488159</v>
      </c>
      <c r="B331">
        <f>SMALL(Sheet1!C$245:C$268,$A$295)</f>
        <v>0.29003915138245873</v>
      </c>
      <c r="C331" s="43"/>
      <c r="D331" s="26"/>
      <c r="E331" s="26"/>
      <c r="F331" s="26"/>
      <c r="G331"/>
      <c r="H331"/>
      <c r="I331"/>
      <c r="J331"/>
      <c r="K331"/>
      <c r="L331"/>
      <c r="M331"/>
      <c r="N331" s="26"/>
      <c r="O331" s="26"/>
      <c r="P331" s="26"/>
      <c r="Q331" s="26"/>
      <c r="AF331">
        <v>94</v>
      </c>
      <c r="AG331" s="91">
        <f t="shared" si="16"/>
        <v>7.0153651465285891E-2</v>
      </c>
      <c r="AH331" s="91">
        <f>_xll.PDENSITY($AG$331,Sheet1!$K$245:$K$268,$AG$232,$AG$233,0)</f>
        <v>3.3255630050581946</v>
      </c>
    </row>
    <row r="332" spans="1:34">
      <c r="A332">
        <v>0.64583337306976318</v>
      </c>
      <c r="B332">
        <f>SMALL(Sheet1!C$245:C$268,$A$296)</f>
        <v>0.5788595975792461</v>
      </c>
      <c r="C332" s="121"/>
      <c r="D332" s="122" t="s">
        <v>160</v>
      </c>
      <c r="E332" s="44"/>
      <c r="F332" s="44"/>
      <c r="G332"/>
      <c r="H332"/>
      <c r="I332"/>
      <c r="J332"/>
      <c r="K332"/>
      <c r="L332"/>
      <c r="M332"/>
      <c r="N332" s="26"/>
      <c r="O332" s="26"/>
      <c r="P332" s="26"/>
      <c r="Q332" s="26"/>
      <c r="AF332">
        <v>95</v>
      </c>
      <c r="AG332" s="91">
        <f t="shared" si="16"/>
        <v>7.1692611194135475E-2</v>
      </c>
      <c r="AH332" s="91">
        <f>_xll.PDENSITY($AG$332,Sheet1!$K$245:$K$268,$AG$232,$AG$233,0)</f>
        <v>3.175755631050988</v>
      </c>
    </row>
    <row r="333" spans="1:34">
      <c r="A333">
        <v>0.68750005960464478</v>
      </c>
      <c r="B333">
        <f>SMALL(Sheet1!C$245:C$268,$A$297)</f>
        <v>1.3090832685308129</v>
      </c>
      <c r="C333" s="43"/>
      <c r="D333" s="18">
        <f ca="1">_xll.EMP(B316:B341,A316:A341)</f>
        <v>1.5710875289422903</v>
      </c>
      <c r="E333" s="18" t="str">
        <f ca="1">_xll.VFORMULA(D333)</f>
        <v>=EMP(B316:B341,A316:A341)</v>
      </c>
      <c r="F333" s="18"/>
      <c r="G333"/>
      <c r="H333"/>
      <c r="I333"/>
      <c r="J333"/>
      <c r="K333"/>
      <c r="L333"/>
      <c r="M333"/>
      <c r="N333" s="26"/>
      <c r="O333" s="26"/>
      <c r="P333" s="26"/>
      <c r="Q333" s="26"/>
      <c r="AF333">
        <v>96</v>
      </c>
      <c r="AG333" s="91">
        <f t="shared" si="16"/>
        <v>7.3231570922985059E-2</v>
      </c>
      <c r="AH333" s="91">
        <f>_xll.PDENSITY($AG$333,Sheet1!$K$245:$K$268,$AG$232,$AG$233,0)</f>
        <v>3.0256493369057234</v>
      </c>
    </row>
    <row r="334" spans="1:34">
      <c r="A334">
        <v>0.72916674613952637</v>
      </c>
      <c r="B334">
        <f>SMALL(Sheet1!C$245:C$268,$A$298)</f>
        <v>1.4867506456940873</v>
      </c>
      <c r="C334" s="43"/>
      <c r="D334" s="18"/>
      <c r="E334" s="18"/>
      <c r="F334" s="18"/>
      <c r="G334"/>
      <c r="H334"/>
      <c r="I334"/>
      <c r="J334"/>
      <c r="K334"/>
      <c r="L334"/>
      <c r="M334"/>
      <c r="N334" s="26"/>
      <c r="O334" s="26"/>
      <c r="P334" s="26"/>
      <c r="Q334" s="26"/>
      <c r="AF334">
        <v>97</v>
      </c>
      <c r="AG334" s="91">
        <f t="shared" si="16"/>
        <v>7.4770530651834644E-2</v>
      </c>
      <c r="AH334" s="91">
        <f>_xll.PDENSITY($AG$334,Sheet1!$K$245:$K$268,$AG$232,$AG$233,0)</f>
        <v>2.875784988802037</v>
      </c>
    </row>
    <row r="335" spans="1:34">
      <c r="A335">
        <v>0.77083343267440796</v>
      </c>
      <c r="B335">
        <f>SMALL(Sheet1!C$245:C$268,$A$299)</f>
        <v>1.7172015055356198</v>
      </c>
      <c r="C335" s="43"/>
      <c r="D335" s="18" t="s">
        <v>161</v>
      </c>
      <c r="E335" s="18"/>
      <c r="F335" s="18"/>
      <c r="G335"/>
      <c r="H335"/>
      <c r="I335"/>
      <c r="J335"/>
      <c r="K335"/>
      <c r="L335"/>
      <c r="M335"/>
      <c r="N335" s="26"/>
      <c r="O335" s="26"/>
      <c r="P335" s="26"/>
      <c r="Q335" s="26"/>
      <c r="AF335">
        <v>98</v>
      </c>
      <c r="AG335" s="91">
        <f t="shared" si="16"/>
        <v>7.6309490380684228E-2</v>
      </c>
      <c r="AH335" s="91">
        <f>_xll.PDENSITY($AG$335,Sheet1!$K$245:$K$268,$AG$232,$AG$233,0)</f>
        <v>2.7267038576264007</v>
      </c>
    </row>
    <row r="336" spans="1:34">
      <c r="A336">
        <v>0.81250011920928955</v>
      </c>
      <c r="B336">
        <f>SMALL(Sheet1!C$245:C$268,$A$300)</f>
        <v>2.472604818046193</v>
      </c>
      <c r="C336" s="43"/>
      <c r="D336" s="18" t="s">
        <v>19</v>
      </c>
      <c r="E336" s="18" t="s">
        <v>20</v>
      </c>
      <c r="F336" s="18" t="s">
        <v>21</v>
      </c>
      <c r="G336" t="s">
        <v>74</v>
      </c>
      <c r="H336"/>
      <c r="I336"/>
      <c r="J336"/>
      <c r="K336"/>
      <c r="L336"/>
      <c r="M336"/>
      <c r="N336" s="26"/>
      <c r="O336" s="26"/>
      <c r="P336" s="26"/>
      <c r="Q336" s="26"/>
      <c r="AF336">
        <v>99</v>
      </c>
      <c r="AG336" s="91">
        <f t="shared" si="16"/>
        <v>7.7848450109533812E-2</v>
      </c>
      <c r="AH336" s="91">
        <f>_xll.PDENSITY($AG$336,Sheet1!$K$245:$K$268,$AG$232,$AG$233,0)</f>
        <v>2.5789403455284985</v>
      </c>
    </row>
    <row r="337" spans="1:62">
      <c r="A337">
        <v>0.85416680574417114</v>
      </c>
      <c r="B337">
        <f>SMALL(Sheet1!C$245:C$268,$A$301)</f>
        <v>3.7613068704883972</v>
      </c>
      <c r="C337" s="43"/>
      <c r="D337" s="43">
        <f>C213</f>
        <v>3.45</v>
      </c>
      <c r="E337" s="43">
        <f>D213</f>
        <v>61.77</v>
      </c>
      <c r="F337" s="43">
        <f>E213</f>
        <v>15.13</v>
      </c>
      <c r="G337" s="43">
        <v>25</v>
      </c>
      <c r="H337"/>
      <c r="I337"/>
      <c r="J337"/>
      <c r="K337"/>
      <c r="L337"/>
      <c r="M337"/>
      <c r="N337" s="26"/>
      <c r="O337" s="26"/>
      <c r="P337" s="26"/>
      <c r="Q337" s="26"/>
      <c r="AF337">
        <v>100</v>
      </c>
      <c r="AG337" s="91">
        <f t="shared" si="16"/>
        <v>7.9387409838383396E-2</v>
      </c>
      <c r="AH337" s="91">
        <f>_xll.PDENSITY($AG$337,Sheet1!$K$245:$K$268,$AG$232,$AG$233,0)</f>
        <v>2.4330152532864173</v>
      </c>
    </row>
    <row r="338" spans="1:62">
      <c r="A338">
        <v>0.89583349227905273</v>
      </c>
      <c r="B338">
        <f>SMALL(Sheet1!C$245:C$268,$A$302)</f>
        <v>3.7872116608998567</v>
      </c>
      <c r="C338" s="43"/>
      <c r="D338" s="26"/>
      <c r="E338" s="26"/>
      <c r="F338" s="26"/>
      <c r="G338"/>
      <c r="H338"/>
      <c r="I338"/>
      <c r="J338"/>
      <c r="K338"/>
      <c r="L338"/>
      <c r="M338"/>
      <c r="N338" s="26"/>
      <c r="O338" s="26"/>
      <c r="P338" s="26"/>
      <c r="Q338" s="26"/>
    </row>
    <row r="339" spans="1:62">
      <c r="A339">
        <v>0.93750017881393433</v>
      </c>
      <c r="B339">
        <f>SMALL(Sheet1!C$245:C$268,$A$303)</f>
        <v>3.8737606104283202</v>
      </c>
      <c r="C339" s="43"/>
      <c r="D339" s="26" t="str">
        <f t="shared" ref="D339:H340" si="17">B233</f>
        <v>Intercept</v>
      </c>
      <c r="E339" s="26" t="str">
        <f t="shared" si="17"/>
        <v>Price t-1</v>
      </c>
      <c r="F339" s="26" t="str">
        <f t="shared" si="17"/>
        <v>acres t-1</v>
      </c>
      <c r="G339" s="26" t="str">
        <f t="shared" si="17"/>
        <v>acres idled+crp</v>
      </c>
      <c r="H339" s="26" t="str">
        <f t="shared" si="17"/>
        <v>Trend</v>
      </c>
      <c r="I339"/>
      <c r="J339"/>
      <c r="K339"/>
      <c r="L339"/>
      <c r="M339"/>
      <c r="N339" s="26"/>
      <c r="O339" s="26"/>
      <c r="P339" s="26"/>
      <c r="Q339" s="26"/>
    </row>
    <row r="340" spans="1:62">
      <c r="A340">
        <v>0.97916686534881592</v>
      </c>
      <c r="B340">
        <f>SMALL(Sheet1!C$245:C$268,$A$304)</f>
        <v>5.928015441584364</v>
      </c>
      <c r="C340" s="123" t="s">
        <v>163</v>
      </c>
      <c r="D340" s="26">
        <f t="shared" si="17"/>
        <v>30.92200350248595</v>
      </c>
      <c r="E340" s="26">
        <f t="shared" si="17"/>
        <v>5.5354656041560304</v>
      </c>
      <c r="F340" s="26">
        <f t="shared" si="17"/>
        <v>0.29427975657975003</v>
      </c>
      <c r="G340" s="26">
        <f t="shared" si="17"/>
        <v>-0.3184976661498311</v>
      </c>
      <c r="H340" s="26">
        <f t="shared" si="17"/>
        <v>7.313542098295045E-2</v>
      </c>
      <c r="I340"/>
      <c r="J340"/>
      <c r="K340"/>
      <c r="L340"/>
      <c r="M340"/>
      <c r="N340" s="26"/>
      <c r="O340" s="26"/>
      <c r="P340" s="26"/>
      <c r="Q340" s="26"/>
    </row>
    <row r="341" spans="1:62">
      <c r="A341" s="118">
        <v>1</v>
      </c>
      <c r="B341" s="118">
        <f>IF(B$340&lt;0,B$340* 0.9999,B$340*1.0001)</f>
        <v>5.9286082431285223</v>
      </c>
      <c r="C341" s="43"/>
      <c r="D341" s="26"/>
      <c r="E341" s="26"/>
      <c r="F341" s="26"/>
      <c r="G341"/>
      <c r="H341"/>
      <c r="I341"/>
      <c r="J341"/>
      <c r="K341"/>
      <c r="L341"/>
      <c r="M341"/>
      <c r="N341" s="26"/>
      <c r="O341" s="26"/>
      <c r="P341" s="26"/>
      <c r="Q341" s="26"/>
    </row>
    <row r="342" spans="1:62">
      <c r="A342" s="53"/>
      <c r="B342" s="36"/>
      <c r="C342" s="123" t="s">
        <v>164</v>
      </c>
      <c r="D342" s="26">
        <f>D340+E340*D337+F340*E337+G340*F337+H340*G337</f>
        <v>65.206536236482222</v>
      </c>
      <c r="E342" s="18" t="str">
        <f ca="1">_xll.VFORMULA(D342)</f>
        <v>=D340+E340*D337+F340*E337+G340*F337+H340*G337</v>
      </c>
      <c r="F342" s="26"/>
      <c r="G342"/>
      <c r="H342"/>
      <c r="I342"/>
      <c r="J342"/>
      <c r="K342"/>
      <c r="L342"/>
      <c r="M342"/>
      <c r="N342" s="26"/>
      <c r="O342" s="26"/>
      <c r="P342" s="26"/>
      <c r="Q342" s="26"/>
    </row>
    <row r="343" spans="1:62">
      <c r="A343" s="53"/>
      <c r="B343" s="36"/>
      <c r="C343" s="43"/>
      <c r="D343" s="53"/>
      <c r="E343" s="53"/>
      <c r="F343" s="26"/>
      <c r="G343"/>
      <c r="H343"/>
      <c r="I343"/>
      <c r="J343"/>
      <c r="K343"/>
      <c r="L343"/>
      <c r="M343"/>
      <c r="N343" s="26"/>
      <c r="O343" s="26"/>
      <c r="P343" s="26"/>
      <c r="Q343" s="26"/>
    </row>
    <row r="344" spans="1:62">
      <c r="A344" s="53"/>
      <c r="B344" s="36"/>
      <c r="C344" s="123" t="s">
        <v>165</v>
      </c>
      <c r="D344" s="26">
        <f ca="1">D342+D333</f>
        <v>66.777623765424508</v>
      </c>
      <c r="E344" s="18" t="str">
        <f ca="1">_xll.VFORMULA(D344)</f>
        <v>=D342+D333</v>
      </c>
      <c r="F344" s="26"/>
      <c r="G344"/>
      <c r="H344"/>
      <c r="I344"/>
      <c r="J344"/>
      <c r="K344"/>
      <c r="L344"/>
      <c r="M344"/>
      <c r="N344" s="26"/>
      <c r="O344" s="26"/>
      <c r="P344" s="26"/>
      <c r="Q344" s="26"/>
    </row>
    <row r="345" spans="1:62">
      <c r="A345" s="29"/>
      <c r="B345" s="36"/>
      <c r="C345" s="43"/>
      <c r="D345" s="26"/>
      <c r="E345" s="26"/>
      <c r="F345" s="26"/>
      <c r="G345"/>
      <c r="H345"/>
      <c r="I345"/>
      <c r="J345"/>
      <c r="K345"/>
      <c r="L345"/>
      <c r="M345"/>
      <c r="N345" s="26"/>
      <c r="O345" s="26"/>
      <c r="P345" s="26"/>
      <c r="Q345" s="26"/>
    </row>
    <row r="346" spans="1:62">
      <c r="A346" s="29"/>
      <c r="B346" s="85"/>
      <c r="C346" s="43"/>
      <c r="D346" s="26"/>
      <c r="E346" s="26"/>
      <c r="F346" s="26"/>
      <c r="G346"/>
      <c r="H346"/>
      <c r="I346"/>
      <c r="J346"/>
      <c r="K346"/>
      <c r="L346"/>
      <c r="M346"/>
      <c r="N346" s="26"/>
      <c r="O346" s="26"/>
      <c r="P346" s="26"/>
      <c r="Q346" s="26"/>
    </row>
    <row r="347" spans="1:62">
      <c r="A347" s="53"/>
      <c r="B347" s="26"/>
      <c r="C347" s="26"/>
      <c r="D347" s="26"/>
      <c r="E347" s="26"/>
      <c r="F347" s="26"/>
      <c r="G347"/>
      <c r="H347"/>
      <c r="I347"/>
      <c r="J347"/>
      <c r="K347"/>
      <c r="L347"/>
      <c r="M347"/>
      <c r="N347" s="26"/>
      <c r="O347" s="26"/>
      <c r="P347" s="26"/>
      <c r="Q347" s="26"/>
    </row>
    <row r="348" spans="1:62">
      <c r="A348" s="83"/>
      <c r="B348" s="26"/>
      <c r="C348" s="26"/>
      <c r="D348" s="26"/>
      <c r="E348" s="26"/>
      <c r="F348" s="2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</row>
    <row r="349" spans="1:62">
      <c r="A349" s="28"/>
      <c r="B349" s="18"/>
      <c r="C349" s="26"/>
      <c r="D349" s="26"/>
      <c r="E349" s="26"/>
      <c r="F349" s="2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</row>
    <row r="350" spans="1:62">
      <c r="A350" s="90" t="s">
        <v>76</v>
      </c>
      <c r="B350" s="8"/>
      <c r="C350" s="8"/>
      <c r="D350" s="8"/>
      <c r="E350" s="8"/>
      <c r="F350" s="8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</row>
    <row r="351" spans="1:62" customFormat="1" ht="12.75" thickBot="1">
      <c r="A351" s="62" t="s">
        <v>108</v>
      </c>
      <c r="B351" s="94" t="str">
        <f>"Univariate Parameter Estimation for "&amp;Sheet1!A351&amp;" at 4/6/2005 4:40:41 PM"</f>
        <v>Univariate Parameter Estimation for Random Var. at 4/6/2005 4:40:41 PM</v>
      </c>
      <c r="C351" s="91"/>
      <c r="D351" s="91"/>
      <c r="E351" s="91"/>
      <c r="F351" s="91"/>
      <c r="G351" s="91"/>
      <c r="H351" s="91"/>
      <c r="I351" s="91"/>
    </row>
    <row r="352" spans="1:62" customFormat="1">
      <c r="A352" s="144">
        <f>B13</f>
        <v>2.4</v>
      </c>
      <c r="B352" s="94" t="str">
        <f>"Univariate Parameter Estimation for "&amp;Sheet1!A351&amp;" at 11/17/2005 9:55:49 PM"</f>
        <v>Univariate Parameter Estimation for Random Var. at 11/17/2005 9:55:49 PM</v>
      </c>
      <c r="C352" s="91"/>
      <c r="D352" s="91"/>
      <c r="E352" s="91"/>
      <c r="F352" s="91"/>
      <c r="G352" s="91"/>
      <c r="H352" s="91"/>
      <c r="I352" s="91"/>
    </row>
    <row r="353" spans="1:9" customFormat="1">
      <c r="A353" s="145">
        <v>2.6</v>
      </c>
      <c r="B353" s="92"/>
      <c r="C353" s="92"/>
      <c r="D353" s="147" t="s">
        <v>105</v>
      </c>
      <c r="E353" s="147"/>
      <c r="F353" s="147" t="s">
        <v>106</v>
      </c>
      <c r="G353" s="147"/>
      <c r="H353" s="92" t="s">
        <v>96</v>
      </c>
      <c r="I353" s="92"/>
    </row>
    <row r="354" spans="1:9" customFormat="1" ht="12.75" thickBot="1">
      <c r="A354" s="145">
        <f>B15</f>
        <v>4.9800000000000004</v>
      </c>
      <c r="B354" s="93" t="s">
        <v>77</v>
      </c>
      <c r="C354" s="93" t="s">
        <v>78</v>
      </c>
      <c r="D354" s="96" t="s">
        <v>93</v>
      </c>
      <c r="E354" s="96" t="s">
        <v>94</v>
      </c>
      <c r="F354" s="96" t="s">
        <v>93</v>
      </c>
      <c r="G354" s="96" t="s">
        <v>94</v>
      </c>
      <c r="H354" s="96" t="s">
        <v>97</v>
      </c>
      <c r="I354" s="96" t="s">
        <v>107</v>
      </c>
    </row>
    <row r="355" spans="1:9" customFormat="1">
      <c r="A355" s="145">
        <v>0.5</v>
      </c>
      <c r="B355" s="91" t="s">
        <v>37</v>
      </c>
      <c r="C355" s="95" t="s">
        <v>88</v>
      </c>
      <c r="D355" s="91">
        <f t="array" ref="D355:E355">_xll.MLEBETA(A352:A361,MIN(A352:A361)*(1-SIGN(MIN(A352:A361))*0.01),MAX(A352:A361)*(1+SIGN(MAX(A352:A361))*0.01))</f>
        <v>0.44093346585252785</v>
      </c>
      <c r="E355" s="91">
        <v>0.49967561685930284</v>
      </c>
      <c r="F355" s="91">
        <f t="array" ref="F355:G355">_xll.MOMBETA(A352:A361,MIN(A352:A361)*(1-SIGN(MIN(A352:A361))*0.01),MAX(A352:A361)*(1+SIGN(MAX(A352:A361))*0.01))</f>
        <v>0.5386260902553518</v>
      </c>
      <c r="G355" s="91">
        <v>0.49336210918273349</v>
      </c>
      <c r="H355" s="91">
        <f ca="1">IF($D$355="","",BETAINV($H$372,$D$355,$E$355,MIN(A352:A361),MAX(A352:A361)))</f>
        <v>1.6590438842773436</v>
      </c>
      <c r="I355" s="91">
        <f ca="1">IF($F$355="","",BETAINV($H$372,$F$355,$G$355,MIN(A352:A361),MAX(A352:A361)))</f>
        <v>2.112608976364136</v>
      </c>
    </row>
    <row r="356" spans="1:9" customFormat="1">
      <c r="A356" s="145">
        <f t="shared" ref="A356:A361" si="18">B17</f>
        <v>5.15</v>
      </c>
      <c r="B356" s="91" t="s">
        <v>98</v>
      </c>
      <c r="C356" s="95" t="s">
        <v>103</v>
      </c>
      <c r="D356" s="91">
        <f t="array" ref="D356:E356">_xll.MLEDEXPON(A352:A361)</f>
        <v>2.7</v>
      </c>
      <c r="E356" s="91">
        <v>1.28</v>
      </c>
      <c r="F356" s="91">
        <f t="array" ref="F356:G356">_xll.MOMDEXPON(A352:A361)</f>
        <v>2.9420000000000006</v>
      </c>
      <c r="G356" s="91">
        <v>1.17110963525102</v>
      </c>
      <c r="H356" s="91">
        <f ca="1">IF($D$356="","",_xll.DEXPONINV($D$356,$E$356,$H$372))</f>
        <v>2.3346802959426007</v>
      </c>
      <c r="I356" s="91">
        <f ca="1">IF($F$356="","",_xll.DEXPONINV($F$356,$G$356,$H$372))</f>
        <v>2.607758261430726</v>
      </c>
    </row>
    <row r="357" spans="1:9" customFormat="1">
      <c r="A357" s="145">
        <f t="shared" si="18"/>
        <v>4.4000000000000004</v>
      </c>
      <c r="B357" s="91" t="s">
        <v>79</v>
      </c>
      <c r="C357" s="95" t="s">
        <v>91</v>
      </c>
      <c r="D357" s="91">
        <f>MIN(A352:A361)</f>
        <v>0.48</v>
      </c>
      <c r="E357" s="91">
        <f t="array" ref="E357">_xll.MLEEXPON(A352:A361-MIN(A352:A361))</f>
        <v>2.4620000000000002</v>
      </c>
      <c r="F357" s="91">
        <f>AVERAGE(A352:A361)-STDEV(A352:A361)</f>
        <v>1.2858008708021997</v>
      </c>
      <c r="G357" s="91">
        <f t="array" ref="G357">_xll.MOMEXPON(A352:A361-$F$357)</f>
        <v>1.6561991291978004</v>
      </c>
      <c r="H357" s="91">
        <f ca="1">IF($E$357="","",_xll.EXPONINV($E$357,$H$372)+$D$357)</f>
        <v>1.6405172539146515</v>
      </c>
      <c r="I357" s="91">
        <f ca="1">IF($G$357="","",_xll.EXPONINV($G$357,$H$372)+$F$357)</f>
        <v>2.0664863563231046</v>
      </c>
    </row>
    <row r="358" spans="1:9" customFormat="1">
      <c r="A358" s="145">
        <f t="shared" si="18"/>
        <v>3.78</v>
      </c>
      <c r="B358" s="91" t="s">
        <v>80</v>
      </c>
      <c r="C358" s="95" t="s">
        <v>89</v>
      </c>
      <c r="D358" s="91">
        <f t="array" ref="D358:E358">IF(MIN(A352:A361)&lt;0,"",_xll.MLEGAMMA(A352:A361))</f>
        <v>2.1881186300951088</v>
      </c>
      <c r="E358" s="91">
        <v>1.3445340483537329</v>
      </c>
      <c r="F358" s="91">
        <f t="array" ref="F358:G358">IF(MIN(A352:A361)&lt;0,"",_xll.MOMGAMMA(A352:A361))</f>
        <v>3.1554422253691858</v>
      </c>
      <c r="G358" s="91">
        <v>0.93235742880882178</v>
      </c>
      <c r="H358" s="91">
        <f ca="1">IF($D$358="","",GAMMAINV($H$372,$D$358,$E$358))</f>
        <v>1.9792083632823663</v>
      </c>
      <c r="I358" s="91">
        <f ca="1">IF($F$358="","",GAMMAINV($H$372,$F$358,$G$358))</f>
        <v>2.1768613061181448</v>
      </c>
    </row>
    <row r="359" spans="1:9" customFormat="1">
      <c r="A359" s="145">
        <f t="shared" si="18"/>
        <v>0.48</v>
      </c>
      <c r="B359" s="91" t="s">
        <v>99</v>
      </c>
      <c r="C359" s="95" t="s">
        <v>90</v>
      </c>
      <c r="D359" s="91">
        <f t="array" ref="D359:E359">IF(MIN(A352:A361)&lt;=0,"",_xll.MLELOGISTIC(A352:A361))</f>
        <v>2.9732526061010605</v>
      </c>
      <c r="E359" s="91">
        <v>0.93743158106523528</v>
      </c>
      <c r="F359" s="91">
        <f t="array" ref="F359:G359">IF(MIN(A352:A361)&lt;=0,"",_xll.MOMLOGISTIC(A352:A361))</f>
        <v>2.9420000000000006</v>
      </c>
      <c r="G359" s="91">
        <v>0.91311043649915746</v>
      </c>
      <c r="H359" s="91">
        <f ca="1">IF($D$359="","",_xll.LOGISTICINV($D$359,$E$359,$H$372))</f>
        <v>2.4978047002071273</v>
      </c>
      <c r="I359" s="91">
        <f ca="1">IF($F$359="","",_xll.LOGISTICINV($F$359,$G$359,$H$372))</f>
        <v>2.4788873274035685</v>
      </c>
    </row>
    <row r="360" spans="1:9" customFormat="1">
      <c r="A360" s="145">
        <f t="shared" si="18"/>
        <v>2.33</v>
      </c>
      <c r="B360" s="91" t="s">
        <v>100</v>
      </c>
      <c r="C360" s="95" t="s">
        <v>91</v>
      </c>
      <c r="D360" s="91">
        <f t="array" ref="D360:E360">_xll.MLELOGLOG(A352:A361)</f>
        <v>2.1455654358812088</v>
      </c>
      <c r="E360" s="91">
        <v>1.4964710046417733</v>
      </c>
      <c r="F360" s="91">
        <f t="array" ref="F360:G360">_xll.MOMLOGLOG(A352:A361)</f>
        <v>2.1966215785533256</v>
      </c>
      <c r="G360" s="91">
        <v>1.2913331632415253</v>
      </c>
      <c r="H360" s="91">
        <f ca="1">IF($D$360="","",_xll.LOGLOGINV($D$360,$E$360,$H$372))</f>
        <v>2.1780091148463629</v>
      </c>
      <c r="I360" s="91">
        <f ca="1">IF($F$360="","",_xll.LOGLOGINV($F$360,$G$360,$H$372))</f>
        <v>2.2246178434026365</v>
      </c>
    </row>
    <row r="361" spans="1:9" customFormat="1" ht="12.75" thickBot="1">
      <c r="A361" s="146">
        <f t="shared" si="18"/>
        <v>2.8</v>
      </c>
      <c r="B361" s="91" t="s">
        <v>101</v>
      </c>
      <c r="C361" s="95" t="s">
        <v>90</v>
      </c>
      <c r="D361" s="91">
        <f t="array" ref="D361:E361">IF(MIN(A352:A361)&lt;=0,"",_xll.MLELOGLOGISTIC(A352:A361))</f>
        <v>2.255809412407336</v>
      </c>
      <c r="E361" s="91">
        <v>2.6881884116828183</v>
      </c>
      <c r="F361" s="91">
        <f t="array" ref="F361:G361">IF(MIN(A352:A361)&lt;=0,"",_xll.MOMLOGLOGISTIC(A352:A361))</f>
        <v>3.7871066183657338</v>
      </c>
      <c r="G361" s="91">
        <v>2.6159974430664188</v>
      </c>
      <c r="H361" s="91">
        <f ca="1">IF($D$361="","",_xll.LOGLOGISTICINV($D$361,$E$361,$H$372))</f>
        <v>2.1469195527318297</v>
      </c>
      <c r="I361" s="91">
        <f ca="1">IF($F$361="","",_xll.LOGLOGISTICINV($F$361,$G$361,$H$372))</f>
        <v>2.2881010860579476</v>
      </c>
    </row>
    <row r="362" spans="1:9" customFormat="1">
      <c r="B362" s="91" t="s">
        <v>81</v>
      </c>
      <c r="C362" s="95" t="s">
        <v>90</v>
      </c>
      <c r="D362" s="91">
        <f t="array" ref="D362:E362">IF(MIN(A352:A361)&lt;=0,"",_xll.MLELOGNORM(A352:A361))</f>
        <v>0.83351066677678765</v>
      </c>
      <c r="E362" s="91">
        <v>0.82181832985166914</v>
      </c>
      <c r="F362" s="91">
        <f t="array" ref="F362:G362">IF(MIN(A352:A361)&lt;0,"",_xll.MOMLOGNORM(A352:A361))</f>
        <v>0.94144452115320676</v>
      </c>
      <c r="G362" s="91">
        <v>0.52468104792538328</v>
      </c>
      <c r="H362" s="91">
        <f ca="1">IF($D$362="","",LOGINV($H$372,$D$362,$E$362))</f>
        <v>1.7744637220143054</v>
      </c>
      <c r="I362" s="91">
        <f ca="1">IF($F$362="","",LOGINV($H$372,$F$362,$G$362))</f>
        <v>2.171552604400576</v>
      </c>
    </row>
    <row r="363" spans="1:9" customFormat="1">
      <c r="B363" s="91" t="s">
        <v>5</v>
      </c>
      <c r="C363" s="95" t="s">
        <v>91</v>
      </c>
      <c r="D363" s="91">
        <f t="array" ref="D363:E363">_xll.MLENORM(A352:A361)</f>
        <v>2.9420000000000006</v>
      </c>
      <c r="E363" s="91">
        <v>1.5712084521157588</v>
      </c>
      <c r="F363" s="91">
        <f t="array" ref="F363:G363">_xll.MOMNORM(A352:A361)</f>
        <v>2.9420000000000006</v>
      </c>
      <c r="G363" s="91">
        <v>1.6561991291978009</v>
      </c>
      <c r="H363" s="91">
        <f ca="1">NORMINV($H$372,$D$363,$E$363)</f>
        <v>2.4448904882185647</v>
      </c>
      <c r="I363" s="91">
        <f ca="1">NORMINV($H$372,$F$363,$G$363)</f>
        <v>2.4180005654121191</v>
      </c>
    </row>
    <row r="364" spans="1:9" customFormat="1">
      <c r="B364" s="91" t="s">
        <v>102</v>
      </c>
      <c r="C364" s="95" t="s">
        <v>104</v>
      </c>
      <c r="D364" s="91">
        <f t="array" ref="D364:E364">IF(MIN(A352:A361)&lt;=0,"",_xll.MLEPARETO(A352:A361))</f>
        <v>0.48</v>
      </c>
      <c r="E364" s="91">
        <v>0.63796673698546791</v>
      </c>
      <c r="F364" s="91">
        <f t="array" ref="F364:G364">IF(MIN(A352:A361)&lt;=0,"",_xll.MOMPARETO(A352:A361))</f>
        <v>1.9737559633220276</v>
      </c>
      <c r="G364" s="91">
        <v>3.0384901827993152</v>
      </c>
      <c r="H364" s="91">
        <f ca="1">IF($D$364="","",_xll.PARETO($D$364,$E$364,$H$372))</f>
        <v>1.0049085521777661</v>
      </c>
      <c r="I364" s="91">
        <f ca="1">IF($F$364="","",_xll.PARETO($F$364,$G$364,$H$372))</f>
        <v>2.3049796608169468</v>
      </c>
    </row>
    <row r="365" spans="1:9" customFormat="1">
      <c r="B365" s="91" t="s">
        <v>82</v>
      </c>
      <c r="C365" s="95" t="s">
        <v>92</v>
      </c>
      <c r="D365" s="91">
        <f t="array" ref="D365:E365">_xll.MLEUNIFORM(A352:A361)</f>
        <v>0.48</v>
      </c>
      <c r="E365" s="91">
        <v>5.15</v>
      </c>
      <c r="F365" s="91">
        <f t="array" ref="F365:G365">_xll.MOMUNIFORM(A352:A361)</f>
        <v>7.3378960778078373E-2</v>
      </c>
      <c r="G365" s="91">
        <v>5.8106210392219229</v>
      </c>
      <c r="H365" s="91">
        <f ca="1">_xll.UNIFORM($D$365,$E$365,$H$372)</f>
        <v>2.235240478515625</v>
      </c>
      <c r="I365" s="91">
        <f ca="1">_xll.UNIFORM($F$365,$G$365,$H$372)</f>
        <v>2.2297471687283466</v>
      </c>
    </row>
    <row r="366" spans="1:9" customFormat="1">
      <c r="B366" s="91" t="s">
        <v>83</v>
      </c>
      <c r="C366" s="95" t="s">
        <v>89</v>
      </c>
      <c r="D366" s="91">
        <f t="array" ref="D366:E366">IF(MIN(A352:A361)&lt;=0,"",_xll.MLEWEIB(A352:A361))</f>
        <v>1.8436371819359672</v>
      </c>
      <c r="E366" s="91">
        <v>8.9596240695777745</v>
      </c>
      <c r="F366" s="91">
        <f t="array" ref="F366:G366">IF(MIN(A352:A361)&lt;0,"",_xll.MOMWEIB(A352:A361))</f>
        <v>1.8421789331336829</v>
      </c>
      <c r="G366" s="91">
        <v>9.0787722554170642</v>
      </c>
      <c r="H366" s="91">
        <f ca="1">IF($D$366="","",_xll.WEIBINV($D$366,$E$366,$H$372))</f>
        <v>2.1845307904510314</v>
      </c>
      <c r="I366" s="91">
        <f ca="1">IF($F$366="","",_xll.WEIBINV($F$366,$G$366,$H$372))</f>
        <v>2.2016142664422498</v>
      </c>
    </row>
    <row r="367" spans="1:9" customFormat="1">
      <c r="B367" s="91" t="s">
        <v>84</v>
      </c>
      <c r="C367" s="95" t="s">
        <v>129</v>
      </c>
      <c r="D367" s="91" t="str">
        <f t="array" ref="D367:E367">IF(OR(MIN(A352:A361)&lt;0,AVERAGE(INT(A352:A361))&lt;=VAR(INT(A352:A361))),"",_xll.MLEBINOM(INT(A352:A361)))</f>
        <v/>
      </c>
      <c r="E367" s="91" t="str">
        <v/>
      </c>
      <c r="F367" s="91" t="str">
        <f t="array" ref="F367:G367">IF(OR(MIN(A352:A361)&lt;0,AVERAGE(INT(A352:A361))&lt;=VAR(INT(A352:A361))),"",_xll.MOMBINOM(INT(A352:A361)))</f>
        <v/>
      </c>
      <c r="G367" s="91" t="str">
        <v/>
      </c>
      <c r="H367" s="98" t="str">
        <f>IF($D$367="","",_xll.BINOMINV($D$367,$E$367,$H$372))</f>
        <v/>
      </c>
      <c r="I367" s="98" t="str">
        <f>IF($F$367="","",_xll.BINOMINV($F$367,$G$367,$H$372))</f>
        <v/>
      </c>
    </row>
    <row r="368" spans="1:9" customFormat="1">
      <c r="B368" s="91" t="s">
        <v>85</v>
      </c>
      <c r="C368" s="95" t="s">
        <v>130</v>
      </c>
      <c r="D368" s="91" t="str">
        <f t="array" ref="D368">IF(MIN(A352:A361)&lt;1,"",_xll.MLEGEOM(INT(A352:A361)))</f>
        <v/>
      </c>
      <c r="E368" s="91"/>
      <c r="F368" s="91" t="str">
        <f t="array" ref="F368">IF(MIN(A352:A361)&lt;1,"",_xll.MOMGEOM(INT(A352:A361)))</f>
        <v/>
      </c>
      <c r="G368" s="91"/>
      <c r="H368" s="98" t="str">
        <f>IF($D$368="","",_xll.GEOMINV($D$368,$H$372))</f>
        <v/>
      </c>
      <c r="I368" s="98" t="str">
        <f>IF($F$368="","",_xll.GEOMINV($F$368,$H$372))</f>
        <v/>
      </c>
    </row>
    <row r="369" spans="1:62" customFormat="1">
      <c r="B369" s="91" t="s">
        <v>86</v>
      </c>
      <c r="C369" s="95" t="s">
        <v>131</v>
      </c>
      <c r="D369" s="91">
        <f t="array" ref="D369">IF(MIN(A352:A361)&lt;0,"",_xll.MLEPOISSON(INT(A352:A361)))</f>
        <v>2.4</v>
      </c>
      <c r="E369" s="91"/>
      <c r="F369" s="91">
        <f t="array" ref="F369">IF(MIN(A352:A361)&lt;0,"",_xll.MOMPOISSON(INT(A352:A361)))</f>
        <v>2.4</v>
      </c>
      <c r="G369" s="91"/>
      <c r="H369" s="98">
        <f ca="1">IF($D$369="","",_xll.POISSONINV($D$369,$H$372))</f>
        <v>2</v>
      </c>
      <c r="I369" s="98">
        <f ca="1">IF($F$369="","",_xll.POISSONINV($F$369,$H$372))</f>
        <v>2</v>
      </c>
    </row>
    <row r="370" spans="1:62" customFormat="1">
      <c r="B370" s="91" t="s">
        <v>87</v>
      </c>
      <c r="C370" s="95" t="s">
        <v>132</v>
      </c>
      <c r="D370" s="91" t="str">
        <f t="array" ref="D370:E370">IF(OR(MIN(A352:A361)&lt;1,AVERAGE(A352:A361)&gt;VAR(A352:A361)),"",_xll.MLENEGBIN(INT(A352:A361)))</f>
        <v/>
      </c>
      <c r="E370" s="91" t="str">
        <v/>
      </c>
      <c r="F370" s="91" t="str">
        <f t="array" ref="F370:G370">IF(OR(MIN(A352:A361)&lt;1,AVERAGE(A352:A361)&gt;VAR(A352:A361)),"",_xll.MOMNEGBIN(INT(A352:A361)))</f>
        <v/>
      </c>
      <c r="G370" s="91" t="str">
        <v/>
      </c>
      <c r="H370" s="98" t="str">
        <f>IF($D$370="","",_xll.NEGBINOMINV($D$370,$E$370,$H$372))</f>
        <v/>
      </c>
      <c r="I370" s="98" t="str">
        <f>IF($F$370="","",_xll.NEGBINOMINV($F$370,$G$370,$H$372))</f>
        <v/>
      </c>
    </row>
    <row r="371" spans="1:62" customFormat="1">
      <c r="B371" s="91"/>
      <c r="C371" s="91"/>
      <c r="D371" s="91"/>
      <c r="E371" s="91"/>
      <c r="F371" s="91"/>
      <c r="G371" s="91"/>
      <c r="H371" s="91" t="s">
        <v>95</v>
      </c>
      <c r="I371" s="91"/>
    </row>
    <row r="372" spans="1:62" customFormat="1">
      <c r="B372" s="91"/>
      <c r="C372" s="91"/>
      <c r="D372" s="91"/>
      <c r="E372" s="91"/>
      <c r="F372" s="91"/>
      <c r="G372" s="91"/>
      <c r="H372" s="97">
        <f ca="1">_xll.UNIFORM()</f>
        <v>0.3758544921875</v>
      </c>
      <c r="I372" s="91"/>
    </row>
    <row r="373" spans="1:62" customFormat="1">
      <c r="A373" t="s">
        <v>109</v>
      </c>
    </row>
    <row r="374" spans="1:62" customFormat="1">
      <c r="B374" t="s">
        <v>97</v>
      </c>
      <c r="D374" t="s">
        <v>107</v>
      </c>
      <c r="E374" s="1"/>
      <c r="F374" s="1"/>
      <c r="G374" s="1"/>
      <c r="H374" s="1"/>
      <c r="I374" s="1"/>
      <c r="J374" s="1"/>
    </row>
    <row r="375" spans="1:62" customFormat="1">
      <c r="A375" s="91" t="str">
        <f t="shared" ref="A375:A385" si="19">B354</f>
        <v>Distribution</v>
      </c>
      <c r="B375" s="91" t="str">
        <f t="shared" ref="B375:B385" si="20">H354</f>
        <v>MLE</v>
      </c>
      <c r="C375" s="91" t="str">
        <f t="shared" ref="C375:C385" si="21">A375</f>
        <v>Distribution</v>
      </c>
      <c r="D375" s="91" t="str">
        <f t="shared" ref="D375:D385" si="22">I354</f>
        <v>MOM</v>
      </c>
      <c r="E375" s="1"/>
      <c r="F375" s="1"/>
      <c r="G375" s="1"/>
      <c r="H375" s="1"/>
      <c r="I375" s="1"/>
      <c r="J375" s="1"/>
    </row>
    <row r="376" spans="1:62" customFormat="1">
      <c r="A376" s="91" t="str">
        <f t="shared" si="19"/>
        <v>Beta</v>
      </c>
      <c r="B376" s="91">
        <f t="shared" ca="1" si="20"/>
        <v>1.6590438842773436</v>
      </c>
      <c r="C376" s="91" t="str">
        <f t="shared" si="21"/>
        <v>Beta</v>
      </c>
      <c r="D376" s="91">
        <f t="shared" ca="1" si="22"/>
        <v>2.112608976364136</v>
      </c>
      <c r="E376" s="1"/>
      <c r="F376" s="1"/>
      <c r="G376" s="1"/>
      <c r="H376" s="1"/>
      <c r="I376" s="1"/>
      <c r="J376" s="1"/>
    </row>
    <row r="377" spans="1:62" customFormat="1">
      <c r="A377" s="91" t="str">
        <f t="shared" si="19"/>
        <v>Double Exponential</v>
      </c>
      <c r="B377" s="91">
        <f t="shared" ca="1" si="20"/>
        <v>2.3346802959426007</v>
      </c>
      <c r="C377" s="91" t="str">
        <f t="shared" si="21"/>
        <v>Double Exponential</v>
      </c>
      <c r="D377" s="91">
        <f t="shared" ca="1" si="22"/>
        <v>2.607758261430726</v>
      </c>
      <c r="E377" s="1"/>
      <c r="F377" s="1"/>
      <c r="G377" s="1"/>
      <c r="H377" s="1"/>
      <c r="I377" s="1"/>
      <c r="J377" s="1"/>
    </row>
    <row r="378" spans="1:62" customFormat="1">
      <c r="A378" s="91" t="str">
        <f t="shared" si="19"/>
        <v>Exponential</v>
      </c>
      <c r="B378" s="91">
        <f t="shared" ca="1" si="20"/>
        <v>1.6405172539146515</v>
      </c>
      <c r="C378" s="91" t="str">
        <f t="shared" si="21"/>
        <v>Exponential</v>
      </c>
      <c r="D378" s="91">
        <f t="shared" ca="1" si="22"/>
        <v>2.0664863563231046</v>
      </c>
      <c r="E378" s="1"/>
      <c r="F378" s="1"/>
      <c r="G378" s="1"/>
      <c r="H378" s="1"/>
      <c r="I378" s="1"/>
      <c r="J378" s="1"/>
    </row>
    <row r="379" spans="1:62" customFormat="1">
      <c r="A379" s="91" t="str">
        <f t="shared" si="19"/>
        <v>Gamma</v>
      </c>
      <c r="B379" s="91">
        <f t="shared" ca="1" si="20"/>
        <v>1.9792083632823663</v>
      </c>
      <c r="C379" s="91" t="str">
        <f t="shared" si="21"/>
        <v>Gamma</v>
      </c>
      <c r="D379" s="91">
        <f t="shared" ca="1" si="22"/>
        <v>2.1768613061181448</v>
      </c>
      <c r="E379" s="1"/>
      <c r="F379" s="1"/>
      <c r="G379" s="1"/>
      <c r="H379" s="1"/>
      <c r="I379" s="1"/>
      <c r="J379" s="1"/>
    </row>
    <row r="380" spans="1:62">
      <c r="A380" s="91" t="str">
        <f t="shared" si="19"/>
        <v>Logistic</v>
      </c>
      <c r="B380" s="91">
        <f t="shared" ca="1" si="20"/>
        <v>2.4978047002071273</v>
      </c>
      <c r="C380" s="91" t="str">
        <f t="shared" si="21"/>
        <v>Logistic</v>
      </c>
      <c r="D380" s="91">
        <f t="shared" ca="1" si="22"/>
        <v>2.4788873274035685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</row>
    <row r="381" spans="1:62">
      <c r="A381" s="91" t="str">
        <f t="shared" si="19"/>
        <v>Log-Log</v>
      </c>
      <c r="B381" s="91">
        <f t="shared" ca="1" si="20"/>
        <v>2.1780091148463629</v>
      </c>
      <c r="C381" s="91" t="str">
        <f t="shared" si="21"/>
        <v>Log-Log</v>
      </c>
      <c r="D381" s="91">
        <f t="shared" ca="1" si="22"/>
        <v>2.2246178434026365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</row>
    <row r="382" spans="1:62">
      <c r="A382" s="91" t="str">
        <f t="shared" si="19"/>
        <v>Log-Logistic</v>
      </c>
      <c r="B382" s="91">
        <f t="shared" ca="1" si="20"/>
        <v>2.1469195527318297</v>
      </c>
      <c r="C382" s="91" t="str">
        <f t="shared" si="21"/>
        <v>Log-Logistic</v>
      </c>
      <c r="D382" s="91">
        <f t="shared" ca="1" si="22"/>
        <v>2.2881010860579476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</row>
    <row r="383" spans="1:62">
      <c r="A383" s="91" t="str">
        <f t="shared" si="19"/>
        <v>Lognormal</v>
      </c>
      <c r="B383" s="91">
        <f t="shared" ca="1" si="20"/>
        <v>1.7744637220143054</v>
      </c>
      <c r="C383" s="91" t="str">
        <f t="shared" si="21"/>
        <v>Lognormal</v>
      </c>
      <c r="D383" s="91">
        <f t="shared" ca="1" si="22"/>
        <v>2.171552604400576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</row>
    <row r="384" spans="1:62">
      <c r="A384" s="91" t="str">
        <f t="shared" si="19"/>
        <v>Normal</v>
      </c>
      <c r="B384" s="91">
        <f t="shared" ca="1" si="20"/>
        <v>2.4448904882185647</v>
      </c>
      <c r="C384" s="91" t="str">
        <f t="shared" si="21"/>
        <v>Normal</v>
      </c>
      <c r="D384" s="91">
        <f t="shared" ca="1" si="22"/>
        <v>2.4180005654121191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</row>
    <row r="385" spans="1:62">
      <c r="A385" s="91" t="str">
        <f t="shared" si="19"/>
        <v>Pareto</v>
      </c>
      <c r="B385" s="91">
        <f t="shared" ca="1" si="20"/>
        <v>1.0049085521777661</v>
      </c>
      <c r="C385" s="91" t="str">
        <f t="shared" si="21"/>
        <v>Pareto</v>
      </c>
      <c r="D385" s="91">
        <f t="shared" ca="1" si="22"/>
        <v>2.3049796608169468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</row>
    <row r="386" spans="1:62">
      <c r="A386" s="91"/>
      <c r="B386" s="91"/>
      <c r="C386" s="26"/>
      <c r="D386" s="91"/>
      <c r="E386" s="91" t="str">
        <f>I370</f>
        <v/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</row>
    <row r="387" spans="1:62">
      <c r="A387" s="91"/>
      <c r="B387" s="91"/>
      <c r="C387" s="26"/>
      <c r="D387" s="91"/>
      <c r="E387" s="91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</row>
    <row r="388" spans="1:62">
      <c r="A388" s="72"/>
      <c r="B388" s="8"/>
      <c r="C388" s="56"/>
      <c r="D388" s="50"/>
      <c r="E388" s="51"/>
      <c r="F388" s="91"/>
      <c r="G388" s="91"/>
      <c r="H388" s="26"/>
      <c r="I388" s="91"/>
      <c r="J388" s="91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</row>
    <row r="389" spans="1:62">
      <c r="A389" s="99" t="s">
        <v>125</v>
      </c>
      <c r="B389" s="8"/>
      <c r="C389" s="56"/>
      <c r="D389" s="50"/>
      <c r="E389" s="51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</row>
    <row r="390" spans="1:62">
      <c r="A390" s="99" t="s">
        <v>126</v>
      </c>
      <c r="B390" s="8"/>
      <c r="C390" s="56"/>
      <c r="D390" s="50"/>
      <c r="E390" s="51"/>
      <c r="F390" s="91"/>
      <c r="G390" s="91"/>
      <c r="H390" s="26"/>
      <c r="I390" s="91"/>
      <c r="J390" s="91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</row>
    <row r="391" spans="1:62" ht="12.75" thickBot="1">
      <c r="A391" s="100" t="s">
        <v>77</v>
      </c>
      <c r="B391" s="102" t="s">
        <v>127</v>
      </c>
      <c r="C391" s="103" t="s">
        <v>128</v>
      </c>
      <c r="D391" s="52"/>
      <c r="E391" s="64"/>
      <c r="F391" s="91"/>
      <c r="G391" s="26"/>
      <c r="H391" s="26"/>
      <c r="I391" s="26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</row>
    <row r="392" spans="1:62">
      <c r="A392" s="91" t="str">
        <f t="shared" ref="A392:A401" si="23">A376</f>
        <v>Beta</v>
      </c>
      <c r="B392" s="101">
        <f t="array" ref="B392:B401">_xll.TRANS(SimData!AC1:AL1)</f>
        <v>0.11200492504644503</v>
      </c>
      <c r="C392" s="91">
        <f t="array" ref="C392:C401">_xll.TRANS(SimData!AM1:AV1)</f>
        <v>8.5529204913274468E-2</v>
      </c>
      <c r="D392"/>
      <c r="E392"/>
      <c r="F392" s="91"/>
      <c r="G392" s="26"/>
      <c r="H392" s="26"/>
      <c r="I392" s="26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</row>
    <row r="393" spans="1:62">
      <c r="A393" s="91" t="str">
        <f t="shared" si="23"/>
        <v>Double Exponential</v>
      </c>
      <c r="B393" s="101">
        <v>8.7512238725132221</v>
      </c>
      <c r="C393" s="91">
        <v>6.9403729470216478</v>
      </c>
      <c r="D393"/>
      <c r="E393"/>
      <c r="F393" s="26"/>
      <c r="G393" s="26"/>
      <c r="H393" s="26"/>
      <c r="I393" s="26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</row>
    <row r="394" spans="1:62">
      <c r="A394" s="91" t="str">
        <f t="shared" si="23"/>
        <v>Exponential</v>
      </c>
      <c r="B394" s="101">
        <v>33.730911460488784</v>
      </c>
      <c r="C394" s="91">
        <v>12.59806161110771</v>
      </c>
      <c r="D394"/>
      <c r="E394"/>
      <c r="F394" s="26"/>
      <c r="G394" s="26"/>
      <c r="H394" s="26"/>
      <c r="I394" s="26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</row>
    <row r="395" spans="1:62">
      <c r="A395" s="91" t="str">
        <f t="shared" si="23"/>
        <v>Gamma</v>
      </c>
      <c r="B395" s="101">
        <v>13.580901782685237</v>
      </c>
      <c r="C395" s="91">
        <v>6.9666635289753387</v>
      </c>
      <c r="D395"/>
      <c r="E395"/>
      <c r="F395" s="26"/>
      <c r="G395" s="26"/>
      <c r="H395" s="26"/>
      <c r="I395" s="26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</row>
    <row r="396" spans="1:62">
      <c r="A396" s="91" t="str">
        <f t="shared" si="23"/>
        <v>Logistic</v>
      </c>
      <c r="B396" s="101">
        <v>5.0033527310076424</v>
      </c>
      <c r="C396" s="91">
        <v>4.5780266331844421</v>
      </c>
      <c r="D396"/>
      <c r="E396"/>
      <c r="F396" s="26"/>
      <c r="G396" s="26"/>
      <c r="H396" s="26"/>
      <c r="I396" s="2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</row>
    <row r="397" spans="1:62">
      <c r="A397" s="91" t="str">
        <f t="shared" si="23"/>
        <v>Log-Log</v>
      </c>
      <c r="B397" s="101">
        <v>11.962343990426897</v>
      </c>
      <c r="C397" s="91">
        <v>7.7729722660042677</v>
      </c>
      <c r="D397"/>
      <c r="E397"/>
      <c r="F397" s="26"/>
      <c r="G397" s="26"/>
      <c r="H397" s="26"/>
      <c r="I397" s="26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</row>
    <row r="398" spans="1:62">
      <c r="A398" s="91" t="str">
        <f t="shared" si="23"/>
        <v>Log-Logistic</v>
      </c>
      <c r="B398" s="101">
        <v>419.75143250588826</v>
      </c>
      <c r="C398" s="91">
        <v>21.070852229799858</v>
      </c>
      <c r="D398"/>
      <c r="E398"/>
      <c r="F398" s="26"/>
      <c r="G398" s="26"/>
      <c r="H398" s="26"/>
      <c r="I398" s="26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</row>
    <row r="399" spans="1:62">
      <c r="A399" s="91" t="str">
        <f t="shared" si="23"/>
        <v>Lognormal</v>
      </c>
      <c r="B399" s="101">
        <v>111.81698586577149</v>
      </c>
      <c r="C399" s="91">
        <v>12.570230967375432</v>
      </c>
      <c r="D399"/>
      <c r="E399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1:62">
      <c r="A400" s="91" t="str">
        <f t="shared" si="23"/>
        <v>Normal</v>
      </c>
      <c r="B400" s="101">
        <v>2.0816484383059994</v>
      </c>
      <c r="C400" s="91">
        <v>2.5469834120607167</v>
      </c>
      <c r="D400"/>
      <c r="E400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1:17">
      <c r="A401" s="91" t="str">
        <f t="shared" si="23"/>
        <v>Pareto</v>
      </c>
      <c r="B401" s="101">
        <v>20739270.185046718</v>
      </c>
      <c r="C401" s="91">
        <v>31.690479769225092</v>
      </c>
      <c r="D401"/>
      <c r="E401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1:17">
      <c r="A402" s="91"/>
      <c r="B402" s="101"/>
      <c r="C402" s="101"/>
      <c r="D402"/>
      <c r="E402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1:17">
      <c r="A403" s="91"/>
      <c r="B403" s="101"/>
      <c r="C403" s="101"/>
      <c r="D403"/>
      <c r="E403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1:17">
      <c r="A404" s="91"/>
      <c r="B404"/>
      <c r="C404"/>
      <c r="D404"/>
      <c r="E404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1:17">
      <c r="A405" s="91"/>
      <c r="B405"/>
      <c r="C405"/>
      <c r="D405"/>
      <c r="E40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1:17">
      <c r="A406" s="91"/>
      <c r="B406"/>
      <c r="C406"/>
      <c r="D406"/>
      <c r="E40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1:17">
      <c r="A407" s="91"/>
      <c r="B407"/>
      <c r="C407"/>
      <c r="D407"/>
      <c r="E407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1:17">
      <c r="A408" s="91"/>
      <c r="B408"/>
      <c r="C408"/>
      <c r="D408"/>
      <c r="E408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1:17">
      <c r="A409" s="91"/>
      <c r="B409"/>
      <c r="C409"/>
      <c r="D409"/>
      <c r="E409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1:17">
      <c r="A410" s="91"/>
      <c r="B410"/>
      <c r="C410"/>
      <c r="D410"/>
      <c r="E410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1:17">
      <c r="A411" s="91"/>
      <c r="B411"/>
      <c r="C411"/>
      <c r="D411"/>
      <c r="E411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1:17">
      <c r="A412"/>
      <c r="B412"/>
      <c r="C412"/>
      <c r="D412"/>
      <c r="E412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>
      <c r="A413"/>
      <c r="B413"/>
      <c r="C413"/>
      <c r="D413"/>
      <c r="E413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>
      <c r="A414"/>
      <c r="B414"/>
      <c r="C414"/>
      <c r="D414"/>
      <c r="E414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1:17">
      <c r="A415"/>
      <c r="B415"/>
      <c r="C415"/>
      <c r="D415"/>
      <c r="E415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1:17">
      <c r="A416"/>
      <c r="B416"/>
      <c r="C416"/>
      <c r="D416"/>
      <c r="E41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1:17">
      <c r="A417"/>
      <c r="B417"/>
      <c r="C417"/>
      <c r="D417"/>
      <c r="E417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>
      <c r="A418"/>
      <c r="B418"/>
      <c r="C418"/>
      <c r="D418"/>
      <c r="E418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>
      <c r="A419"/>
      <c r="B419"/>
      <c r="C419"/>
      <c r="D419"/>
      <c r="E419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17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1:17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1:17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1:17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1:17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1:17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1:17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1:17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1:17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1:17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1:17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1:17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26"/>
      <c r="O434" s="26"/>
      <c r="P434" s="26"/>
      <c r="Q434" s="26"/>
    </row>
    <row r="435" spans="1:17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26"/>
      <c r="O435" s="26"/>
      <c r="P435" s="26"/>
      <c r="Q435" s="26"/>
    </row>
    <row r="436" spans="1:17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26"/>
      <c r="O436" s="26"/>
      <c r="P436" s="26"/>
      <c r="Q436" s="26"/>
    </row>
    <row r="437" spans="1:17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26"/>
      <c r="O437" s="26"/>
      <c r="P437" s="26"/>
      <c r="Q437" s="26"/>
    </row>
    <row r="438" spans="1:17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26"/>
      <c r="O438" s="26"/>
      <c r="P438" s="26"/>
      <c r="Q438" s="26"/>
    </row>
    <row r="439" spans="1:17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26"/>
      <c r="O439" s="26"/>
      <c r="P439" s="26"/>
      <c r="Q439" s="26"/>
    </row>
    <row r="440" spans="1:17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26"/>
      <c r="O440" s="26"/>
      <c r="P440" s="26"/>
      <c r="Q440" s="26"/>
    </row>
    <row r="441" spans="1:17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26"/>
      <c r="O441" s="26"/>
      <c r="P441" s="26"/>
      <c r="Q441" s="26"/>
    </row>
    <row r="442" spans="1:17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26"/>
      <c r="O442" s="26"/>
      <c r="P442" s="26"/>
      <c r="Q442" s="26"/>
    </row>
    <row r="443" spans="1:17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26"/>
      <c r="O443" s="26"/>
      <c r="P443" s="26"/>
      <c r="Q443" s="26"/>
    </row>
    <row r="444" spans="1:17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26"/>
      <c r="O444" s="26"/>
      <c r="P444" s="26"/>
      <c r="Q444" s="26"/>
    </row>
    <row r="445" spans="1:17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26"/>
      <c r="O445" s="26"/>
      <c r="P445" s="26"/>
      <c r="Q445" s="26"/>
    </row>
    <row r="446" spans="1:17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26"/>
      <c r="O446" s="26"/>
      <c r="P446" s="26"/>
      <c r="Q446" s="26"/>
    </row>
    <row r="447" spans="1:17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26"/>
      <c r="O447" s="26"/>
      <c r="P447" s="26"/>
      <c r="Q447" s="26"/>
    </row>
    <row r="448" spans="1:17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26"/>
      <c r="O448" s="26"/>
      <c r="P448" s="26"/>
      <c r="Q448" s="26"/>
    </row>
    <row r="449" spans="1:17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26"/>
      <c r="O449" s="26"/>
      <c r="P449" s="26"/>
      <c r="Q449" s="26"/>
    </row>
    <row r="450" spans="1:17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26"/>
      <c r="O450" s="26"/>
      <c r="P450" s="26"/>
      <c r="Q450" s="26"/>
    </row>
    <row r="451" spans="1:17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26"/>
      <c r="O451" s="26"/>
      <c r="P451" s="26"/>
      <c r="Q451" s="26"/>
    </row>
    <row r="452" spans="1:17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26"/>
      <c r="O452" s="26"/>
      <c r="P452" s="26"/>
      <c r="Q452" s="26"/>
    </row>
    <row r="453" spans="1:17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26"/>
      <c r="O453" s="26"/>
      <c r="P453" s="26"/>
      <c r="Q453" s="26"/>
    </row>
    <row r="454" spans="1:17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26"/>
      <c r="O454" s="26"/>
      <c r="P454" s="26"/>
      <c r="Q454" s="26"/>
    </row>
    <row r="455" spans="1:17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26"/>
      <c r="O455" s="26"/>
      <c r="P455" s="26"/>
      <c r="Q455" s="26"/>
    </row>
    <row r="456" spans="1:17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26"/>
      <c r="O456" s="26"/>
      <c r="P456" s="26"/>
      <c r="Q456" s="26"/>
    </row>
    <row r="457" spans="1:17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26"/>
      <c r="O457" s="26"/>
      <c r="P457" s="26"/>
      <c r="Q457" s="26"/>
    </row>
    <row r="458" spans="1:17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26"/>
      <c r="O458" s="26"/>
      <c r="P458" s="26"/>
      <c r="Q458" s="26"/>
    </row>
    <row r="459" spans="1:17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26"/>
      <c r="O459" s="26"/>
      <c r="P459" s="26"/>
      <c r="Q459" s="26"/>
    </row>
    <row r="460" spans="1:17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26"/>
      <c r="O460" s="26"/>
      <c r="P460" s="26"/>
      <c r="Q460" s="26"/>
    </row>
    <row r="461" spans="1:17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26"/>
      <c r="O461" s="26"/>
      <c r="P461" s="26"/>
      <c r="Q461" s="26"/>
    </row>
    <row r="462" spans="1:17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26"/>
      <c r="O462" s="26"/>
      <c r="P462" s="26"/>
      <c r="Q462" s="26"/>
    </row>
    <row r="463" spans="1:17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26"/>
      <c r="O463" s="26"/>
      <c r="P463" s="26"/>
      <c r="Q463" s="26"/>
    </row>
    <row r="464" spans="1:17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26"/>
      <c r="O464" s="26"/>
      <c r="P464" s="26"/>
      <c r="Q464" s="26"/>
    </row>
    <row r="465" spans="1:17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26"/>
      <c r="O465" s="26"/>
      <c r="P465" s="26"/>
      <c r="Q465" s="26"/>
    </row>
    <row r="466" spans="1:17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26"/>
      <c r="O466" s="26"/>
      <c r="P466" s="26"/>
      <c r="Q466" s="26"/>
    </row>
    <row r="467" spans="1:17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26"/>
      <c r="O467" s="26"/>
      <c r="P467" s="26"/>
      <c r="Q467" s="26"/>
    </row>
    <row r="468" spans="1:17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26"/>
      <c r="O468" s="26"/>
      <c r="P468" s="26"/>
      <c r="Q468" s="26"/>
    </row>
    <row r="469" spans="1:17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26"/>
      <c r="O469" s="26"/>
      <c r="P469" s="26"/>
      <c r="Q469" s="26"/>
    </row>
    <row r="470" spans="1:17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26"/>
      <c r="O470" s="26"/>
      <c r="P470" s="26"/>
      <c r="Q470" s="26"/>
    </row>
    <row r="471" spans="1:17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26"/>
      <c r="O471" s="26"/>
      <c r="P471" s="26"/>
      <c r="Q471" s="26"/>
    </row>
    <row r="472" spans="1:17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26"/>
      <c r="O472" s="26"/>
      <c r="P472" s="26"/>
      <c r="Q472" s="26"/>
    </row>
    <row r="473" spans="1:17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26"/>
      <c r="O473" s="26"/>
      <c r="P473" s="26"/>
      <c r="Q473" s="26"/>
    </row>
    <row r="474" spans="1:17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26"/>
      <c r="O474" s="26"/>
      <c r="P474" s="26"/>
      <c r="Q474" s="26"/>
    </row>
    <row r="475" spans="1:17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26"/>
      <c r="O475" s="26"/>
      <c r="P475" s="26"/>
      <c r="Q475" s="26"/>
    </row>
    <row r="476" spans="1:17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26"/>
      <c r="O476" s="26"/>
      <c r="P476" s="26"/>
      <c r="Q476" s="26"/>
    </row>
    <row r="477" spans="1:17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26"/>
      <c r="O477" s="26"/>
      <c r="P477" s="26"/>
      <c r="Q477" s="26"/>
    </row>
    <row r="478" spans="1:17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26"/>
      <c r="O478" s="26"/>
      <c r="P478" s="26"/>
      <c r="Q478" s="26"/>
    </row>
    <row r="479" spans="1:17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26"/>
      <c r="O479" s="26"/>
      <c r="P479" s="26"/>
      <c r="Q479" s="26"/>
    </row>
    <row r="480" spans="1:17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26"/>
      <c r="O480" s="26"/>
      <c r="P480" s="26"/>
      <c r="Q480" s="26"/>
    </row>
    <row r="481" spans="1:17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26"/>
      <c r="O481" s="26"/>
      <c r="P481" s="26"/>
      <c r="Q481" s="26"/>
    </row>
    <row r="482" spans="1:17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26"/>
      <c r="O482" s="26"/>
      <c r="P482" s="26"/>
      <c r="Q482" s="26"/>
    </row>
    <row r="483" spans="1:17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26"/>
      <c r="O483" s="26"/>
      <c r="P483" s="26"/>
      <c r="Q483" s="26"/>
    </row>
    <row r="484" spans="1:17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26"/>
      <c r="O484" s="26"/>
      <c r="P484" s="26"/>
      <c r="Q484" s="26"/>
    </row>
    <row r="485" spans="1:17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26"/>
      <c r="O485" s="26"/>
      <c r="P485" s="26"/>
      <c r="Q485" s="26"/>
    </row>
    <row r="486" spans="1:17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26"/>
      <c r="O486" s="26"/>
      <c r="P486" s="26"/>
      <c r="Q486" s="26"/>
    </row>
    <row r="487" spans="1:17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26"/>
      <c r="O487" s="26"/>
      <c r="P487" s="26"/>
      <c r="Q487" s="26"/>
    </row>
    <row r="488" spans="1:17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26"/>
      <c r="O488" s="26"/>
      <c r="P488" s="26"/>
      <c r="Q488" s="26"/>
    </row>
    <row r="489" spans="1:17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26"/>
      <c r="O489" s="26"/>
      <c r="P489" s="26"/>
      <c r="Q489" s="26"/>
    </row>
    <row r="490" spans="1:17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26"/>
      <c r="O490" s="26"/>
      <c r="P490" s="26"/>
      <c r="Q490" s="26"/>
    </row>
    <row r="491" spans="1:17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26"/>
      <c r="O491" s="26"/>
      <c r="P491" s="26"/>
      <c r="Q491" s="26"/>
    </row>
    <row r="492" spans="1:17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26"/>
      <c r="O492" s="26"/>
      <c r="P492" s="26"/>
      <c r="Q492" s="26"/>
    </row>
    <row r="493" spans="1:17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26"/>
      <c r="O493" s="26"/>
      <c r="P493" s="26"/>
      <c r="Q493" s="26"/>
    </row>
    <row r="494" spans="1:17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26"/>
      <c r="O494" s="26"/>
      <c r="P494" s="26"/>
      <c r="Q494" s="26"/>
    </row>
    <row r="495" spans="1:17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26"/>
      <c r="O495" s="26"/>
      <c r="P495" s="26"/>
      <c r="Q495" s="26"/>
    </row>
    <row r="496" spans="1:17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26"/>
      <c r="O496" s="26"/>
      <c r="P496" s="26"/>
      <c r="Q496" s="26"/>
    </row>
    <row r="497" spans="1:17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26"/>
      <c r="O497" s="26"/>
      <c r="P497" s="26"/>
      <c r="Q497" s="26"/>
    </row>
    <row r="498" spans="1:17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26"/>
      <c r="O498" s="26"/>
      <c r="P498" s="26"/>
      <c r="Q498" s="26"/>
    </row>
    <row r="499" spans="1:17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26"/>
      <c r="O499" s="26"/>
      <c r="P499" s="26"/>
      <c r="Q499" s="26"/>
    </row>
    <row r="500" spans="1:17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26"/>
      <c r="O500" s="26"/>
      <c r="P500" s="26"/>
      <c r="Q500" s="26"/>
    </row>
    <row r="501" spans="1:17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26"/>
      <c r="O501" s="26"/>
      <c r="P501" s="26"/>
      <c r="Q501" s="26"/>
    </row>
    <row r="502" spans="1:17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26"/>
      <c r="O502" s="26"/>
      <c r="P502" s="26"/>
      <c r="Q502" s="26"/>
    </row>
    <row r="503" spans="1:17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26"/>
      <c r="O503" s="26"/>
      <c r="P503" s="26"/>
      <c r="Q503" s="26"/>
    </row>
    <row r="504" spans="1:17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26"/>
      <c r="O504" s="26"/>
      <c r="P504" s="26"/>
      <c r="Q504" s="26"/>
    </row>
    <row r="505" spans="1:17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26"/>
      <c r="O505" s="26"/>
      <c r="P505" s="26"/>
      <c r="Q505" s="26"/>
    </row>
    <row r="506" spans="1:17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26"/>
      <c r="O506" s="26"/>
      <c r="P506" s="26"/>
      <c r="Q506" s="26"/>
    </row>
    <row r="507" spans="1:17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26"/>
      <c r="O507" s="26"/>
      <c r="P507" s="26"/>
      <c r="Q507" s="26"/>
    </row>
    <row r="508" spans="1:17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26"/>
      <c r="O508" s="26"/>
      <c r="P508" s="26"/>
      <c r="Q508" s="26"/>
    </row>
    <row r="509" spans="1:17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26"/>
      <c r="O509" s="26"/>
      <c r="P509" s="26"/>
      <c r="Q509" s="26"/>
    </row>
    <row r="510" spans="1:17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26"/>
      <c r="O510" s="26"/>
      <c r="P510" s="26"/>
      <c r="Q510" s="26"/>
    </row>
    <row r="511" spans="1:17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26"/>
      <c r="O511" s="26"/>
      <c r="P511" s="26"/>
      <c r="Q511" s="26"/>
    </row>
    <row r="512" spans="1:17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26"/>
      <c r="O512" s="26"/>
      <c r="P512" s="26"/>
      <c r="Q512" s="26"/>
    </row>
    <row r="513" spans="1:17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26"/>
      <c r="O513" s="26"/>
      <c r="P513" s="26"/>
      <c r="Q513" s="26"/>
    </row>
    <row r="514" spans="1:17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26"/>
      <c r="O514" s="26"/>
      <c r="P514" s="26"/>
      <c r="Q514" s="26"/>
    </row>
    <row r="515" spans="1:17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26"/>
      <c r="O515" s="26"/>
      <c r="P515" s="26"/>
      <c r="Q515" s="26"/>
    </row>
    <row r="516" spans="1:17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26"/>
      <c r="O516" s="26"/>
      <c r="P516" s="26"/>
      <c r="Q516" s="26"/>
    </row>
    <row r="517" spans="1:17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26"/>
      <c r="O517" s="26"/>
      <c r="P517" s="26"/>
      <c r="Q517" s="26"/>
    </row>
    <row r="518" spans="1:17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26"/>
      <c r="O518" s="26"/>
      <c r="P518" s="26"/>
      <c r="Q518" s="26"/>
    </row>
    <row r="519" spans="1:17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26"/>
      <c r="O519" s="26"/>
      <c r="P519" s="26"/>
      <c r="Q519" s="26"/>
    </row>
    <row r="520" spans="1:17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26"/>
      <c r="O520" s="26"/>
      <c r="P520" s="26"/>
      <c r="Q520" s="26"/>
    </row>
    <row r="521" spans="1:17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26"/>
      <c r="O521" s="26"/>
      <c r="P521" s="26"/>
      <c r="Q521" s="26"/>
    </row>
    <row r="522" spans="1:17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26"/>
      <c r="O522" s="26"/>
      <c r="P522" s="26"/>
      <c r="Q522" s="26"/>
    </row>
    <row r="523" spans="1:17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26"/>
      <c r="O523" s="26"/>
      <c r="P523" s="26"/>
      <c r="Q523" s="26"/>
    </row>
    <row r="524" spans="1:17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26"/>
      <c r="O524" s="26"/>
      <c r="P524" s="26"/>
      <c r="Q524" s="26"/>
    </row>
    <row r="525" spans="1:17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26"/>
      <c r="O525" s="26"/>
      <c r="P525" s="26"/>
      <c r="Q525" s="26"/>
    </row>
    <row r="526" spans="1:17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26"/>
      <c r="O526" s="26"/>
      <c r="P526" s="26"/>
      <c r="Q526" s="26"/>
    </row>
    <row r="527" spans="1:17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26"/>
      <c r="O527" s="26"/>
      <c r="P527" s="26"/>
      <c r="Q527" s="26"/>
    </row>
    <row r="528" spans="1:17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26"/>
      <c r="O528" s="26"/>
      <c r="P528" s="26"/>
      <c r="Q528" s="26"/>
    </row>
    <row r="529" spans="1:17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26"/>
      <c r="O529" s="26"/>
      <c r="P529" s="26"/>
      <c r="Q529" s="26"/>
    </row>
    <row r="530" spans="1:17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26"/>
      <c r="O530" s="26"/>
      <c r="P530" s="26"/>
      <c r="Q530" s="26"/>
    </row>
    <row r="531" spans="1:17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26"/>
      <c r="O531" s="26"/>
      <c r="P531" s="26"/>
      <c r="Q531" s="26"/>
    </row>
    <row r="532" spans="1:17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26"/>
      <c r="O532" s="26"/>
      <c r="P532" s="26"/>
      <c r="Q532" s="26"/>
    </row>
    <row r="533" spans="1:17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26"/>
      <c r="O533" s="26"/>
      <c r="P533" s="26"/>
      <c r="Q533" s="26"/>
    </row>
    <row r="534" spans="1:17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26"/>
      <c r="O534" s="26"/>
      <c r="P534" s="26"/>
      <c r="Q534" s="26"/>
    </row>
    <row r="535" spans="1:17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26"/>
      <c r="O535" s="26"/>
      <c r="P535" s="26"/>
      <c r="Q535" s="26"/>
    </row>
    <row r="536" spans="1:17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26"/>
      <c r="O536" s="26"/>
      <c r="P536" s="26"/>
      <c r="Q536" s="26"/>
    </row>
    <row r="537" spans="1:17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26"/>
      <c r="O537" s="26"/>
      <c r="P537" s="26"/>
      <c r="Q537" s="26"/>
    </row>
    <row r="538" spans="1:17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26"/>
      <c r="O538" s="26"/>
      <c r="P538" s="26"/>
      <c r="Q538" s="26"/>
    </row>
    <row r="539" spans="1:17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26"/>
      <c r="O539" s="26"/>
      <c r="P539" s="26"/>
      <c r="Q539" s="26"/>
    </row>
    <row r="540" spans="1:17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26"/>
      <c r="O540" s="26"/>
      <c r="P540" s="26"/>
      <c r="Q540" s="26"/>
    </row>
    <row r="541" spans="1:17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26"/>
      <c r="O541" s="26"/>
      <c r="P541" s="26"/>
      <c r="Q541" s="26"/>
    </row>
    <row r="542" spans="1:17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26"/>
      <c r="O542" s="26"/>
      <c r="P542" s="26"/>
      <c r="Q542" s="26"/>
    </row>
    <row r="543" spans="1:17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26"/>
      <c r="O543" s="26"/>
      <c r="P543" s="26"/>
      <c r="Q543" s="26"/>
    </row>
    <row r="544" spans="1:17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26"/>
      <c r="O544" s="26"/>
      <c r="P544" s="26"/>
      <c r="Q544" s="26"/>
    </row>
    <row r="545" spans="1:17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26"/>
      <c r="O545" s="26"/>
      <c r="P545" s="26"/>
      <c r="Q545" s="26"/>
    </row>
    <row r="546" spans="1:17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26"/>
      <c r="O546" s="26"/>
      <c r="P546" s="26"/>
      <c r="Q546" s="26"/>
    </row>
    <row r="547" spans="1:17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26"/>
      <c r="O547" s="26"/>
      <c r="P547" s="26"/>
      <c r="Q547" s="26"/>
    </row>
    <row r="548" spans="1:17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26"/>
      <c r="O548" s="26"/>
      <c r="P548" s="26"/>
      <c r="Q548" s="26"/>
    </row>
    <row r="549" spans="1:17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26"/>
      <c r="O549" s="26"/>
      <c r="P549" s="26"/>
      <c r="Q549" s="26"/>
    </row>
    <row r="550" spans="1:17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26"/>
      <c r="O550" s="26"/>
      <c r="P550" s="26"/>
      <c r="Q550" s="26"/>
    </row>
    <row r="551" spans="1:17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26"/>
      <c r="O551" s="26"/>
      <c r="P551" s="26"/>
      <c r="Q551" s="26"/>
    </row>
    <row r="552" spans="1:17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26"/>
      <c r="O552" s="26"/>
      <c r="P552" s="26"/>
      <c r="Q552" s="26"/>
    </row>
    <row r="553" spans="1:17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26"/>
      <c r="O553" s="26"/>
      <c r="P553" s="26"/>
      <c r="Q553" s="26"/>
    </row>
    <row r="554" spans="1:17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26"/>
      <c r="O554" s="26"/>
      <c r="P554" s="26"/>
      <c r="Q554" s="26"/>
    </row>
    <row r="555" spans="1:17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26"/>
      <c r="O555" s="26"/>
      <c r="P555" s="26"/>
      <c r="Q555" s="26"/>
    </row>
    <row r="556" spans="1:17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26"/>
      <c r="O556" s="26"/>
      <c r="P556" s="26"/>
      <c r="Q556" s="26"/>
    </row>
    <row r="557" spans="1:17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26"/>
      <c r="O557" s="26"/>
      <c r="P557" s="26"/>
      <c r="Q557" s="26"/>
    </row>
    <row r="558" spans="1:17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26"/>
      <c r="O558" s="26"/>
      <c r="P558" s="26"/>
      <c r="Q558" s="26"/>
    </row>
    <row r="559" spans="1:17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26"/>
      <c r="O559" s="26"/>
      <c r="P559" s="26"/>
      <c r="Q559" s="26"/>
    </row>
    <row r="560" spans="1:17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26"/>
      <c r="O560" s="26"/>
      <c r="P560" s="26"/>
      <c r="Q560" s="26"/>
    </row>
    <row r="561" spans="1:17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26"/>
      <c r="O561" s="26"/>
      <c r="P561" s="26"/>
      <c r="Q561" s="26"/>
    </row>
    <row r="562" spans="1:17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26"/>
      <c r="O562" s="26"/>
      <c r="P562" s="26"/>
      <c r="Q562" s="26"/>
    </row>
    <row r="563" spans="1:17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26"/>
      <c r="O563" s="26"/>
      <c r="P563" s="26"/>
      <c r="Q563" s="26"/>
    </row>
    <row r="564" spans="1:17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26"/>
      <c r="O564" s="26"/>
      <c r="P564" s="26"/>
      <c r="Q564" s="26"/>
    </row>
    <row r="565" spans="1:17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26"/>
      <c r="O565" s="26"/>
      <c r="P565" s="26"/>
      <c r="Q565" s="26"/>
    </row>
    <row r="566" spans="1:17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26"/>
      <c r="O566" s="26"/>
      <c r="P566" s="26"/>
      <c r="Q566" s="26"/>
    </row>
    <row r="567" spans="1:17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26"/>
      <c r="O567" s="26"/>
      <c r="P567" s="26"/>
      <c r="Q567" s="26"/>
    </row>
    <row r="568" spans="1:17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26"/>
      <c r="O568" s="26"/>
      <c r="P568" s="26"/>
      <c r="Q568" s="26"/>
    </row>
    <row r="569" spans="1:17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26"/>
      <c r="O569" s="26"/>
      <c r="P569" s="26"/>
      <c r="Q569" s="26"/>
    </row>
    <row r="570" spans="1:17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26"/>
      <c r="O570" s="26"/>
      <c r="P570" s="26"/>
      <c r="Q570" s="26"/>
    </row>
    <row r="571" spans="1:17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26"/>
      <c r="O571" s="26"/>
      <c r="P571" s="26"/>
      <c r="Q571" s="26"/>
    </row>
    <row r="572" spans="1:17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26"/>
      <c r="O572" s="26"/>
      <c r="P572" s="26"/>
      <c r="Q572" s="26"/>
    </row>
    <row r="573" spans="1:17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26"/>
      <c r="O573" s="26"/>
      <c r="P573" s="26"/>
      <c r="Q573" s="26"/>
    </row>
    <row r="574" spans="1:17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26"/>
      <c r="O574" s="26"/>
      <c r="P574" s="26"/>
      <c r="Q574" s="26"/>
    </row>
    <row r="575" spans="1:17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26"/>
      <c r="O575" s="26"/>
      <c r="P575" s="26"/>
      <c r="Q575" s="26"/>
    </row>
    <row r="576" spans="1:17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26"/>
      <c r="O576" s="26"/>
      <c r="P576" s="26"/>
      <c r="Q576" s="26"/>
    </row>
    <row r="577" spans="1:17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26"/>
      <c r="O577" s="26"/>
      <c r="P577" s="26"/>
      <c r="Q577" s="26"/>
    </row>
    <row r="578" spans="1:17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26"/>
      <c r="O578" s="26"/>
      <c r="P578" s="26"/>
      <c r="Q578" s="26"/>
    </row>
    <row r="579" spans="1:17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26"/>
      <c r="O579" s="26"/>
      <c r="P579" s="26"/>
      <c r="Q579" s="26"/>
    </row>
    <row r="580" spans="1:17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26"/>
      <c r="O580" s="26"/>
      <c r="P580" s="26"/>
      <c r="Q580" s="26"/>
    </row>
    <row r="581" spans="1:17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26"/>
      <c r="O581" s="26"/>
      <c r="P581" s="26"/>
      <c r="Q581" s="26"/>
    </row>
    <row r="582" spans="1:17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26"/>
      <c r="O582" s="26"/>
      <c r="P582" s="26"/>
      <c r="Q582" s="26"/>
    </row>
    <row r="583" spans="1:17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26"/>
      <c r="O583" s="26"/>
      <c r="P583" s="26"/>
      <c r="Q583" s="26"/>
    </row>
    <row r="584" spans="1:17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26"/>
      <c r="O584" s="26"/>
      <c r="P584" s="26"/>
      <c r="Q584" s="26"/>
    </row>
    <row r="585" spans="1:17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26"/>
      <c r="O585" s="26"/>
      <c r="P585" s="26"/>
      <c r="Q585" s="26"/>
    </row>
    <row r="586" spans="1:17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26"/>
      <c r="O586" s="26"/>
      <c r="P586" s="26"/>
      <c r="Q586" s="26"/>
    </row>
    <row r="587" spans="1:17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26"/>
      <c r="O587" s="26"/>
      <c r="P587" s="26"/>
      <c r="Q587" s="26"/>
    </row>
    <row r="588" spans="1:17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26"/>
      <c r="O588" s="26"/>
      <c r="P588" s="26"/>
      <c r="Q588" s="26"/>
    </row>
    <row r="589" spans="1:17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26"/>
      <c r="O589" s="26"/>
      <c r="P589" s="26"/>
      <c r="Q589" s="26"/>
    </row>
    <row r="590" spans="1:17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26"/>
      <c r="O590" s="26"/>
      <c r="P590" s="26"/>
      <c r="Q590" s="26"/>
    </row>
    <row r="591" spans="1:17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26"/>
      <c r="O591" s="26"/>
      <c r="P591" s="26"/>
      <c r="Q591" s="26"/>
    </row>
    <row r="592" spans="1:17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26"/>
      <c r="O592" s="26"/>
      <c r="P592" s="26"/>
      <c r="Q592" s="26"/>
    </row>
    <row r="593" spans="1:17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26"/>
      <c r="O593" s="26"/>
      <c r="P593" s="26"/>
      <c r="Q593" s="26"/>
    </row>
    <row r="594" spans="1:17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26"/>
      <c r="O594" s="26"/>
      <c r="P594" s="26"/>
      <c r="Q594" s="26"/>
    </row>
    <row r="595" spans="1:17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26"/>
      <c r="O595" s="26"/>
      <c r="P595" s="26"/>
      <c r="Q595" s="26"/>
    </row>
    <row r="596" spans="1:17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26"/>
      <c r="O596" s="26"/>
      <c r="P596" s="26"/>
      <c r="Q596" s="26"/>
    </row>
    <row r="597" spans="1:17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26"/>
      <c r="O597" s="26"/>
      <c r="P597" s="26"/>
      <c r="Q597" s="26"/>
    </row>
    <row r="598" spans="1:17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26"/>
      <c r="O598" s="26"/>
      <c r="P598" s="26"/>
      <c r="Q598" s="26"/>
    </row>
    <row r="599" spans="1:17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26"/>
      <c r="O599" s="26"/>
      <c r="P599" s="26"/>
      <c r="Q599" s="26"/>
    </row>
    <row r="600" spans="1:17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26"/>
      <c r="O600" s="26"/>
      <c r="P600" s="26"/>
      <c r="Q600" s="26"/>
    </row>
    <row r="601" spans="1:17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26"/>
      <c r="O601" s="26"/>
      <c r="P601" s="26"/>
      <c r="Q601" s="26"/>
    </row>
    <row r="602" spans="1:17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26"/>
      <c r="O602" s="26"/>
      <c r="P602" s="26"/>
      <c r="Q602" s="26"/>
    </row>
    <row r="603" spans="1:17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26"/>
      <c r="O603" s="26"/>
      <c r="P603" s="26"/>
      <c r="Q603" s="26"/>
    </row>
    <row r="604" spans="1:17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26"/>
      <c r="O604" s="26"/>
      <c r="P604" s="26"/>
      <c r="Q604" s="26"/>
    </row>
    <row r="605" spans="1:17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26"/>
      <c r="O605" s="26"/>
      <c r="P605" s="26"/>
      <c r="Q605" s="26"/>
    </row>
    <row r="606" spans="1:17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26"/>
      <c r="O606" s="26"/>
      <c r="P606" s="26"/>
      <c r="Q606" s="26"/>
    </row>
    <row r="607" spans="1:17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26"/>
      <c r="O607" s="26"/>
      <c r="P607" s="26"/>
      <c r="Q607" s="26"/>
    </row>
    <row r="608" spans="1:17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26"/>
      <c r="O608" s="26"/>
      <c r="P608" s="26"/>
      <c r="Q608" s="26"/>
    </row>
    <row r="609" spans="1:17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26"/>
      <c r="O609" s="26"/>
      <c r="P609" s="26"/>
      <c r="Q609" s="26"/>
    </row>
    <row r="610" spans="1:17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26"/>
      <c r="O610" s="26"/>
      <c r="P610" s="26"/>
      <c r="Q610" s="26"/>
    </row>
    <row r="611" spans="1:17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26"/>
      <c r="O611" s="26"/>
      <c r="P611" s="26"/>
      <c r="Q611" s="26"/>
    </row>
    <row r="612" spans="1:17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26"/>
      <c r="O612" s="26"/>
      <c r="P612" s="26"/>
      <c r="Q612" s="26"/>
    </row>
    <row r="613" spans="1:17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26"/>
      <c r="O613" s="26"/>
      <c r="P613" s="26"/>
      <c r="Q613" s="26"/>
    </row>
    <row r="614" spans="1:17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26"/>
      <c r="O614" s="26"/>
      <c r="P614" s="26"/>
      <c r="Q614" s="26"/>
    </row>
    <row r="615" spans="1:17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26"/>
      <c r="O615" s="26"/>
      <c r="P615" s="26"/>
      <c r="Q615" s="26"/>
    </row>
    <row r="616" spans="1:17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26"/>
      <c r="O616" s="26"/>
      <c r="P616" s="26"/>
      <c r="Q616" s="26"/>
    </row>
    <row r="617" spans="1:17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26"/>
      <c r="O617" s="26"/>
      <c r="P617" s="26"/>
      <c r="Q617" s="26"/>
    </row>
    <row r="618" spans="1:17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26"/>
      <c r="O618" s="26"/>
      <c r="P618" s="26"/>
      <c r="Q618" s="26"/>
    </row>
    <row r="619" spans="1:17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26"/>
      <c r="O619" s="26"/>
      <c r="P619" s="26"/>
      <c r="Q619" s="26"/>
    </row>
    <row r="620" spans="1:17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26"/>
      <c r="O620" s="26"/>
      <c r="P620" s="26"/>
      <c r="Q620" s="26"/>
    </row>
    <row r="621" spans="1:17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26"/>
      <c r="O621" s="26"/>
      <c r="P621" s="26"/>
      <c r="Q621" s="26"/>
    </row>
    <row r="622" spans="1:17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26"/>
      <c r="O622" s="26"/>
      <c r="P622" s="26"/>
      <c r="Q622" s="26"/>
    </row>
    <row r="623" spans="1:17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26"/>
      <c r="O623" s="26"/>
      <c r="P623" s="26"/>
      <c r="Q623" s="26"/>
    </row>
    <row r="624" spans="1:17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26"/>
      <c r="O624" s="26"/>
      <c r="P624" s="26"/>
      <c r="Q624" s="26"/>
    </row>
    <row r="625" spans="1:17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26"/>
      <c r="O625" s="26"/>
      <c r="P625" s="26"/>
      <c r="Q625" s="26"/>
    </row>
    <row r="626" spans="1:17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26"/>
      <c r="O626" s="26"/>
      <c r="P626" s="26"/>
      <c r="Q626" s="26"/>
    </row>
    <row r="627" spans="1:17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26"/>
      <c r="O627" s="26"/>
      <c r="P627" s="26"/>
      <c r="Q627" s="26"/>
    </row>
    <row r="628" spans="1:17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26"/>
      <c r="O628" s="26"/>
      <c r="P628" s="26"/>
      <c r="Q628" s="26"/>
    </row>
    <row r="629" spans="1:17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26"/>
      <c r="O629" s="26"/>
      <c r="P629" s="26"/>
      <c r="Q629" s="26"/>
    </row>
    <row r="630" spans="1:17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26"/>
      <c r="O630" s="26"/>
      <c r="P630" s="26"/>
      <c r="Q630" s="26"/>
    </row>
    <row r="631" spans="1:17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26"/>
      <c r="O631" s="26"/>
      <c r="P631" s="26"/>
      <c r="Q631" s="26"/>
    </row>
    <row r="632" spans="1:17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26"/>
      <c r="O632" s="26"/>
      <c r="P632" s="26"/>
      <c r="Q632" s="26"/>
    </row>
    <row r="633" spans="1:17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26"/>
      <c r="O633" s="26"/>
      <c r="P633" s="26"/>
      <c r="Q633" s="26"/>
    </row>
    <row r="634" spans="1:17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26"/>
      <c r="O634" s="26"/>
      <c r="P634" s="26"/>
      <c r="Q634" s="26"/>
    </row>
    <row r="635" spans="1:17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26"/>
      <c r="O635" s="26"/>
      <c r="P635" s="26"/>
      <c r="Q635" s="26"/>
    </row>
    <row r="636" spans="1:17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26"/>
      <c r="O636" s="26"/>
      <c r="P636" s="26"/>
      <c r="Q636" s="26"/>
    </row>
    <row r="637" spans="1:17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26"/>
      <c r="O637" s="26"/>
      <c r="P637" s="26"/>
      <c r="Q637" s="26"/>
    </row>
    <row r="638" spans="1:17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26"/>
      <c r="O638" s="26"/>
      <c r="P638" s="26"/>
      <c r="Q638" s="26"/>
    </row>
    <row r="639" spans="1:17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26"/>
      <c r="O639" s="26"/>
      <c r="P639" s="26"/>
      <c r="Q639" s="26"/>
    </row>
    <row r="640" spans="1:17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26"/>
      <c r="O640" s="26"/>
      <c r="P640" s="26"/>
      <c r="Q640" s="26"/>
    </row>
    <row r="641" spans="1:17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26"/>
      <c r="O641" s="26"/>
      <c r="P641" s="26"/>
      <c r="Q641" s="26"/>
    </row>
    <row r="642" spans="1:17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26"/>
      <c r="O642" s="26"/>
      <c r="P642" s="26"/>
      <c r="Q642" s="26"/>
    </row>
    <row r="643" spans="1:17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26"/>
      <c r="O643" s="26"/>
      <c r="P643" s="26"/>
      <c r="Q643" s="26"/>
    </row>
    <row r="644" spans="1:17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26"/>
      <c r="O644" s="26"/>
      <c r="P644" s="26"/>
      <c r="Q644" s="26"/>
    </row>
    <row r="645" spans="1:17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26"/>
      <c r="O645" s="26"/>
      <c r="P645" s="26"/>
      <c r="Q645" s="26"/>
    </row>
    <row r="646" spans="1:17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26"/>
      <c r="O646" s="26"/>
      <c r="P646" s="26"/>
      <c r="Q646" s="26"/>
    </row>
    <row r="647" spans="1:17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26"/>
      <c r="O647" s="26"/>
      <c r="P647" s="26"/>
      <c r="Q647" s="26"/>
    </row>
    <row r="648" spans="1:17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26"/>
      <c r="O648" s="26"/>
      <c r="P648" s="26"/>
      <c r="Q648" s="26"/>
    </row>
    <row r="649" spans="1:17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26"/>
      <c r="O649" s="26"/>
      <c r="P649" s="26"/>
      <c r="Q649" s="26"/>
    </row>
    <row r="650" spans="1:17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26"/>
      <c r="O650" s="26"/>
      <c r="P650" s="26"/>
      <c r="Q650" s="26"/>
    </row>
    <row r="651" spans="1:17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26"/>
      <c r="O651" s="26"/>
      <c r="P651" s="26"/>
      <c r="Q651" s="26"/>
    </row>
    <row r="652" spans="1:17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26"/>
      <c r="O652" s="26"/>
      <c r="P652" s="26"/>
      <c r="Q652" s="26"/>
    </row>
    <row r="653" spans="1:17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26"/>
      <c r="O653" s="26"/>
      <c r="P653" s="26"/>
      <c r="Q653" s="26"/>
    </row>
    <row r="654" spans="1:17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26"/>
      <c r="O654" s="26"/>
      <c r="P654" s="26"/>
      <c r="Q654" s="26"/>
    </row>
    <row r="655" spans="1:17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26"/>
      <c r="O655" s="26"/>
      <c r="P655" s="26"/>
      <c r="Q655" s="26"/>
    </row>
    <row r="656" spans="1:17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26"/>
      <c r="O656" s="26"/>
      <c r="P656" s="26"/>
      <c r="Q656" s="26"/>
    </row>
    <row r="657" spans="1:17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26"/>
      <c r="O657" s="26"/>
      <c r="P657" s="26"/>
      <c r="Q657" s="26"/>
    </row>
    <row r="658" spans="1:17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26"/>
      <c r="O658" s="26"/>
      <c r="P658" s="26"/>
      <c r="Q658" s="26"/>
    </row>
    <row r="659" spans="1:17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26"/>
      <c r="O659" s="26"/>
      <c r="P659" s="26"/>
      <c r="Q659" s="26"/>
    </row>
    <row r="660" spans="1:17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26"/>
      <c r="O660" s="26"/>
      <c r="P660" s="26"/>
      <c r="Q660" s="26"/>
    </row>
    <row r="661" spans="1:17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26"/>
      <c r="O661" s="26"/>
      <c r="P661" s="26"/>
      <c r="Q661" s="26"/>
    </row>
    <row r="662" spans="1:17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26"/>
      <c r="O662" s="26"/>
      <c r="P662" s="26"/>
      <c r="Q662" s="26"/>
    </row>
    <row r="663" spans="1:17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26"/>
      <c r="O663" s="26"/>
      <c r="P663" s="26"/>
      <c r="Q663" s="26"/>
    </row>
    <row r="664" spans="1:17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26"/>
      <c r="O664" s="26"/>
      <c r="P664" s="26"/>
      <c r="Q664" s="26"/>
    </row>
    <row r="665" spans="1:17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26"/>
      <c r="O665" s="26"/>
      <c r="P665" s="26"/>
      <c r="Q665" s="26"/>
    </row>
    <row r="666" spans="1:17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26"/>
      <c r="O666" s="26"/>
      <c r="P666" s="26"/>
      <c r="Q666" s="26"/>
    </row>
    <row r="667" spans="1:17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26"/>
      <c r="O667" s="26"/>
      <c r="P667" s="26"/>
      <c r="Q667" s="26"/>
    </row>
    <row r="668" spans="1:17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26"/>
      <c r="O668" s="26"/>
      <c r="P668" s="26"/>
      <c r="Q668" s="26"/>
    </row>
    <row r="669" spans="1:17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26"/>
      <c r="O669" s="26"/>
      <c r="P669" s="26"/>
      <c r="Q669" s="26"/>
    </row>
    <row r="670" spans="1:17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26"/>
      <c r="O670" s="26"/>
      <c r="P670" s="26"/>
      <c r="Q670" s="26"/>
    </row>
    <row r="671" spans="1:17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26"/>
      <c r="O671" s="26"/>
      <c r="P671" s="26"/>
      <c r="Q671" s="26"/>
    </row>
    <row r="672" spans="1:17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26"/>
      <c r="O672" s="26"/>
      <c r="P672" s="26"/>
      <c r="Q672" s="26"/>
    </row>
    <row r="673" spans="1:17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26"/>
      <c r="O673" s="26"/>
      <c r="P673" s="26"/>
      <c r="Q673" s="26"/>
    </row>
    <row r="674" spans="1:17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26"/>
      <c r="O674" s="26"/>
      <c r="P674" s="26"/>
      <c r="Q674" s="26"/>
    </row>
    <row r="675" spans="1:17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26"/>
      <c r="O675" s="26"/>
      <c r="P675" s="26"/>
      <c r="Q675" s="26"/>
    </row>
    <row r="676" spans="1:17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26"/>
      <c r="O676" s="26"/>
      <c r="P676" s="26"/>
      <c r="Q676" s="26"/>
    </row>
    <row r="677" spans="1:17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26"/>
      <c r="O677" s="26"/>
      <c r="P677" s="26"/>
      <c r="Q677" s="26"/>
    </row>
    <row r="678" spans="1:17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26"/>
      <c r="O678" s="26"/>
      <c r="P678" s="26"/>
      <c r="Q678" s="26"/>
    </row>
    <row r="679" spans="1:17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26"/>
      <c r="O679" s="26"/>
      <c r="P679" s="26"/>
      <c r="Q679" s="26"/>
    </row>
    <row r="680" spans="1:17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26"/>
      <c r="O680" s="26"/>
      <c r="P680" s="26"/>
      <c r="Q680" s="26"/>
    </row>
    <row r="681" spans="1:17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26"/>
      <c r="O681" s="26"/>
      <c r="P681" s="26"/>
      <c r="Q681" s="26"/>
    </row>
    <row r="682" spans="1:17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26"/>
      <c r="O682" s="26"/>
      <c r="P682" s="26"/>
      <c r="Q682" s="26"/>
    </row>
    <row r="683" spans="1:17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26"/>
      <c r="O683" s="26"/>
      <c r="P683" s="26"/>
      <c r="Q683" s="26"/>
    </row>
    <row r="684" spans="1:17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26"/>
      <c r="O684" s="26"/>
      <c r="P684" s="26"/>
      <c r="Q684" s="26"/>
    </row>
    <row r="685" spans="1:17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26"/>
      <c r="O685" s="26"/>
      <c r="P685" s="26"/>
      <c r="Q685" s="26"/>
    </row>
    <row r="686" spans="1:17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26"/>
      <c r="O686" s="26"/>
      <c r="P686" s="26"/>
      <c r="Q686" s="26"/>
    </row>
    <row r="687" spans="1:17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26"/>
      <c r="O687" s="26"/>
      <c r="P687" s="26"/>
      <c r="Q687" s="26"/>
    </row>
    <row r="688" spans="1:17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26"/>
      <c r="O688" s="26"/>
      <c r="P688" s="26"/>
      <c r="Q688" s="26"/>
    </row>
    <row r="689" spans="1:17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26"/>
      <c r="O689" s="26"/>
      <c r="P689" s="26"/>
      <c r="Q689" s="26"/>
    </row>
    <row r="690" spans="1:17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26"/>
      <c r="O690" s="26"/>
      <c r="P690" s="26"/>
      <c r="Q690" s="26"/>
    </row>
    <row r="691" spans="1:17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26"/>
      <c r="O691" s="26"/>
      <c r="P691" s="26"/>
      <c r="Q691" s="26"/>
    </row>
    <row r="692" spans="1:17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26"/>
      <c r="O692" s="26"/>
      <c r="P692" s="26"/>
      <c r="Q692" s="26"/>
    </row>
    <row r="693" spans="1:17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26"/>
      <c r="O693" s="26"/>
      <c r="P693" s="26"/>
      <c r="Q693" s="26"/>
    </row>
    <row r="694" spans="1:17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26"/>
      <c r="O694" s="26"/>
      <c r="P694" s="26"/>
      <c r="Q694" s="26"/>
    </row>
    <row r="695" spans="1:17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26"/>
      <c r="O695" s="26"/>
      <c r="P695" s="26"/>
      <c r="Q695" s="26"/>
    </row>
    <row r="696" spans="1:17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26"/>
      <c r="O696" s="26"/>
      <c r="P696" s="26"/>
      <c r="Q696" s="26"/>
    </row>
    <row r="697" spans="1:17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26"/>
      <c r="O697" s="26"/>
      <c r="P697" s="26"/>
      <c r="Q697" s="26"/>
    </row>
    <row r="698" spans="1:17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26"/>
      <c r="O698" s="26"/>
      <c r="P698" s="26"/>
      <c r="Q698" s="26"/>
    </row>
    <row r="699" spans="1:17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26"/>
      <c r="O699" s="26"/>
      <c r="P699" s="26"/>
      <c r="Q699" s="26"/>
    </row>
    <row r="700" spans="1:17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26"/>
      <c r="O700" s="26"/>
      <c r="P700" s="26"/>
      <c r="Q700" s="26"/>
    </row>
    <row r="701" spans="1:17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26"/>
      <c r="O701" s="26"/>
      <c r="P701" s="26"/>
      <c r="Q701" s="26"/>
    </row>
    <row r="702" spans="1:17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26"/>
      <c r="O702" s="26"/>
      <c r="P702" s="26"/>
      <c r="Q702" s="26"/>
    </row>
    <row r="703" spans="1:17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26"/>
      <c r="O703" s="26"/>
      <c r="P703" s="26"/>
      <c r="Q703" s="26"/>
    </row>
    <row r="704" spans="1:17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26"/>
      <c r="O704" s="26"/>
      <c r="P704" s="26"/>
      <c r="Q704" s="26"/>
    </row>
    <row r="705" spans="1:17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26"/>
      <c r="O705" s="26"/>
      <c r="P705" s="26"/>
      <c r="Q705" s="26"/>
    </row>
    <row r="706" spans="1:17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26"/>
      <c r="O706" s="26"/>
      <c r="P706" s="26"/>
      <c r="Q706" s="26"/>
    </row>
    <row r="707" spans="1:17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26"/>
      <c r="O707" s="26"/>
      <c r="P707" s="26"/>
      <c r="Q707" s="26"/>
    </row>
    <row r="708" spans="1:17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26"/>
      <c r="O708" s="26"/>
      <c r="P708" s="26"/>
      <c r="Q708" s="26"/>
    </row>
    <row r="709" spans="1:17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26"/>
      <c r="O709" s="26"/>
      <c r="P709" s="26"/>
      <c r="Q709" s="26"/>
    </row>
    <row r="710" spans="1:17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26"/>
      <c r="O710" s="26"/>
      <c r="P710" s="26"/>
      <c r="Q710" s="26"/>
    </row>
    <row r="711" spans="1:17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26"/>
      <c r="O711" s="26"/>
      <c r="P711" s="26"/>
      <c r="Q711" s="26"/>
    </row>
    <row r="712" spans="1:17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26"/>
      <c r="O712" s="26"/>
      <c r="P712" s="26"/>
      <c r="Q712" s="26"/>
    </row>
    <row r="713" spans="1:17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26"/>
      <c r="O713" s="26"/>
      <c r="P713" s="26"/>
      <c r="Q713" s="26"/>
    </row>
    <row r="714" spans="1:17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26"/>
      <c r="O714" s="26"/>
      <c r="P714" s="26"/>
      <c r="Q714" s="26"/>
    </row>
    <row r="715" spans="1:17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26"/>
      <c r="O715" s="26"/>
      <c r="P715" s="26"/>
      <c r="Q715" s="26"/>
    </row>
    <row r="716" spans="1:17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26"/>
      <c r="O716" s="26"/>
      <c r="P716" s="26"/>
      <c r="Q716" s="26"/>
    </row>
    <row r="717" spans="1:17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26"/>
      <c r="O717" s="26"/>
      <c r="P717" s="26"/>
      <c r="Q717" s="26"/>
    </row>
    <row r="718" spans="1:17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26"/>
      <c r="O718" s="26"/>
      <c r="P718" s="26"/>
      <c r="Q718" s="26"/>
    </row>
    <row r="719" spans="1:17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26"/>
      <c r="O719" s="26"/>
      <c r="P719" s="26"/>
      <c r="Q719" s="26"/>
    </row>
    <row r="720" spans="1:17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26"/>
      <c r="O720" s="26"/>
      <c r="P720" s="26"/>
      <c r="Q720" s="26"/>
    </row>
    <row r="721" spans="1:17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26"/>
      <c r="O721" s="26"/>
      <c r="P721" s="26"/>
      <c r="Q721" s="26"/>
    </row>
    <row r="722" spans="1:17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26"/>
      <c r="O722" s="26"/>
      <c r="P722" s="26"/>
      <c r="Q722" s="26"/>
    </row>
    <row r="723" spans="1:17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26"/>
      <c r="O723" s="26"/>
      <c r="P723" s="26"/>
      <c r="Q723" s="26"/>
    </row>
    <row r="724" spans="1:17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26"/>
      <c r="O724" s="26"/>
      <c r="P724" s="26"/>
      <c r="Q724" s="26"/>
    </row>
    <row r="725" spans="1:17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26"/>
      <c r="O725" s="26"/>
      <c r="P725" s="26"/>
      <c r="Q725" s="26"/>
    </row>
    <row r="726" spans="1:17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26"/>
      <c r="O726" s="26"/>
      <c r="P726" s="26"/>
      <c r="Q726" s="26"/>
    </row>
    <row r="727" spans="1:17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26"/>
      <c r="O727" s="26"/>
      <c r="P727" s="26"/>
      <c r="Q727" s="26"/>
    </row>
    <row r="728" spans="1:17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26"/>
      <c r="O728" s="26"/>
      <c r="P728" s="26"/>
      <c r="Q728" s="26"/>
    </row>
    <row r="729" spans="1:17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26"/>
      <c r="O729" s="26"/>
      <c r="P729" s="26"/>
      <c r="Q729" s="26"/>
    </row>
    <row r="730" spans="1:17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26"/>
      <c r="O730" s="26"/>
      <c r="P730" s="26"/>
      <c r="Q730" s="26"/>
    </row>
    <row r="731" spans="1:17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26"/>
      <c r="O731" s="26"/>
      <c r="P731" s="26"/>
      <c r="Q731" s="26"/>
    </row>
    <row r="732" spans="1:17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26"/>
      <c r="O732" s="26"/>
      <c r="P732" s="26"/>
      <c r="Q732" s="26"/>
    </row>
    <row r="733" spans="1:17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26"/>
      <c r="O733" s="26"/>
      <c r="P733" s="26"/>
      <c r="Q733" s="26"/>
    </row>
    <row r="734" spans="1:17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26"/>
      <c r="O734" s="26"/>
      <c r="P734" s="26"/>
      <c r="Q734" s="26"/>
    </row>
    <row r="735" spans="1:17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26"/>
      <c r="O735" s="26"/>
      <c r="P735" s="26"/>
      <c r="Q735" s="26"/>
    </row>
    <row r="736" spans="1:17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26"/>
      <c r="O736" s="26"/>
      <c r="P736" s="26"/>
      <c r="Q736" s="26"/>
    </row>
    <row r="737" spans="1:17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26"/>
      <c r="O737" s="26"/>
      <c r="P737" s="26"/>
      <c r="Q737" s="26"/>
    </row>
    <row r="738" spans="1:17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26"/>
      <c r="O738" s="26"/>
      <c r="P738" s="26"/>
      <c r="Q738" s="26"/>
    </row>
    <row r="739" spans="1:17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26"/>
      <c r="O739" s="26"/>
      <c r="P739" s="26"/>
      <c r="Q739" s="26"/>
    </row>
    <row r="740" spans="1:17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26"/>
      <c r="O740" s="26"/>
      <c r="P740" s="26"/>
      <c r="Q740" s="26"/>
    </row>
    <row r="741" spans="1:17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26"/>
      <c r="O741" s="26"/>
      <c r="P741" s="26"/>
      <c r="Q741" s="26"/>
    </row>
    <row r="742" spans="1:17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26"/>
      <c r="O742" s="26"/>
      <c r="P742" s="26"/>
      <c r="Q742" s="26"/>
    </row>
    <row r="743" spans="1:17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26"/>
      <c r="O743" s="26"/>
      <c r="P743" s="26"/>
      <c r="Q743" s="26"/>
    </row>
    <row r="744" spans="1:17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26"/>
      <c r="O744" s="26"/>
      <c r="P744" s="26"/>
      <c r="Q744" s="26"/>
    </row>
    <row r="745" spans="1:17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26"/>
      <c r="O745" s="26"/>
      <c r="P745" s="26"/>
      <c r="Q745" s="26"/>
    </row>
    <row r="746" spans="1:17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26"/>
      <c r="O746" s="26"/>
      <c r="P746" s="26"/>
      <c r="Q746" s="26"/>
    </row>
    <row r="747" spans="1:17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26"/>
      <c r="O747" s="26"/>
      <c r="P747" s="26"/>
      <c r="Q747" s="26"/>
    </row>
    <row r="748" spans="1:17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26"/>
      <c r="O748" s="26"/>
      <c r="P748" s="26"/>
      <c r="Q748" s="26"/>
    </row>
    <row r="749" spans="1:17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26"/>
      <c r="O749" s="26"/>
      <c r="P749" s="26"/>
      <c r="Q749" s="26"/>
    </row>
    <row r="750" spans="1:17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26"/>
      <c r="O750" s="26"/>
      <c r="P750" s="26"/>
      <c r="Q750" s="26"/>
    </row>
    <row r="751" spans="1:17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26"/>
      <c r="O751" s="26"/>
      <c r="P751" s="26"/>
      <c r="Q751" s="26"/>
    </row>
    <row r="752" spans="1:17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26"/>
      <c r="O752" s="26"/>
      <c r="P752" s="26"/>
      <c r="Q752" s="26"/>
    </row>
    <row r="753" spans="1:17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26"/>
      <c r="O753" s="26"/>
      <c r="P753" s="26"/>
      <c r="Q753" s="26"/>
    </row>
    <row r="754" spans="1:17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26"/>
      <c r="O754" s="26"/>
      <c r="P754" s="26"/>
      <c r="Q754" s="26"/>
    </row>
    <row r="755" spans="1:17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26"/>
      <c r="O755" s="26"/>
      <c r="P755" s="26"/>
      <c r="Q755" s="26"/>
    </row>
    <row r="756" spans="1:17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26"/>
      <c r="O756" s="26"/>
      <c r="P756" s="26"/>
      <c r="Q756" s="26"/>
    </row>
    <row r="757" spans="1:17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26"/>
      <c r="O757" s="26"/>
      <c r="P757" s="26"/>
      <c r="Q757" s="26"/>
    </row>
    <row r="758" spans="1:17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26"/>
      <c r="O758" s="26"/>
      <c r="P758" s="26"/>
      <c r="Q758" s="26"/>
    </row>
    <row r="759" spans="1:17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26"/>
      <c r="O759" s="26"/>
      <c r="P759" s="26"/>
      <c r="Q759" s="26"/>
    </row>
    <row r="760" spans="1:17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26"/>
      <c r="O760" s="26"/>
      <c r="P760" s="26"/>
      <c r="Q760" s="26"/>
    </row>
    <row r="761" spans="1:17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26"/>
      <c r="O761" s="26"/>
      <c r="P761" s="26"/>
      <c r="Q761" s="26"/>
    </row>
    <row r="762" spans="1:17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26"/>
      <c r="O762" s="26"/>
      <c r="P762" s="26"/>
      <c r="Q762" s="26"/>
    </row>
    <row r="763" spans="1:17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26"/>
      <c r="O763" s="26"/>
      <c r="P763" s="26"/>
      <c r="Q763" s="26"/>
    </row>
    <row r="764" spans="1:17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26"/>
      <c r="O764" s="26"/>
      <c r="P764" s="26"/>
      <c r="Q764" s="26"/>
    </row>
    <row r="765" spans="1:17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26"/>
      <c r="O765" s="26"/>
      <c r="P765" s="26"/>
      <c r="Q765" s="26"/>
    </row>
    <row r="766" spans="1:17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26"/>
      <c r="O766" s="26"/>
      <c r="P766" s="26"/>
      <c r="Q766" s="26"/>
    </row>
    <row r="767" spans="1:17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26"/>
      <c r="O767" s="26"/>
      <c r="P767" s="26"/>
      <c r="Q767" s="26"/>
    </row>
    <row r="768" spans="1:17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26"/>
      <c r="O768" s="26"/>
      <c r="P768" s="26"/>
      <c r="Q768" s="26"/>
    </row>
    <row r="769" spans="1:17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26"/>
      <c r="O769" s="26"/>
      <c r="P769" s="26"/>
      <c r="Q769" s="26"/>
    </row>
    <row r="770" spans="1:17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26"/>
      <c r="O770" s="26"/>
      <c r="P770" s="26"/>
      <c r="Q770" s="26"/>
    </row>
    <row r="771" spans="1:17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26"/>
      <c r="O771" s="26"/>
      <c r="P771" s="26"/>
      <c r="Q771" s="26"/>
    </row>
    <row r="772" spans="1:17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26"/>
      <c r="O772" s="26"/>
      <c r="P772" s="26"/>
      <c r="Q772" s="26"/>
    </row>
    <row r="773" spans="1:17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26"/>
      <c r="O773" s="26"/>
      <c r="P773" s="26"/>
      <c r="Q773" s="26"/>
    </row>
    <row r="774" spans="1:17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26"/>
      <c r="O774" s="26"/>
      <c r="P774" s="26"/>
      <c r="Q774" s="26"/>
    </row>
    <row r="775" spans="1:17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26"/>
      <c r="O775" s="26"/>
      <c r="P775" s="26"/>
      <c r="Q775" s="26"/>
    </row>
    <row r="776" spans="1:17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26"/>
      <c r="O776" s="26"/>
      <c r="P776" s="26"/>
      <c r="Q776" s="26"/>
    </row>
    <row r="777" spans="1:17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26"/>
      <c r="O777" s="26"/>
      <c r="P777" s="26"/>
      <c r="Q777" s="26"/>
    </row>
    <row r="778" spans="1:17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26"/>
      <c r="O778" s="26"/>
      <c r="P778" s="26"/>
      <c r="Q778" s="26"/>
    </row>
    <row r="779" spans="1:17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26"/>
      <c r="O779" s="26"/>
      <c r="P779" s="26"/>
      <c r="Q779" s="26"/>
    </row>
    <row r="780" spans="1:17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26"/>
      <c r="O780" s="26"/>
      <c r="P780" s="26"/>
      <c r="Q780" s="26"/>
    </row>
    <row r="781" spans="1:17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26"/>
      <c r="O781" s="26"/>
      <c r="P781" s="26"/>
      <c r="Q781" s="26"/>
    </row>
    <row r="782" spans="1:17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26"/>
      <c r="O782" s="26"/>
      <c r="P782" s="26"/>
      <c r="Q782" s="26"/>
    </row>
    <row r="783" spans="1:17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26"/>
      <c r="O783" s="26"/>
      <c r="P783" s="26"/>
      <c r="Q783" s="26"/>
    </row>
    <row r="784" spans="1:17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26"/>
      <c r="O784" s="26"/>
      <c r="P784" s="26"/>
      <c r="Q784" s="26"/>
    </row>
    <row r="785" spans="1:17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26"/>
      <c r="O785" s="26"/>
      <c r="P785" s="26"/>
      <c r="Q785" s="26"/>
    </row>
    <row r="786" spans="1:17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26"/>
      <c r="O786" s="26"/>
      <c r="P786" s="26"/>
      <c r="Q786" s="26"/>
    </row>
    <row r="787" spans="1:17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26"/>
      <c r="O787" s="26"/>
      <c r="P787" s="26"/>
      <c r="Q787" s="26"/>
    </row>
    <row r="788" spans="1:17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26"/>
      <c r="O788" s="26"/>
      <c r="P788" s="26"/>
      <c r="Q788" s="26"/>
    </row>
    <row r="789" spans="1:17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26"/>
      <c r="O789" s="26"/>
      <c r="P789" s="26"/>
      <c r="Q789" s="26"/>
    </row>
    <row r="790" spans="1:17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26"/>
      <c r="O790" s="26"/>
      <c r="P790" s="26"/>
      <c r="Q790" s="26"/>
    </row>
    <row r="791" spans="1:17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26"/>
      <c r="O791" s="26"/>
      <c r="P791" s="26"/>
      <c r="Q791" s="26"/>
    </row>
    <row r="792" spans="1:17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26"/>
      <c r="O792" s="26"/>
      <c r="P792" s="26"/>
      <c r="Q792" s="26"/>
    </row>
    <row r="793" spans="1:17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26"/>
      <c r="O793" s="26"/>
      <c r="P793" s="26"/>
      <c r="Q793" s="26"/>
    </row>
    <row r="794" spans="1:17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26"/>
      <c r="O794" s="26"/>
      <c r="P794" s="26"/>
      <c r="Q794" s="26"/>
    </row>
    <row r="795" spans="1:17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26"/>
      <c r="O795" s="26"/>
      <c r="P795" s="26"/>
      <c r="Q795" s="26"/>
    </row>
    <row r="796" spans="1:17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26"/>
      <c r="O796" s="26"/>
      <c r="P796" s="26"/>
      <c r="Q796" s="26"/>
    </row>
    <row r="797" spans="1:17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26"/>
      <c r="O797" s="26"/>
      <c r="P797" s="26"/>
      <c r="Q797" s="26"/>
    </row>
    <row r="798" spans="1:17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26"/>
      <c r="O798" s="26"/>
      <c r="P798" s="26"/>
      <c r="Q798" s="26"/>
    </row>
    <row r="799" spans="1:17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26"/>
      <c r="O799" s="26"/>
      <c r="P799" s="26"/>
      <c r="Q799" s="26"/>
    </row>
    <row r="800" spans="1:17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26"/>
      <c r="O800" s="26"/>
      <c r="P800" s="26"/>
      <c r="Q800" s="26"/>
    </row>
    <row r="801" spans="1:17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26"/>
      <c r="O801" s="26"/>
      <c r="P801" s="26"/>
      <c r="Q801" s="26"/>
    </row>
    <row r="802" spans="1:17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26"/>
      <c r="O802" s="26"/>
      <c r="P802" s="26"/>
      <c r="Q802" s="26"/>
    </row>
    <row r="803" spans="1:17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26"/>
      <c r="O803" s="26"/>
      <c r="P803" s="26"/>
      <c r="Q803" s="26"/>
    </row>
    <row r="804" spans="1:17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26"/>
      <c r="O804" s="26"/>
      <c r="P804" s="26"/>
      <c r="Q804" s="26"/>
    </row>
    <row r="805" spans="1:17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26"/>
      <c r="O805" s="26"/>
      <c r="P805" s="26"/>
      <c r="Q805" s="26"/>
    </row>
    <row r="806" spans="1:17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26"/>
      <c r="O806" s="26"/>
      <c r="P806" s="26"/>
      <c r="Q806" s="26"/>
    </row>
    <row r="807" spans="1:17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26"/>
      <c r="O807" s="26"/>
      <c r="P807" s="26"/>
      <c r="Q807" s="26"/>
    </row>
    <row r="808" spans="1:17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26"/>
      <c r="O808" s="26"/>
      <c r="P808" s="26"/>
      <c r="Q808" s="26"/>
    </row>
    <row r="809" spans="1:17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26"/>
      <c r="O809" s="26"/>
      <c r="P809" s="26"/>
      <c r="Q809" s="26"/>
    </row>
    <row r="810" spans="1:17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26"/>
      <c r="O810" s="26"/>
      <c r="P810" s="26"/>
      <c r="Q810" s="26"/>
    </row>
    <row r="811" spans="1:17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26"/>
      <c r="O811" s="26"/>
      <c r="P811" s="26"/>
      <c r="Q811" s="26"/>
    </row>
    <row r="812" spans="1:17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26"/>
      <c r="O812" s="26"/>
      <c r="P812" s="26"/>
      <c r="Q812" s="26"/>
    </row>
    <row r="813" spans="1:17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26"/>
      <c r="O813" s="26"/>
      <c r="P813" s="26"/>
      <c r="Q813" s="26"/>
    </row>
    <row r="814" spans="1:17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26"/>
      <c r="O814" s="26"/>
      <c r="P814" s="26"/>
      <c r="Q814" s="26"/>
    </row>
    <row r="815" spans="1:17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26"/>
      <c r="O815" s="26"/>
      <c r="P815" s="26"/>
      <c r="Q815" s="26"/>
    </row>
    <row r="816" spans="1:17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26"/>
      <c r="O816" s="26"/>
      <c r="P816" s="26"/>
      <c r="Q816" s="26"/>
    </row>
    <row r="817" spans="1:17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26"/>
      <c r="O817" s="26"/>
      <c r="P817" s="26"/>
      <c r="Q817" s="26"/>
    </row>
    <row r="818" spans="1:17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26"/>
      <c r="O818" s="26"/>
      <c r="P818" s="26"/>
      <c r="Q818" s="26"/>
    </row>
    <row r="819" spans="1:17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26"/>
      <c r="O819" s="26"/>
      <c r="P819" s="26"/>
      <c r="Q819" s="26"/>
    </row>
    <row r="820" spans="1:17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26"/>
      <c r="O820" s="26"/>
      <c r="P820" s="26"/>
      <c r="Q820" s="26"/>
    </row>
    <row r="821" spans="1:17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26"/>
      <c r="O821" s="26"/>
      <c r="P821" s="26"/>
      <c r="Q821" s="26"/>
    </row>
    <row r="822" spans="1:17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26"/>
      <c r="O822" s="26"/>
      <c r="P822" s="26"/>
      <c r="Q822" s="26"/>
    </row>
    <row r="823" spans="1:17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26"/>
      <c r="O823" s="26"/>
      <c r="P823" s="26"/>
      <c r="Q823" s="26"/>
    </row>
    <row r="824" spans="1:17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26"/>
      <c r="O824" s="26"/>
      <c r="P824" s="26"/>
      <c r="Q824" s="26"/>
    </row>
    <row r="825" spans="1:17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26"/>
      <c r="O825" s="26"/>
      <c r="P825" s="26"/>
      <c r="Q825" s="26"/>
    </row>
    <row r="826" spans="1:17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26"/>
      <c r="O826" s="26"/>
      <c r="P826" s="26"/>
      <c r="Q826" s="26"/>
    </row>
    <row r="827" spans="1:17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26"/>
      <c r="O827" s="26"/>
      <c r="P827" s="26"/>
      <c r="Q827" s="26"/>
    </row>
    <row r="828" spans="1:17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26"/>
      <c r="O828" s="26"/>
      <c r="P828" s="26"/>
      <c r="Q828" s="26"/>
    </row>
    <row r="829" spans="1:17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26"/>
      <c r="O829" s="26"/>
      <c r="P829" s="26"/>
      <c r="Q829" s="26"/>
    </row>
    <row r="830" spans="1:17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26"/>
      <c r="O830" s="26"/>
      <c r="P830" s="26"/>
      <c r="Q830" s="26"/>
    </row>
    <row r="831" spans="1:17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26"/>
      <c r="O831" s="26"/>
      <c r="P831" s="26"/>
      <c r="Q831" s="26"/>
    </row>
    <row r="832" spans="1:17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26"/>
      <c r="O832" s="26"/>
      <c r="P832" s="26"/>
      <c r="Q832" s="26"/>
    </row>
    <row r="833" spans="1:17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26"/>
      <c r="O833" s="26"/>
      <c r="P833" s="26"/>
      <c r="Q833" s="26"/>
    </row>
    <row r="834" spans="1:17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26"/>
      <c r="O834" s="26"/>
      <c r="P834" s="26"/>
      <c r="Q834" s="26"/>
    </row>
    <row r="835" spans="1:17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26"/>
      <c r="O835" s="26"/>
      <c r="P835" s="26"/>
      <c r="Q835" s="26"/>
    </row>
    <row r="836" spans="1:17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26"/>
      <c r="O836" s="26"/>
      <c r="P836" s="26"/>
      <c r="Q836" s="26"/>
    </row>
    <row r="837" spans="1:17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26"/>
      <c r="O837" s="26"/>
      <c r="P837" s="26"/>
      <c r="Q837" s="26"/>
    </row>
    <row r="838" spans="1:17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26"/>
      <c r="O838" s="26"/>
      <c r="P838" s="26"/>
      <c r="Q838" s="26"/>
    </row>
    <row r="839" spans="1:17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26"/>
      <c r="O839" s="26"/>
      <c r="P839" s="26"/>
      <c r="Q839" s="26"/>
    </row>
    <row r="840" spans="1:17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26"/>
      <c r="O840" s="26"/>
      <c r="P840" s="26"/>
      <c r="Q840" s="26"/>
    </row>
    <row r="841" spans="1:17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26"/>
      <c r="O841" s="26"/>
      <c r="P841" s="26"/>
      <c r="Q841" s="26"/>
    </row>
    <row r="842" spans="1:17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26"/>
      <c r="O842" s="26"/>
      <c r="P842" s="26"/>
      <c r="Q842" s="26"/>
    </row>
    <row r="843" spans="1:17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26"/>
      <c r="O843" s="26"/>
      <c r="P843" s="26"/>
      <c r="Q843" s="26"/>
    </row>
    <row r="844" spans="1:17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26"/>
      <c r="O844" s="26"/>
      <c r="P844" s="26"/>
      <c r="Q844" s="26"/>
    </row>
    <row r="845" spans="1:17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26"/>
      <c r="O845" s="26"/>
      <c r="P845" s="26"/>
      <c r="Q845" s="26"/>
    </row>
    <row r="846" spans="1:17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26"/>
      <c r="O846" s="26"/>
      <c r="P846" s="26"/>
      <c r="Q846" s="26"/>
    </row>
    <row r="847" spans="1:17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26"/>
      <c r="O847" s="26"/>
      <c r="P847" s="26"/>
      <c r="Q847" s="26"/>
    </row>
    <row r="848" spans="1:17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26"/>
      <c r="O848" s="26"/>
      <c r="P848" s="26"/>
      <c r="Q848" s="26"/>
    </row>
    <row r="849" spans="1:17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26"/>
      <c r="O849" s="26"/>
      <c r="P849" s="26"/>
      <c r="Q849" s="26"/>
    </row>
    <row r="850" spans="1:17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26"/>
      <c r="O850" s="26"/>
      <c r="P850" s="26"/>
      <c r="Q850" s="26"/>
    </row>
    <row r="851" spans="1:17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26"/>
      <c r="O851" s="26"/>
      <c r="P851" s="26"/>
      <c r="Q851" s="26"/>
    </row>
    <row r="852" spans="1:17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26"/>
      <c r="O852" s="26"/>
      <c r="P852" s="26"/>
      <c r="Q852" s="26"/>
    </row>
    <row r="853" spans="1:17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26"/>
      <c r="O853" s="26"/>
      <c r="P853" s="26"/>
      <c r="Q853" s="26"/>
    </row>
    <row r="854" spans="1:17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26"/>
      <c r="O854" s="26"/>
      <c r="P854" s="26"/>
      <c r="Q854" s="26"/>
    </row>
    <row r="855" spans="1:17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26"/>
      <c r="O855" s="26"/>
      <c r="P855" s="26"/>
      <c r="Q855" s="26"/>
    </row>
    <row r="856" spans="1:17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26"/>
      <c r="O856" s="26"/>
      <c r="P856" s="26"/>
      <c r="Q856" s="26"/>
    </row>
    <row r="857" spans="1:17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26"/>
      <c r="O857" s="26"/>
      <c r="P857" s="26"/>
      <c r="Q857" s="26"/>
    </row>
    <row r="858" spans="1:17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26"/>
      <c r="O858" s="26"/>
      <c r="P858" s="26"/>
      <c r="Q858" s="26"/>
    </row>
    <row r="859" spans="1:17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26"/>
      <c r="O859" s="26"/>
      <c r="P859" s="26"/>
      <c r="Q859" s="26"/>
    </row>
    <row r="860" spans="1:17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26"/>
      <c r="O860" s="26"/>
      <c r="P860" s="26"/>
      <c r="Q860" s="26"/>
    </row>
    <row r="861" spans="1:17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26"/>
      <c r="O861" s="26"/>
      <c r="P861" s="26"/>
      <c r="Q861" s="26"/>
    </row>
    <row r="862" spans="1:17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26"/>
      <c r="O862" s="26"/>
      <c r="P862" s="26"/>
      <c r="Q862" s="26"/>
    </row>
    <row r="863" spans="1:17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26"/>
      <c r="O863" s="26"/>
      <c r="P863" s="26"/>
      <c r="Q863" s="26"/>
    </row>
    <row r="864" spans="1:17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26"/>
      <c r="O864" s="26"/>
      <c r="P864" s="26"/>
      <c r="Q864" s="26"/>
    </row>
    <row r="865" spans="1:17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26"/>
      <c r="O865" s="26"/>
      <c r="P865" s="26"/>
      <c r="Q865" s="26"/>
    </row>
    <row r="866" spans="1:17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26"/>
      <c r="O866" s="26"/>
      <c r="P866" s="26"/>
      <c r="Q866" s="26"/>
    </row>
    <row r="867" spans="1:17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26"/>
      <c r="O867" s="26"/>
      <c r="P867" s="26"/>
      <c r="Q867" s="26"/>
    </row>
    <row r="868" spans="1:17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26"/>
      <c r="O868" s="26"/>
      <c r="P868" s="26"/>
      <c r="Q868" s="26"/>
    </row>
    <row r="869" spans="1:17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26"/>
      <c r="O869" s="26"/>
      <c r="P869" s="26"/>
      <c r="Q869" s="26"/>
    </row>
    <row r="870" spans="1:17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26"/>
      <c r="O870" s="26"/>
      <c r="P870" s="26"/>
      <c r="Q870" s="26"/>
    </row>
    <row r="871" spans="1:17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26"/>
      <c r="O871" s="26"/>
      <c r="P871" s="26"/>
      <c r="Q871" s="26"/>
    </row>
    <row r="872" spans="1:17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26"/>
      <c r="O872" s="26"/>
      <c r="P872" s="26"/>
      <c r="Q872" s="26"/>
    </row>
    <row r="873" spans="1:17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26"/>
      <c r="O873" s="26"/>
      <c r="P873" s="26"/>
      <c r="Q873" s="26"/>
    </row>
    <row r="874" spans="1:17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26"/>
      <c r="O874" s="26"/>
      <c r="P874" s="26"/>
      <c r="Q874" s="26"/>
    </row>
    <row r="875" spans="1:17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26"/>
      <c r="O875" s="26"/>
      <c r="P875" s="26"/>
      <c r="Q875" s="26"/>
    </row>
    <row r="876" spans="1:17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26"/>
      <c r="O876" s="26"/>
      <c r="P876" s="26"/>
      <c r="Q876" s="26"/>
    </row>
    <row r="877" spans="1:17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26"/>
      <c r="O877" s="26"/>
      <c r="P877" s="26"/>
      <c r="Q877" s="26"/>
    </row>
    <row r="878" spans="1:17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26"/>
      <c r="O878" s="26"/>
      <c r="P878" s="26"/>
      <c r="Q878" s="26"/>
    </row>
    <row r="879" spans="1:17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26"/>
      <c r="O879" s="26"/>
      <c r="P879" s="26"/>
      <c r="Q879" s="26"/>
    </row>
    <row r="880" spans="1:17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26"/>
      <c r="O880" s="26"/>
      <c r="P880" s="26"/>
      <c r="Q880" s="26"/>
    </row>
    <row r="881" spans="1:17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26"/>
      <c r="O881" s="26"/>
      <c r="P881" s="26"/>
      <c r="Q881" s="26"/>
    </row>
    <row r="882" spans="1:17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26"/>
      <c r="O882" s="26"/>
      <c r="P882" s="26"/>
      <c r="Q882" s="26"/>
    </row>
    <row r="883" spans="1:17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26"/>
      <c r="O883" s="26"/>
      <c r="P883" s="26"/>
      <c r="Q883" s="26"/>
    </row>
    <row r="884" spans="1:17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26"/>
      <c r="O884" s="26"/>
      <c r="P884" s="26"/>
      <c r="Q884" s="26"/>
    </row>
    <row r="885" spans="1:17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26"/>
      <c r="O885" s="26"/>
      <c r="P885" s="26"/>
      <c r="Q885" s="26"/>
    </row>
    <row r="886" spans="1:17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26"/>
      <c r="O886" s="26"/>
      <c r="P886" s="26"/>
      <c r="Q886" s="26"/>
    </row>
    <row r="887" spans="1:17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26"/>
      <c r="O887" s="26"/>
      <c r="P887" s="26"/>
      <c r="Q887" s="26"/>
    </row>
    <row r="888" spans="1:17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26"/>
      <c r="O888" s="26"/>
      <c r="P888" s="26"/>
      <c r="Q888" s="26"/>
    </row>
    <row r="889" spans="1:17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26"/>
      <c r="O889" s="26"/>
      <c r="P889" s="26"/>
      <c r="Q889" s="26"/>
    </row>
    <row r="890" spans="1:17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26"/>
      <c r="O890" s="26"/>
      <c r="P890" s="26"/>
      <c r="Q890" s="26"/>
    </row>
    <row r="891" spans="1:17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26"/>
      <c r="O891" s="26"/>
      <c r="P891" s="26"/>
      <c r="Q891" s="26"/>
    </row>
    <row r="892" spans="1:17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26"/>
      <c r="O892" s="26"/>
      <c r="P892" s="26"/>
      <c r="Q892" s="26"/>
    </row>
    <row r="893" spans="1:17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26"/>
      <c r="O893" s="26"/>
      <c r="P893" s="26"/>
      <c r="Q893" s="26"/>
    </row>
    <row r="894" spans="1:17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26"/>
      <c r="O894" s="26"/>
      <c r="P894" s="26"/>
      <c r="Q894" s="26"/>
    </row>
    <row r="895" spans="1:17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26"/>
      <c r="O895" s="26"/>
      <c r="P895" s="26"/>
      <c r="Q895" s="26"/>
    </row>
    <row r="896" spans="1:17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26"/>
      <c r="O896" s="26"/>
      <c r="P896" s="26"/>
      <c r="Q896" s="26"/>
    </row>
    <row r="897" spans="1:17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26"/>
      <c r="O897" s="26"/>
      <c r="P897" s="26"/>
      <c r="Q897" s="26"/>
    </row>
    <row r="898" spans="1:17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26"/>
      <c r="O898" s="26"/>
      <c r="P898" s="26"/>
      <c r="Q898" s="26"/>
    </row>
    <row r="899" spans="1:17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26"/>
      <c r="O899" s="26"/>
      <c r="P899" s="26"/>
      <c r="Q899" s="26"/>
    </row>
    <row r="900" spans="1:17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26"/>
      <c r="O900" s="26"/>
      <c r="P900" s="26"/>
      <c r="Q900" s="26"/>
    </row>
    <row r="901" spans="1:17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26"/>
      <c r="O901" s="26"/>
      <c r="P901" s="26"/>
      <c r="Q901" s="26"/>
    </row>
    <row r="902" spans="1:17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26"/>
      <c r="O902" s="26"/>
      <c r="P902" s="26"/>
      <c r="Q902" s="26"/>
    </row>
    <row r="903" spans="1:17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26"/>
      <c r="O903" s="26"/>
      <c r="P903" s="26"/>
      <c r="Q903" s="26"/>
    </row>
    <row r="904" spans="1:17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26"/>
      <c r="O904" s="26"/>
      <c r="P904" s="26"/>
      <c r="Q904" s="26"/>
    </row>
    <row r="905" spans="1:17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26"/>
      <c r="O905" s="26"/>
      <c r="P905" s="26"/>
      <c r="Q905" s="26"/>
    </row>
    <row r="906" spans="1:17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26"/>
      <c r="O906" s="26"/>
      <c r="P906" s="26"/>
      <c r="Q906" s="26"/>
    </row>
    <row r="907" spans="1:17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26"/>
      <c r="O907" s="26"/>
      <c r="P907" s="26"/>
    </row>
    <row r="908" spans="1:17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26"/>
      <c r="O908" s="26"/>
      <c r="P908" s="26"/>
    </row>
    <row r="909" spans="1:17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26"/>
      <c r="O909" s="26"/>
      <c r="P909" s="26"/>
    </row>
    <row r="910" spans="1:17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26"/>
      <c r="O910" s="26"/>
      <c r="P910" s="26"/>
    </row>
    <row r="911" spans="1:17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26"/>
      <c r="O911" s="26"/>
      <c r="P911" s="26"/>
    </row>
    <row r="912" spans="1:17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26"/>
      <c r="O912" s="26"/>
      <c r="P912" s="26"/>
    </row>
    <row r="913" spans="1:16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26"/>
      <c r="O913" s="26"/>
      <c r="P913" s="26"/>
    </row>
    <row r="914" spans="1:16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26"/>
      <c r="O914" s="26"/>
      <c r="P914" s="26"/>
    </row>
    <row r="915" spans="1:16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26"/>
      <c r="O915" s="26"/>
      <c r="P915" s="26"/>
    </row>
    <row r="916" spans="1:16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26"/>
      <c r="O916" s="26"/>
      <c r="P916" s="26"/>
    </row>
    <row r="917" spans="1:16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26"/>
      <c r="O917" s="26"/>
      <c r="P917" s="26"/>
    </row>
    <row r="918" spans="1:16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26"/>
      <c r="O918" s="26"/>
      <c r="P918" s="26"/>
    </row>
    <row r="919" spans="1:16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26"/>
      <c r="O919" s="26"/>
      <c r="P919" s="26"/>
    </row>
    <row r="920" spans="1:16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26"/>
      <c r="O920" s="26"/>
      <c r="P920" s="26"/>
    </row>
    <row r="921" spans="1:16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26"/>
      <c r="O921" s="26"/>
      <c r="P921" s="26"/>
    </row>
    <row r="922" spans="1:16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26"/>
      <c r="O922" s="26"/>
      <c r="P922" s="26"/>
    </row>
    <row r="923" spans="1:16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26"/>
      <c r="O923" s="26"/>
      <c r="P923" s="26"/>
    </row>
    <row r="924" spans="1:16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26"/>
      <c r="O924" s="26"/>
      <c r="P924" s="26"/>
    </row>
    <row r="925" spans="1:16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26"/>
      <c r="O925" s="26"/>
      <c r="P925" s="26"/>
    </row>
    <row r="926" spans="1:16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26"/>
      <c r="O926" s="26"/>
      <c r="P926" s="26"/>
    </row>
    <row r="927" spans="1:16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26"/>
      <c r="O927" s="26"/>
      <c r="P927" s="26"/>
    </row>
    <row r="928" spans="1:16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26"/>
      <c r="O928" s="26"/>
      <c r="P928" s="26"/>
    </row>
    <row r="929" spans="1:16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26"/>
      <c r="O929" s="26"/>
      <c r="P929" s="26"/>
    </row>
    <row r="930" spans="1:16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26"/>
      <c r="O930" s="26"/>
      <c r="P930" s="26"/>
    </row>
    <row r="931" spans="1:16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26"/>
      <c r="O931" s="26"/>
      <c r="P931" s="26"/>
    </row>
    <row r="932" spans="1:16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26"/>
      <c r="O932" s="26"/>
      <c r="P932" s="26"/>
    </row>
    <row r="933" spans="1:16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26"/>
      <c r="O933" s="26"/>
      <c r="P933" s="26"/>
    </row>
    <row r="934" spans="1:16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26"/>
      <c r="O934" s="26"/>
      <c r="P934" s="26"/>
    </row>
    <row r="935" spans="1:16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26"/>
      <c r="O935" s="26"/>
      <c r="P935" s="26"/>
    </row>
    <row r="936" spans="1:16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26"/>
      <c r="O936" s="26"/>
      <c r="P936" s="26"/>
    </row>
    <row r="937" spans="1:16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26"/>
      <c r="O937" s="26"/>
      <c r="P937" s="26"/>
    </row>
    <row r="938" spans="1:16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26"/>
      <c r="O938" s="26"/>
      <c r="P938" s="26"/>
    </row>
    <row r="939" spans="1:16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26"/>
      <c r="O939" s="26"/>
      <c r="P939" s="26"/>
    </row>
  </sheetData>
  <mergeCells count="2">
    <mergeCell ref="D353:E353"/>
    <mergeCell ref="F353:G353"/>
  </mergeCells>
  <phoneticPr fontId="0" type="noConversion"/>
  <conditionalFormatting sqref="G107:G108">
    <cfRule type="expression" dxfId="6" priority="1" stopIfTrue="1">
      <formula>$G$111&lt;=(1-$F$107)</formula>
    </cfRule>
  </conditionalFormatting>
  <conditionalFormatting sqref="H107:H108">
    <cfRule type="expression" dxfId="5" priority="2" stopIfTrue="1">
      <formula>$H$111&lt;=(1-$F$107)</formula>
    </cfRule>
  </conditionalFormatting>
  <conditionalFormatting sqref="B233:B234">
    <cfRule type="expression" dxfId="4" priority="3" stopIfTrue="1">
      <formula>$B$237&lt;=(1-$A$233)</formula>
    </cfRule>
  </conditionalFormatting>
  <conditionalFormatting sqref="C233:C234">
    <cfRule type="expression" dxfId="3" priority="4" stopIfTrue="1">
      <formula>$C$237&lt;=(1-$A$233)</formula>
    </cfRule>
  </conditionalFormatting>
  <conditionalFormatting sqref="D233:D234">
    <cfRule type="expression" dxfId="2" priority="5" stopIfTrue="1">
      <formula>$D$237&lt;=(1-$A$233)</formula>
    </cfRule>
  </conditionalFormatting>
  <conditionalFormatting sqref="E233:E234">
    <cfRule type="expression" dxfId="1" priority="6" stopIfTrue="1">
      <formula>$E$237&lt;=(1-$A$233)</formula>
    </cfRule>
  </conditionalFormatting>
  <conditionalFormatting sqref="F233:F234">
    <cfRule type="expression" dxfId="0" priority="7" stopIfTrue="1">
      <formula>$F$237&lt;=(1-$A$233)</formula>
    </cfRule>
  </conditionalFormatting>
  <dataValidations count="1">
    <dataValidation type="list" allowBlank="1" showInputMessage="1" showErrorMessage="1" sqref="AG233 BA106">
      <formula1>"Cauchy,Cosinus,Double Exp,Epanechnikov,Gaussian,Histogram,Parzen,Quartic,Triangle,Triweight,Uniform"</formula1>
    </dataValidation>
  </dataValidations>
  <printOptions headings="1"/>
  <pageMargins left="0.93" right="0.46" top="0.5" bottom="0.71" header="0.5" footer="0.5"/>
  <pageSetup scale="59" fitToHeight="3" orientation="portrait" r:id="rId1"/>
  <headerFooter alignWithMargins="0">
    <oddFooter>demouv.xls&amp;RPage &amp;P</oddFooter>
  </headerFooter>
  <rowBreaks count="1" manualBreakCount="1">
    <brk id="18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SimData</vt:lpstr>
      <vt:lpstr>Sheet1</vt:lpstr>
      <vt:lpstr>Sheet1!Print_Area</vt:lpstr>
    </vt:vector>
  </TitlesOfParts>
  <Company>Texas A&amp;M/Ag Economics/AFPC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2003-07-13T01:35:30Z</cp:lastPrinted>
  <dcterms:created xsi:type="dcterms:W3CDTF">1998-07-30T14:21:07Z</dcterms:created>
  <dcterms:modified xsi:type="dcterms:W3CDTF">2011-02-07T05:01:11Z</dcterms:modified>
</cp:coreProperties>
</file>